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comments2.xml" ContentType="application/vnd.openxmlformats-officedocument.spreadsheetml.comments+xml"/>
  <Override PartName="/xl/drawings/drawing1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mc:AlternateContent xmlns:mc="http://schemas.openxmlformats.org/markup-compatibility/2006">
    <mc:Choice Requires="x15">
      <x15ac:absPath xmlns:x15ac="http://schemas.microsoft.com/office/spreadsheetml/2010/11/ac" url="C:\Users\pepem\Downloads\ARMADO DE CARATULA\versiones historial\HISTORIAL DE VERSIONES\Mobiliti_Generador_Windows\"/>
    </mc:Choice>
  </mc:AlternateContent>
  <xr:revisionPtr revIDLastSave="0" documentId="13_ncr:1_{59E80832-5A65-4C8A-9C9B-0F506B8FC6A3}" xr6:coauthVersionLast="47" xr6:coauthVersionMax="47" xr10:uidLastSave="{00000000-0000-0000-0000-000000000000}"/>
  <bookViews>
    <workbookView xWindow="-110" yWindow="-110" windowWidth="25820" windowHeight="14620" xr2:uid="{00000000-000D-0000-FFFF-FFFF00000000}"/>
  </bookViews>
  <sheets>
    <sheet name="Cotizacion" sheetId="1" r:id="rId1"/>
    <sheet name="sheep" sheetId="37" r:id="rId2"/>
    <sheet name="Mobiliti" sheetId="23" r:id="rId3"/>
    <sheet name="Estrategia Comercial " sheetId="2" r:id="rId4"/>
    <sheet name="Fletes" sheetId="36"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1" hidden="1">sheep!#REF!</definedName>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Cotizacion!$A$1:$J$77</definedName>
    <definedName name="_xlnm.Print_Area" localSheetId="3">'Estrategia Comercial '!$A$1:$F$118</definedName>
    <definedName name="_xlnm.Print_Area" localSheetId="1">sheep!$A$1:$J$14</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Proveedores!$A$2:$D$32</definedName>
    <definedName name="ProveedoreS_TC">Proveedores!$A$2:$E$32</definedName>
    <definedName name="Taba_Region">Fletes!$G$5:$G$18</definedName>
    <definedName name="Tabla_Costos">Fletes!$D$5:$F$18</definedName>
    <definedName name="Tabla_Fletes">Fletes!$I$6:$K$19</definedName>
    <definedName name="Tabla_Instalacion">Fletes!$M$6:$N$19</definedName>
    <definedName name="Tabla_Proveedores">Proveedores!$A$29:$B$37</definedName>
    <definedName name="Tabla_Proveedores_1">Proveedores!$A$2:$B$32</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37" l="1"/>
  <c r="K11" i="37"/>
  <c r="K12" i="37"/>
  <c r="K13" i="37"/>
  <c r="K14" i="37"/>
  <c r="K8" i="37"/>
  <c r="K9" i="37"/>
  <c r="K15" i="37"/>
  <c r="K16" i="37"/>
  <c r="K17" i="37"/>
  <c r="K18" i="37"/>
  <c r="K19" i="37"/>
  <c r="J21" i="36"/>
  <c r="P8" i="23" a="1"/>
  <c r="K6" i="23" a="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17" i="23"/>
  <c r="T17" i="23"/>
  <c r="S15" i="23"/>
  <c r="Y16" i="23"/>
  <c r="AD571" i="23"/>
  <c r="AD536" i="23"/>
  <c r="AD501" i="23"/>
  <c r="AD466" i="23"/>
  <c r="AD431" i="23"/>
  <c r="AD396" i="23"/>
  <c r="AD361" i="23"/>
  <c r="AD326" i="23"/>
  <c r="AD291" i="23"/>
  <c r="AD256" i="23"/>
  <c r="AD221" i="23"/>
  <c r="AD186" i="23"/>
  <c r="AD151" i="23"/>
  <c r="AD116" i="23"/>
  <c r="AD81" i="23"/>
  <c r="Y571" i="23"/>
  <c r="Y570" i="23"/>
  <c r="Y569" i="23"/>
  <c r="Y568" i="23"/>
  <c r="Y567" i="23"/>
  <c r="Y566" i="23"/>
  <c r="Y565" i="23"/>
  <c r="Y564" i="23"/>
  <c r="Y563" i="23"/>
  <c r="Y562" i="23"/>
  <c r="Y561" i="23"/>
  <c r="Y560" i="23"/>
  <c r="Y559" i="23"/>
  <c r="Y558" i="23"/>
  <c r="Y557" i="23"/>
  <c r="Y556" i="23"/>
  <c r="Y555" i="23"/>
  <c r="Y554" i="23"/>
  <c r="Y553" i="23"/>
  <c r="Y552" i="23"/>
  <c r="Y551" i="23"/>
  <c r="Y550" i="23"/>
  <c r="Y549" i="23"/>
  <c r="Y548" i="23"/>
  <c r="Y547" i="23"/>
  <c r="Y546" i="23"/>
  <c r="Y545" i="23"/>
  <c r="Y544" i="23"/>
  <c r="Y543" i="23"/>
  <c r="Y542" i="23"/>
  <c r="Y541" i="23"/>
  <c r="Y540" i="23"/>
  <c r="Y539" i="23"/>
  <c r="Y536" i="23"/>
  <c r="Y535" i="23"/>
  <c r="Y534" i="23"/>
  <c r="Y533" i="23"/>
  <c r="Y532" i="23"/>
  <c r="Y531" i="23"/>
  <c r="Y530" i="23"/>
  <c r="Y529" i="23"/>
  <c r="Y528" i="23"/>
  <c r="Y527" i="23"/>
  <c r="Y526" i="23"/>
  <c r="Y525" i="23"/>
  <c r="Y524" i="23"/>
  <c r="Y523" i="23"/>
  <c r="Y522" i="23"/>
  <c r="Y521" i="23"/>
  <c r="Y520" i="23"/>
  <c r="Y519" i="23"/>
  <c r="Y518" i="23"/>
  <c r="Y517" i="23"/>
  <c r="Y516" i="23"/>
  <c r="Y515" i="23"/>
  <c r="Y514" i="23"/>
  <c r="Y513" i="23"/>
  <c r="Y512" i="23"/>
  <c r="Y511" i="23"/>
  <c r="Y510" i="23"/>
  <c r="Y509" i="23"/>
  <c r="Y508" i="23"/>
  <c r="Y507" i="23"/>
  <c r="Y506" i="23"/>
  <c r="Y505" i="23"/>
  <c r="Y504" i="23"/>
  <c r="Y501" i="23"/>
  <c r="Y500" i="23"/>
  <c r="Y499" i="23"/>
  <c r="Y498" i="23"/>
  <c r="Y497" i="23"/>
  <c r="Y496" i="23"/>
  <c r="Y495" i="23"/>
  <c r="Y494" i="23"/>
  <c r="Y493" i="23"/>
  <c r="Y492" i="23"/>
  <c r="Y491" i="23"/>
  <c r="Y490" i="23"/>
  <c r="Y489" i="23"/>
  <c r="Y488" i="23"/>
  <c r="Y487" i="23"/>
  <c r="Y486" i="23"/>
  <c r="Y485" i="23"/>
  <c r="Y484" i="23"/>
  <c r="Y483" i="23"/>
  <c r="Y482" i="23"/>
  <c r="Y481" i="23"/>
  <c r="Y480" i="23"/>
  <c r="Y479" i="23"/>
  <c r="Y478" i="23"/>
  <c r="Y477" i="23"/>
  <c r="Y476" i="23"/>
  <c r="Y475" i="23"/>
  <c r="Y474" i="23"/>
  <c r="Y473" i="23"/>
  <c r="Y472" i="23"/>
  <c r="Y471" i="23"/>
  <c r="Y470" i="23"/>
  <c r="Y469" i="23"/>
  <c r="Y466" i="23"/>
  <c r="Y465" i="23"/>
  <c r="Y464" i="23"/>
  <c r="Y463" i="23"/>
  <c r="Y462" i="23"/>
  <c r="Y461" i="23"/>
  <c r="Y460" i="23"/>
  <c r="Y459" i="23"/>
  <c r="Y458" i="23"/>
  <c r="Y457" i="23"/>
  <c r="Y456" i="23"/>
  <c r="Y455" i="23"/>
  <c r="Y454" i="23"/>
  <c r="Y453" i="23"/>
  <c r="Y452" i="23"/>
  <c r="Y451" i="23"/>
  <c r="Y450" i="23"/>
  <c r="Y449" i="23"/>
  <c r="Y448" i="23"/>
  <c r="Y447" i="23"/>
  <c r="Y446" i="23"/>
  <c r="Y445" i="23"/>
  <c r="Y444" i="23"/>
  <c r="Y443" i="23"/>
  <c r="Y442" i="23"/>
  <c r="Y441" i="23"/>
  <c r="Y440" i="23"/>
  <c r="Y439" i="23"/>
  <c r="Y438" i="23"/>
  <c r="Y437" i="23"/>
  <c r="Y436" i="23"/>
  <c r="Y435" i="23"/>
  <c r="Y434" i="23"/>
  <c r="Y431" i="23"/>
  <c r="Y430" i="23"/>
  <c r="Y429" i="23"/>
  <c r="Y428" i="23"/>
  <c r="Y427" i="23"/>
  <c r="Y426" i="23"/>
  <c r="Y425" i="23"/>
  <c r="Y424" i="23"/>
  <c r="Y423" i="23"/>
  <c r="Y422" i="23"/>
  <c r="Y421" i="23"/>
  <c r="Y420" i="23"/>
  <c r="Y419" i="23"/>
  <c r="Y418" i="23"/>
  <c r="Y417" i="23"/>
  <c r="Y416" i="23"/>
  <c r="Y415" i="23"/>
  <c r="Y414" i="23"/>
  <c r="Y413" i="23"/>
  <c r="Y412" i="23"/>
  <c r="Y411" i="23"/>
  <c r="Y410" i="23"/>
  <c r="Y409" i="23"/>
  <c r="Y408" i="23"/>
  <c r="Y407" i="23"/>
  <c r="Y406" i="23"/>
  <c r="Y405" i="23"/>
  <c r="Y404" i="23"/>
  <c r="Y403" i="23"/>
  <c r="Y402" i="23"/>
  <c r="Y401" i="23"/>
  <c r="Y400" i="23"/>
  <c r="Y399" i="23"/>
  <c r="Y396" i="23"/>
  <c r="Y395" i="23"/>
  <c r="Y394" i="23"/>
  <c r="Y393" i="23"/>
  <c r="Y392" i="23"/>
  <c r="Y391" i="23"/>
  <c r="Y390" i="23"/>
  <c r="Y389" i="23"/>
  <c r="Y388" i="23"/>
  <c r="Y387" i="23"/>
  <c r="Y386" i="23"/>
  <c r="Y385" i="23"/>
  <c r="Y384" i="23"/>
  <c r="Y383" i="23"/>
  <c r="Y382" i="23"/>
  <c r="Y381" i="23"/>
  <c r="Y380" i="23"/>
  <c r="Y379" i="23"/>
  <c r="Y378" i="23"/>
  <c r="Y377" i="23"/>
  <c r="Y376" i="23"/>
  <c r="Y375" i="23"/>
  <c r="Y374" i="23"/>
  <c r="Y373" i="23"/>
  <c r="Y372" i="23"/>
  <c r="Y371" i="23"/>
  <c r="Y370" i="23"/>
  <c r="Y369" i="23"/>
  <c r="Y368" i="23"/>
  <c r="Y367" i="23"/>
  <c r="Y366" i="23"/>
  <c r="Y365" i="23"/>
  <c r="Y364" i="23"/>
  <c r="Y361" i="23"/>
  <c r="Y360" i="23"/>
  <c r="Y359" i="23"/>
  <c r="Y358" i="23"/>
  <c r="Y357" i="23"/>
  <c r="Y356" i="23"/>
  <c r="Y355" i="23"/>
  <c r="Y354" i="23"/>
  <c r="Y353" i="23"/>
  <c r="Y352" i="23"/>
  <c r="Y351" i="23"/>
  <c r="Y350" i="23"/>
  <c r="Y349" i="23"/>
  <c r="Y348" i="23"/>
  <c r="Y347" i="23"/>
  <c r="Y346" i="23"/>
  <c r="Y345" i="23"/>
  <c r="Y344" i="23"/>
  <c r="Y343" i="23"/>
  <c r="Y342" i="23"/>
  <c r="Y341" i="23"/>
  <c r="Y340" i="23"/>
  <c r="Y339" i="23"/>
  <c r="Y338" i="23"/>
  <c r="Y337" i="23"/>
  <c r="Y336" i="23"/>
  <c r="Y335" i="23"/>
  <c r="Y334" i="23"/>
  <c r="Y333" i="23"/>
  <c r="Y332" i="23"/>
  <c r="Y331" i="23"/>
  <c r="Y330" i="23"/>
  <c r="Y329" i="23"/>
  <c r="Y326" i="23"/>
  <c r="Y325" i="23"/>
  <c r="Y324" i="23"/>
  <c r="Y323" i="23"/>
  <c r="Y322" i="23"/>
  <c r="Y321" i="23"/>
  <c r="Y320" i="23"/>
  <c r="Y319" i="23"/>
  <c r="Y318" i="23"/>
  <c r="Y317" i="23"/>
  <c r="Y316" i="23"/>
  <c r="Y315" i="23"/>
  <c r="Y314" i="23"/>
  <c r="Y313" i="23"/>
  <c r="Y312" i="23"/>
  <c r="Y311" i="23"/>
  <c r="Y310" i="23"/>
  <c r="Y309" i="23"/>
  <c r="Y308" i="23"/>
  <c r="Y307" i="23"/>
  <c r="Y306" i="23"/>
  <c r="Y305" i="23"/>
  <c r="Y304" i="23"/>
  <c r="Y303" i="23"/>
  <c r="Y302" i="23"/>
  <c r="Y301" i="23"/>
  <c r="Y300" i="23"/>
  <c r="Y299" i="23"/>
  <c r="Y298" i="23"/>
  <c r="Y297" i="23"/>
  <c r="Y296" i="23"/>
  <c r="Y295" i="23"/>
  <c r="Y294" i="23"/>
  <c r="Y291" i="23"/>
  <c r="Y290" i="23"/>
  <c r="Y289" i="23"/>
  <c r="Y288" i="23"/>
  <c r="Y287" i="23"/>
  <c r="Y286" i="23"/>
  <c r="Y285" i="23"/>
  <c r="Y284" i="23"/>
  <c r="Y283" i="23"/>
  <c r="Y282" i="23"/>
  <c r="Y281" i="23"/>
  <c r="Y280" i="23"/>
  <c r="Y279" i="23"/>
  <c r="Y278" i="23"/>
  <c r="Y277" i="23"/>
  <c r="Y276" i="23"/>
  <c r="Y275" i="23"/>
  <c r="Y274" i="23"/>
  <c r="Y273" i="23"/>
  <c r="Y272" i="23"/>
  <c r="Y271" i="23"/>
  <c r="Y270" i="23"/>
  <c r="Y269" i="23"/>
  <c r="Y268" i="23"/>
  <c r="Y267" i="23"/>
  <c r="Y266" i="23"/>
  <c r="Y265" i="23"/>
  <c r="Y264" i="23"/>
  <c r="Y263" i="23"/>
  <c r="Y262" i="23"/>
  <c r="Y261" i="23"/>
  <c r="Y260" i="23"/>
  <c r="Y259" i="23"/>
  <c r="Y256" i="23"/>
  <c r="Y255" i="23"/>
  <c r="Y254" i="23"/>
  <c r="Y253" i="23"/>
  <c r="Y252" i="23"/>
  <c r="Y251" i="23"/>
  <c r="Y250" i="23"/>
  <c r="Y249" i="23"/>
  <c r="Y248" i="23"/>
  <c r="Y247" i="23"/>
  <c r="Y246" i="23"/>
  <c r="Y245" i="23"/>
  <c r="Y244" i="23"/>
  <c r="Y243" i="23"/>
  <c r="Y242" i="23"/>
  <c r="Y241" i="23"/>
  <c r="Y240" i="23"/>
  <c r="Y239" i="23"/>
  <c r="Y238" i="23"/>
  <c r="Y237" i="23"/>
  <c r="Y236" i="23"/>
  <c r="Y235" i="23"/>
  <c r="Y234" i="23"/>
  <c r="Y233" i="23"/>
  <c r="Y232" i="23"/>
  <c r="Y231" i="23"/>
  <c r="Y230" i="23"/>
  <c r="Y229" i="23"/>
  <c r="Y228" i="23"/>
  <c r="Y227" i="23"/>
  <c r="Y226" i="23"/>
  <c r="Y225" i="23"/>
  <c r="Y224" i="23"/>
  <c r="Y221" i="23"/>
  <c r="Y220" i="23"/>
  <c r="Y219" i="23"/>
  <c r="Y218" i="23"/>
  <c r="Y217" i="23"/>
  <c r="Y216" i="23"/>
  <c r="Y215" i="23"/>
  <c r="Y214" i="23"/>
  <c r="Y213" i="23"/>
  <c r="Y212" i="23"/>
  <c r="Y211" i="23"/>
  <c r="Y210" i="23"/>
  <c r="Y209" i="23"/>
  <c r="Y208" i="23"/>
  <c r="Y207" i="23"/>
  <c r="Y206" i="23"/>
  <c r="Y205" i="23"/>
  <c r="Y204" i="23"/>
  <c r="Y203" i="23"/>
  <c r="Y202" i="23"/>
  <c r="Y201" i="23"/>
  <c r="Y200" i="23"/>
  <c r="Y199" i="23"/>
  <c r="Y198" i="23"/>
  <c r="Y197" i="23"/>
  <c r="Y196" i="23"/>
  <c r="Y195" i="23"/>
  <c r="Y194" i="23"/>
  <c r="Y193" i="23"/>
  <c r="Y192" i="23"/>
  <c r="Y191" i="23"/>
  <c r="Y190" i="23"/>
  <c r="Y189" i="23"/>
  <c r="Y186" i="23"/>
  <c r="Y185" i="23"/>
  <c r="Y184" i="23"/>
  <c r="Y183" i="23"/>
  <c r="Y182" i="23"/>
  <c r="Y181" i="23"/>
  <c r="Y180" i="23"/>
  <c r="Y179" i="23"/>
  <c r="Y178" i="23"/>
  <c r="Y177" i="23"/>
  <c r="Y176" i="23"/>
  <c r="Y175" i="23"/>
  <c r="Y174" i="23"/>
  <c r="Y173" i="23"/>
  <c r="Y172" i="23"/>
  <c r="Y171" i="23"/>
  <c r="Y170" i="23"/>
  <c r="Y169" i="23"/>
  <c r="Y168" i="23"/>
  <c r="Y167" i="23"/>
  <c r="Y166" i="23"/>
  <c r="Y165" i="23"/>
  <c r="Y164" i="23"/>
  <c r="Y163" i="23"/>
  <c r="Y162" i="23"/>
  <c r="Y161" i="23"/>
  <c r="Y160" i="23"/>
  <c r="Y159" i="23"/>
  <c r="Y158" i="23"/>
  <c r="Y157" i="23"/>
  <c r="Y156" i="23"/>
  <c r="Y155" i="23"/>
  <c r="Y154" i="23"/>
  <c r="Y151" i="23"/>
  <c r="Y150" i="23"/>
  <c r="Y149" i="23"/>
  <c r="Y148" i="23"/>
  <c r="Y147" i="23"/>
  <c r="Y146" i="23"/>
  <c r="Y145" i="23"/>
  <c r="Y144" i="23"/>
  <c r="Y143" i="23"/>
  <c r="Y142" i="23"/>
  <c r="Y141" i="23"/>
  <c r="Y140" i="23"/>
  <c r="Y139" i="23"/>
  <c r="Y138" i="23"/>
  <c r="Y137" i="23"/>
  <c r="Y136" i="23"/>
  <c r="Y135" i="23"/>
  <c r="Y134" i="23"/>
  <c r="Y133" i="23"/>
  <c r="Y132" i="23"/>
  <c r="Y131" i="23"/>
  <c r="Y130" i="23"/>
  <c r="Y129" i="23"/>
  <c r="Y128" i="23"/>
  <c r="Y127" i="23"/>
  <c r="Y126" i="23"/>
  <c r="Y125" i="23"/>
  <c r="Y124" i="23"/>
  <c r="Y123" i="23"/>
  <c r="Y122" i="23"/>
  <c r="Y121" i="23"/>
  <c r="Y120" i="23"/>
  <c r="Y119" i="23"/>
  <c r="Y116" i="23"/>
  <c r="Y115" i="23"/>
  <c r="Y114" i="23"/>
  <c r="Y113" i="23"/>
  <c r="Y112" i="23"/>
  <c r="Y111" i="23"/>
  <c r="Y110" i="23"/>
  <c r="Y109" i="23"/>
  <c r="Y108" i="23"/>
  <c r="Y107" i="23"/>
  <c r="Y106" i="23"/>
  <c r="Y105" i="23"/>
  <c r="Y104" i="23"/>
  <c r="Y103" i="23"/>
  <c r="Y102" i="23"/>
  <c r="Y101" i="23"/>
  <c r="Y100" i="23"/>
  <c r="Y99" i="23"/>
  <c r="Y98" i="23"/>
  <c r="Y97" i="23"/>
  <c r="Y96" i="23"/>
  <c r="Y95" i="23"/>
  <c r="Y94" i="23"/>
  <c r="Y93" i="23"/>
  <c r="Y92" i="23"/>
  <c r="Y91" i="23"/>
  <c r="Y90" i="23"/>
  <c r="Y89" i="23"/>
  <c r="Y88" i="23"/>
  <c r="Y87" i="23"/>
  <c r="Y86" i="23"/>
  <c r="Y85" i="23"/>
  <c r="Y84" i="23"/>
  <c r="Y81" i="23"/>
  <c r="Y80" i="23"/>
  <c r="Y79" i="23"/>
  <c r="Y78" i="23"/>
  <c r="Y77" i="23"/>
  <c r="Y76" i="23"/>
  <c r="Y75" i="23"/>
  <c r="Y74" i="23"/>
  <c r="Y73" i="23"/>
  <c r="Y72" i="23"/>
  <c r="Y71" i="23"/>
  <c r="Y70" i="23"/>
  <c r="Y69" i="23"/>
  <c r="Y68" i="23"/>
  <c r="Y67" i="23"/>
  <c r="Y66" i="23"/>
  <c r="Y65" i="23"/>
  <c r="Y64" i="23"/>
  <c r="Y63" i="23"/>
  <c r="Y62" i="23"/>
  <c r="Y61" i="23"/>
  <c r="Y60" i="23"/>
  <c r="Y59" i="23"/>
  <c r="Y58" i="23"/>
  <c r="Y57" i="23"/>
  <c r="Y56" i="23"/>
  <c r="Y55" i="23"/>
  <c r="Y54" i="23"/>
  <c r="Y53" i="23"/>
  <c r="Y52" i="23"/>
  <c r="Y51" i="23"/>
  <c r="Y50" i="23"/>
  <c r="Y49" i="23"/>
  <c r="Y15"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16" i="23"/>
  <c r="M15"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R571" i="23"/>
  <c r="R570" i="23"/>
  <c r="R569" i="23"/>
  <c r="R568" i="23"/>
  <c r="R567" i="23"/>
  <c r="R566" i="23"/>
  <c r="R565" i="23"/>
  <c r="R564" i="23"/>
  <c r="R563" i="23"/>
  <c r="R562" i="23"/>
  <c r="R561" i="23"/>
  <c r="R560" i="23"/>
  <c r="R559" i="23"/>
  <c r="R558" i="23"/>
  <c r="R557" i="23"/>
  <c r="R556" i="23"/>
  <c r="R555" i="23"/>
  <c r="R554" i="23"/>
  <c r="R553" i="23"/>
  <c r="R552" i="23"/>
  <c r="R551" i="23"/>
  <c r="R550" i="23"/>
  <c r="R549" i="23"/>
  <c r="R548" i="23"/>
  <c r="R547" i="23"/>
  <c r="R546" i="23"/>
  <c r="R545" i="23"/>
  <c r="R544" i="23"/>
  <c r="R543" i="23"/>
  <c r="R542" i="23"/>
  <c r="R541" i="23"/>
  <c r="R540" i="23"/>
  <c r="R539" i="23"/>
  <c r="R536" i="23"/>
  <c r="R535" i="23"/>
  <c r="R534" i="23"/>
  <c r="R533" i="23"/>
  <c r="R532" i="23"/>
  <c r="R531" i="23"/>
  <c r="R530" i="23"/>
  <c r="R529" i="23"/>
  <c r="R528" i="23"/>
  <c r="R527" i="23"/>
  <c r="R526" i="23"/>
  <c r="R525" i="23"/>
  <c r="R524" i="23"/>
  <c r="R523" i="23"/>
  <c r="R522" i="23"/>
  <c r="R521" i="23"/>
  <c r="R520" i="23"/>
  <c r="R519" i="23"/>
  <c r="R518" i="23"/>
  <c r="R517" i="23"/>
  <c r="R516" i="23"/>
  <c r="R515" i="23"/>
  <c r="R514" i="23"/>
  <c r="R513" i="23"/>
  <c r="R512" i="23"/>
  <c r="R511" i="23"/>
  <c r="R510" i="23"/>
  <c r="R509" i="23"/>
  <c r="R508" i="23"/>
  <c r="R507" i="23"/>
  <c r="R506" i="23"/>
  <c r="R505" i="23"/>
  <c r="R504" i="23"/>
  <c r="R501" i="23"/>
  <c r="R500" i="23"/>
  <c r="R499" i="23"/>
  <c r="R498" i="23"/>
  <c r="R497" i="23"/>
  <c r="R496" i="23"/>
  <c r="R495" i="23"/>
  <c r="R494" i="23"/>
  <c r="R493" i="23"/>
  <c r="R492" i="23"/>
  <c r="R491" i="23"/>
  <c r="R490" i="23"/>
  <c r="R489" i="23"/>
  <c r="R488" i="23"/>
  <c r="R487" i="23"/>
  <c r="R486" i="23"/>
  <c r="R485" i="23"/>
  <c r="R484" i="23"/>
  <c r="R483" i="23"/>
  <c r="R482" i="23"/>
  <c r="R481" i="23"/>
  <c r="R480" i="23"/>
  <c r="R479" i="23"/>
  <c r="R478" i="23"/>
  <c r="R477" i="23"/>
  <c r="R476" i="23"/>
  <c r="R475" i="23"/>
  <c r="R474" i="23"/>
  <c r="R473" i="23"/>
  <c r="R472" i="23"/>
  <c r="R471" i="23"/>
  <c r="R470" i="23"/>
  <c r="R469" i="23"/>
  <c r="R466" i="23"/>
  <c r="R465" i="23"/>
  <c r="R464" i="23"/>
  <c r="R463" i="23"/>
  <c r="R462" i="23"/>
  <c r="R461" i="23"/>
  <c r="R460" i="23"/>
  <c r="R459" i="23"/>
  <c r="R458" i="23"/>
  <c r="R457" i="23"/>
  <c r="R456" i="23"/>
  <c r="R455" i="23"/>
  <c r="R454" i="23"/>
  <c r="R453" i="23"/>
  <c r="R452" i="23"/>
  <c r="R451" i="23"/>
  <c r="R450" i="23"/>
  <c r="R449" i="23"/>
  <c r="R448" i="23"/>
  <c r="R447" i="23"/>
  <c r="R446" i="23"/>
  <c r="R445" i="23"/>
  <c r="R444" i="23"/>
  <c r="R443" i="23"/>
  <c r="R442" i="23"/>
  <c r="R441" i="23"/>
  <c r="R440" i="23"/>
  <c r="R439" i="23"/>
  <c r="R438" i="23"/>
  <c r="R437" i="23"/>
  <c r="R436" i="23"/>
  <c r="R435" i="23"/>
  <c r="R434" i="23"/>
  <c r="R431" i="23"/>
  <c r="R430" i="23"/>
  <c r="R429" i="23"/>
  <c r="R428" i="23"/>
  <c r="R427" i="23"/>
  <c r="R426" i="23"/>
  <c r="R425" i="23"/>
  <c r="R424" i="23"/>
  <c r="R423" i="23"/>
  <c r="R422" i="23"/>
  <c r="R421" i="23"/>
  <c r="R420" i="23"/>
  <c r="R419" i="23"/>
  <c r="R418" i="23"/>
  <c r="R417" i="23"/>
  <c r="R416" i="23"/>
  <c r="R415" i="23"/>
  <c r="R414" i="23"/>
  <c r="R413" i="23"/>
  <c r="R412" i="23"/>
  <c r="R411" i="23"/>
  <c r="R410" i="23"/>
  <c r="R409" i="23"/>
  <c r="R408" i="23"/>
  <c r="R407" i="23"/>
  <c r="R406" i="23"/>
  <c r="R405" i="23"/>
  <c r="R404" i="23"/>
  <c r="R403" i="23"/>
  <c r="R402" i="23"/>
  <c r="R401" i="23"/>
  <c r="R400" i="23"/>
  <c r="R399" i="23"/>
  <c r="R396" i="23"/>
  <c r="R395" i="23"/>
  <c r="R394" i="23"/>
  <c r="R393" i="23"/>
  <c r="R392" i="23"/>
  <c r="R391" i="23"/>
  <c r="R390" i="23"/>
  <c r="R389" i="23"/>
  <c r="R388" i="23"/>
  <c r="R387" i="23"/>
  <c r="R386" i="23"/>
  <c r="R385" i="23"/>
  <c r="R384" i="23"/>
  <c r="R383" i="23"/>
  <c r="R382" i="23"/>
  <c r="R381" i="23"/>
  <c r="R380" i="23"/>
  <c r="R379" i="23"/>
  <c r="R378" i="23"/>
  <c r="R377" i="23"/>
  <c r="R376" i="23"/>
  <c r="R375" i="23"/>
  <c r="R374" i="23"/>
  <c r="R373" i="23"/>
  <c r="R372" i="23"/>
  <c r="R371" i="23"/>
  <c r="R370" i="23"/>
  <c r="R369" i="23"/>
  <c r="R368" i="23"/>
  <c r="R367" i="23"/>
  <c r="R366" i="23"/>
  <c r="R365" i="23"/>
  <c r="R364" i="23"/>
  <c r="R361" i="23"/>
  <c r="R360" i="23"/>
  <c r="R359" i="23"/>
  <c r="R358" i="23"/>
  <c r="R357" i="23"/>
  <c r="R356" i="23"/>
  <c r="R355" i="23"/>
  <c r="R354" i="23"/>
  <c r="R353" i="23"/>
  <c r="R352" i="23"/>
  <c r="R351" i="23"/>
  <c r="R350" i="23"/>
  <c r="R349" i="23"/>
  <c r="R348" i="23"/>
  <c r="R347" i="23"/>
  <c r="R346" i="23"/>
  <c r="R345" i="23"/>
  <c r="R344" i="23"/>
  <c r="R343" i="23"/>
  <c r="R342" i="23"/>
  <c r="R341" i="23"/>
  <c r="R340" i="23"/>
  <c r="R339" i="23"/>
  <c r="R338" i="23"/>
  <c r="R337" i="23"/>
  <c r="R336" i="23"/>
  <c r="R335" i="23"/>
  <c r="R334" i="23"/>
  <c r="R333" i="23"/>
  <c r="R332" i="23"/>
  <c r="R331" i="23"/>
  <c r="R330" i="23"/>
  <c r="R329" i="23"/>
  <c r="R326" i="23"/>
  <c r="R325" i="23"/>
  <c r="R324" i="23"/>
  <c r="R323" i="23"/>
  <c r="R322" i="23"/>
  <c r="R321" i="23"/>
  <c r="R320" i="23"/>
  <c r="R319" i="23"/>
  <c r="R318" i="23"/>
  <c r="R317" i="23"/>
  <c r="R316" i="23"/>
  <c r="R315" i="23"/>
  <c r="R314" i="23"/>
  <c r="R313" i="23"/>
  <c r="R312" i="23"/>
  <c r="R311" i="23"/>
  <c r="R310" i="23"/>
  <c r="R309" i="23"/>
  <c r="R308" i="23"/>
  <c r="R307" i="23"/>
  <c r="R306" i="23"/>
  <c r="R305" i="23"/>
  <c r="R304" i="23"/>
  <c r="R303" i="23"/>
  <c r="R302" i="23"/>
  <c r="R301" i="23"/>
  <c r="R300" i="23"/>
  <c r="R299" i="23"/>
  <c r="R298" i="23"/>
  <c r="R297" i="23"/>
  <c r="R296" i="23"/>
  <c r="R295" i="23"/>
  <c r="R294" i="23"/>
  <c r="R291" i="23"/>
  <c r="R290" i="23"/>
  <c r="R289" i="23"/>
  <c r="R288" i="23"/>
  <c r="R287" i="23"/>
  <c r="R286" i="23"/>
  <c r="R285" i="23"/>
  <c r="R284" i="23"/>
  <c r="R283" i="23"/>
  <c r="R282" i="23"/>
  <c r="R281" i="23"/>
  <c r="R280" i="23"/>
  <c r="R279" i="23"/>
  <c r="R278" i="23"/>
  <c r="R277" i="23"/>
  <c r="R276" i="23"/>
  <c r="R275" i="23"/>
  <c r="R274" i="23"/>
  <c r="R273" i="23"/>
  <c r="R272" i="23"/>
  <c r="R271" i="23"/>
  <c r="R270" i="23"/>
  <c r="R269" i="23"/>
  <c r="R268" i="23"/>
  <c r="R267" i="23"/>
  <c r="R266" i="23"/>
  <c r="R265" i="23"/>
  <c r="R264" i="23"/>
  <c r="R263" i="23"/>
  <c r="R262" i="23"/>
  <c r="R261" i="23"/>
  <c r="R260" i="23"/>
  <c r="R259" i="23"/>
  <c r="R256" i="23"/>
  <c r="R255" i="23"/>
  <c r="R254" i="23"/>
  <c r="R253" i="23"/>
  <c r="R252" i="23"/>
  <c r="R251" i="23"/>
  <c r="R250" i="23"/>
  <c r="R249" i="23"/>
  <c r="R248" i="23"/>
  <c r="R247" i="23"/>
  <c r="R246" i="23"/>
  <c r="R245" i="23"/>
  <c r="R244" i="23"/>
  <c r="R243" i="23"/>
  <c r="R242" i="23"/>
  <c r="R241" i="23"/>
  <c r="R240" i="23"/>
  <c r="R239" i="23"/>
  <c r="R238" i="23"/>
  <c r="R237" i="23"/>
  <c r="R236" i="23"/>
  <c r="R235" i="23"/>
  <c r="R234" i="23"/>
  <c r="R233" i="23"/>
  <c r="R232" i="23"/>
  <c r="R231" i="23"/>
  <c r="R230" i="23"/>
  <c r="R229" i="23"/>
  <c r="R228" i="23"/>
  <c r="R227" i="23"/>
  <c r="R226" i="23"/>
  <c r="R225" i="23"/>
  <c r="R224" i="23"/>
  <c r="R221" i="23"/>
  <c r="R220" i="23"/>
  <c r="R219" i="23"/>
  <c r="R218" i="23"/>
  <c r="R217" i="23"/>
  <c r="R216" i="23"/>
  <c r="R215" i="23"/>
  <c r="R214" i="23"/>
  <c r="R213" i="23"/>
  <c r="R212" i="23"/>
  <c r="R211" i="23"/>
  <c r="R210" i="23"/>
  <c r="R209" i="23"/>
  <c r="R208" i="23"/>
  <c r="R207" i="23"/>
  <c r="R206" i="23"/>
  <c r="R205" i="23"/>
  <c r="R204" i="23"/>
  <c r="R203" i="23"/>
  <c r="R202" i="23"/>
  <c r="R201" i="23"/>
  <c r="R200" i="23"/>
  <c r="R199" i="23"/>
  <c r="R198" i="23"/>
  <c r="R197" i="23"/>
  <c r="R196" i="23"/>
  <c r="R195" i="23"/>
  <c r="R194" i="23"/>
  <c r="R193" i="23"/>
  <c r="R192" i="23"/>
  <c r="R191" i="23"/>
  <c r="R190" i="23"/>
  <c r="R189" i="23"/>
  <c r="R186" i="23"/>
  <c r="R185" i="23"/>
  <c r="R184" i="23"/>
  <c r="R183" i="23"/>
  <c r="R182" i="23"/>
  <c r="R181" i="23"/>
  <c r="R180" i="23"/>
  <c r="R179" i="23"/>
  <c r="R178" i="23"/>
  <c r="R177" i="23"/>
  <c r="R176" i="23"/>
  <c r="R175" i="23"/>
  <c r="R174" i="23"/>
  <c r="R173" i="23"/>
  <c r="R172" i="23"/>
  <c r="R171" i="23"/>
  <c r="R170" i="23"/>
  <c r="R169" i="23"/>
  <c r="R168" i="23"/>
  <c r="R167" i="23"/>
  <c r="R166" i="23"/>
  <c r="R165" i="23"/>
  <c r="R164" i="23"/>
  <c r="R163" i="23"/>
  <c r="R162" i="23"/>
  <c r="R161" i="23"/>
  <c r="R160" i="23"/>
  <c r="R159" i="23"/>
  <c r="R158" i="23"/>
  <c r="R157" i="23"/>
  <c r="R156" i="23"/>
  <c r="R155" i="23"/>
  <c r="R154" i="23"/>
  <c r="R151" i="23"/>
  <c r="R150" i="23"/>
  <c r="R149" i="23"/>
  <c r="R148" i="23"/>
  <c r="R147" i="23"/>
  <c r="R146" i="23"/>
  <c r="R145" i="23"/>
  <c r="R144" i="23"/>
  <c r="R143" i="23"/>
  <c r="R142" i="23"/>
  <c r="R141" i="23"/>
  <c r="R140" i="23"/>
  <c r="R139" i="23"/>
  <c r="R138" i="23"/>
  <c r="R137" i="23"/>
  <c r="R136" i="23"/>
  <c r="R135" i="23"/>
  <c r="R134" i="23"/>
  <c r="R133" i="23"/>
  <c r="R132" i="23"/>
  <c r="R131" i="23"/>
  <c r="R130" i="23"/>
  <c r="R129" i="23"/>
  <c r="R128" i="23"/>
  <c r="R127" i="23"/>
  <c r="R126" i="23"/>
  <c r="R125" i="23"/>
  <c r="R124" i="23"/>
  <c r="R123" i="23"/>
  <c r="R122" i="23"/>
  <c r="R121" i="23"/>
  <c r="R120" i="23"/>
  <c r="R119" i="23"/>
  <c r="R116" i="23"/>
  <c r="R115" i="23"/>
  <c r="R114" i="23"/>
  <c r="R113" i="23"/>
  <c r="R112" i="23"/>
  <c r="R111" i="23"/>
  <c r="R110" i="23"/>
  <c r="R109" i="23"/>
  <c r="R108" i="23"/>
  <c r="R107" i="23"/>
  <c r="R106" i="23"/>
  <c r="R105" i="23"/>
  <c r="R104" i="23"/>
  <c r="R103" i="23"/>
  <c r="R102" i="23"/>
  <c r="R101" i="23"/>
  <c r="R100" i="23"/>
  <c r="R99" i="23"/>
  <c r="R98" i="23"/>
  <c r="R97" i="23"/>
  <c r="R96" i="23"/>
  <c r="R95" i="23"/>
  <c r="R94" i="23"/>
  <c r="R93" i="23"/>
  <c r="R92" i="23"/>
  <c r="R91" i="23"/>
  <c r="R90" i="23"/>
  <c r="R89" i="23"/>
  <c r="R88" i="23"/>
  <c r="R87" i="23"/>
  <c r="R86" i="23"/>
  <c r="R85" i="23"/>
  <c r="R84" i="23"/>
  <c r="R81" i="23"/>
  <c r="R80" i="23"/>
  <c r="R79" i="23"/>
  <c r="R78" i="23"/>
  <c r="R77" i="23"/>
  <c r="R76" i="23"/>
  <c r="R75" i="23"/>
  <c r="R74" i="23"/>
  <c r="R73" i="23"/>
  <c r="R72" i="23"/>
  <c r="R71" i="23"/>
  <c r="R70" i="23"/>
  <c r="R69" i="23"/>
  <c r="R68" i="23"/>
  <c r="R67" i="23"/>
  <c r="R66" i="23"/>
  <c r="R65" i="23"/>
  <c r="R64" i="23"/>
  <c r="R63" i="23"/>
  <c r="R62" i="23"/>
  <c r="R61" i="23"/>
  <c r="R60" i="23"/>
  <c r="R59" i="23"/>
  <c r="R58" i="23"/>
  <c r="R57" i="23"/>
  <c r="R56" i="23"/>
  <c r="R55" i="23"/>
  <c r="R54" i="23"/>
  <c r="R53" i="23"/>
  <c r="R52" i="23"/>
  <c r="R51" i="23"/>
  <c r="R50" i="23"/>
  <c r="R49" i="23"/>
  <c r="C15" i="23"/>
  <c r="C16" i="23"/>
  <c r="C14"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AD46" i="23"/>
  <c r="H47" i="23" a="1"/>
  <c r="H82" i="23" a="1"/>
  <c r="H117" i="23" a="1"/>
  <c r="H152" i="23" a="1"/>
  <c r="H187" i="23" a="1"/>
  <c r="H222" i="23" a="1"/>
  <c r="H257" i="23" a="1"/>
  <c r="H292" i="23" a="1"/>
  <c r="H327" i="23" a="1"/>
  <c r="H362" i="23" a="1"/>
  <c r="H397" i="23" a="1"/>
  <c r="H432" i="23" a="1"/>
  <c r="H467" i="23" a="1"/>
  <c r="H502" i="23" a="1"/>
  <c r="H537" i="23" a="1"/>
  <c r="H572" i="23" a="1"/>
  <c r="L474" i="23"/>
  <c r="H5" i="10"/>
  <c r="U33" i="23"/>
  <c r="U37" i="23"/>
  <c r="U36" i="23"/>
  <c r="S571" i="23"/>
  <c r="S570" i="23"/>
  <c r="S569" i="23"/>
  <c r="S568" i="23"/>
  <c r="S567" i="23"/>
  <c r="S566" i="23"/>
  <c r="S565" i="23"/>
  <c r="S564" i="23"/>
  <c r="S563" i="23"/>
  <c r="S562" i="23"/>
  <c r="S561" i="23"/>
  <c r="S560" i="23"/>
  <c r="S559" i="23"/>
  <c r="S558" i="23"/>
  <c r="S557" i="23"/>
  <c r="S556" i="23"/>
  <c r="S555" i="23"/>
  <c r="S554" i="23"/>
  <c r="S553" i="23"/>
  <c r="S552" i="23"/>
  <c r="S551" i="23"/>
  <c r="S550" i="23"/>
  <c r="S549" i="23"/>
  <c r="S548" i="23"/>
  <c r="S547" i="23"/>
  <c r="S546" i="23"/>
  <c r="S545" i="23"/>
  <c r="S544" i="23"/>
  <c r="S543" i="23"/>
  <c r="S542" i="23"/>
  <c r="S541" i="23"/>
  <c r="S540" i="23"/>
  <c r="S539" i="23"/>
  <c r="S536" i="23"/>
  <c r="S535" i="23"/>
  <c r="S534" i="23"/>
  <c r="S533" i="23"/>
  <c r="S532" i="23"/>
  <c r="S531" i="23"/>
  <c r="S530" i="23"/>
  <c r="S529" i="23"/>
  <c r="S528" i="23"/>
  <c r="S527" i="23"/>
  <c r="S526" i="23"/>
  <c r="S525" i="23"/>
  <c r="S524" i="23"/>
  <c r="S523" i="23"/>
  <c r="S522" i="23"/>
  <c r="S521" i="23"/>
  <c r="S520" i="23"/>
  <c r="S519" i="23"/>
  <c r="S518" i="23"/>
  <c r="S517" i="23"/>
  <c r="S516" i="23"/>
  <c r="S515" i="23"/>
  <c r="S514" i="23"/>
  <c r="S513" i="23"/>
  <c r="S512" i="23"/>
  <c r="S511" i="23"/>
  <c r="S510" i="23"/>
  <c r="S509" i="23"/>
  <c r="S508" i="23"/>
  <c r="S507" i="23"/>
  <c r="S506" i="23"/>
  <c r="S505" i="23"/>
  <c r="S504" i="23"/>
  <c r="S501" i="23"/>
  <c r="S500" i="23"/>
  <c r="S499" i="23"/>
  <c r="S498" i="23"/>
  <c r="S497" i="23"/>
  <c r="S496" i="23"/>
  <c r="S495" i="23"/>
  <c r="S494" i="23"/>
  <c r="S493" i="23"/>
  <c r="S492" i="23"/>
  <c r="S491" i="23"/>
  <c r="S490" i="23"/>
  <c r="S489" i="23"/>
  <c r="S488" i="23"/>
  <c r="S487" i="23"/>
  <c r="S486" i="23"/>
  <c r="S485" i="23"/>
  <c r="S484" i="23"/>
  <c r="S483" i="23"/>
  <c r="S482" i="23"/>
  <c r="S481" i="23"/>
  <c r="S480" i="23"/>
  <c r="S479" i="23"/>
  <c r="S478" i="23"/>
  <c r="S477" i="23"/>
  <c r="S476" i="23"/>
  <c r="S475" i="23"/>
  <c r="S474" i="23"/>
  <c r="S473" i="23"/>
  <c r="S472" i="23"/>
  <c r="S471" i="23"/>
  <c r="S470" i="23"/>
  <c r="S469" i="23"/>
  <c r="S466" i="23"/>
  <c r="S465" i="23"/>
  <c r="S464" i="23"/>
  <c r="S463" i="23"/>
  <c r="S462" i="23"/>
  <c r="S461" i="23"/>
  <c r="S460" i="23"/>
  <c r="S459" i="23"/>
  <c r="S458" i="23"/>
  <c r="S457" i="23"/>
  <c r="S456" i="23"/>
  <c r="S455" i="23"/>
  <c r="S454" i="23"/>
  <c r="S453" i="23"/>
  <c r="S452" i="23"/>
  <c r="S451" i="23"/>
  <c r="S450" i="23"/>
  <c r="S449" i="23"/>
  <c r="S448" i="23"/>
  <c r="S447" i="23"/>
  <c r="S446" i="23"/>
  <c r="S445" i="23"/>
  <c r="S444" i="23"/>
  <c r="S443" i="23"/>
  <c r="S442" i="23"/>
  <c r="S441" i="23"/>
  <c r="S440" i="23"/>
  <c r="S439" i="23"/>
  <c r="S438" i="23"/>
  <c r="S437" i="23"/>
  <c r="S436" i="23"/>
  <c r="S435" i="23"/>
  <c r="S434" i="23"/>
  <c r="S431" i="23"/>
  <c r="S430" i="23"/>
  <c r="S429" i="23"/>
  <c r="S428" i="23"/>
  <c r="S427" i="23"/>
  <c r="S426" i="23"/>
  <c r="S425" i="23"/>
  <c r="S424" i="23"/>
  <c r="S423" i="23"/>
  <c r="S422" i="23"/>
  <c r="S421" i="23"/>
  <c r="S420" i="23"/>
  <c r="S419" i="23"/>
  <c r="S418" i="23"/>
  <c r="S417" i="23"/>
  <c r="S416" i="23"/>
  <c r="S415" i="23"/>
  <c r="S414" i="23"/>
  <c r="S413" i="23"/>
  <c r="S412" i="23"/>
  <c r="S411" i="23"/>
  <c r="S410" i="23"/>
  <c r="S409" i="23"/>
  <c r="S408" i="23"/>
  <c r="S407" i="23"/>
  <c r="S406" i="23"/>
  <c r="S405" i="23"/>
  <c r="S404" i="23"/>
  <c r="S403" i="23"/>
  <c r="S402" i="23"/>
  <c r="S401" i="23"/>
  <c r="S400" i="23"/>
  <c r="S399" i="23"/>
  <c r="S396" i="23"/>
  <c r="S395" i="23"/>
  <c r="S394" i="23"/>
  <c r="S393" i="23"/>
  <c r="S392" i="23"/>
  <c r="S391" i="23"/>
  <c r="S390" i="23"/>
  <c r="S389" i="23"/>
  <c r="S388" i="23"/>
  <c r="S387" i="23"/>
  <c r="S386" i="23"/>
  <c r="S385" i="23"/>
  <c r="S384" i="23"/>
  <c r="S383" i="23"/>
  <c r="S382" i="23"/>
  <c r="S381" i="23"/>
  <c r="S380" i="23"/>
  <c r="S379" i="23"/>
  <c r="S378" i="23"/>
  <c r="S377" i="23"/>
  <c r="S376" i="23"/>
  <c r="S375" i="23"/>
  <c r="S374" i="23"/>
  <c r="S373" i="23"/>
  <c r="S372" i="23"/>
  <c r="S371" i="23"/>
  <c r="S370" i="23"/>
  <c r="S369" i="23"/>
  <c r="S368" i="23"/>
  <c r="S367" i="23"/>
  <c r="S366" i="23"/>
  <c r="S365" i="23"/>
  <c r="S364" i="23"/>
  <c r="S361" i="23"/>
  <c r="S360" i="23"/>
  <c r="S359" i="23"/>
  <c r="S358" i="23"/>
  <c r="S357" i="23"/>
  <c r="S356" i="23"/>
  <c r="S355" i="23"/>
  <c r="S354" i="23"/>
  <c r="S353" i="23"/>
  <c r="S352" i="23"/>
  <c r="S351" i="23"/>
  <c r="S350" i="23"/>
  <c r="S349" i="23"/>
  <c r="S348" i="23"/>
  <c r="S347" i="23"/>
  <c r="S346" i="23"/>
  <c r="S345" i="23"/>
  <c r="S344" i="23"/>
  <c r="S343" i="23"/>
  <c r="S342" i="23"/>
  <c r="S341" i="23"/>
  <c r="S340" i="23"/>
  <c r="S339" i="23"/>
  <c r="S338" i="23"/>
  <c r="S337" i="23"/>
  <c r="S336" i="23"/>
  <c r="S335" i="23"/>
  <c r="S334" i="23"/>
  <c r="S333" i="23"/>
  <c r="S332" i="23"/>
  <c r="S331" i="23"/>
  <c r="S330" i="23"/>
  <c r="S329" i="23"/>
  <c r="S326" i="23"/>
  <c r="S325" i="23"/>
  <c r="S324" i="23"/>
  <c r="S323" i="23"/>
  <c r="S322" i="23"/>
  <c r="S321" i="23"/>
  <c r="S320" i="23"/>
  <c r="S319" i="23"/>
  <c r="S318" i="23"/>
  <c r="S317" i="23"/>
  <c r="S316" i="23"/>
  <c r="S315" i="23"/>
  <c r="S314" i="23"/>
  <c r="S313" i="23"/>
  <c r="S312" i="23"/>
  <c r="S311" i="23"/>
  <c r="S310" i="23"/>
  <c r="S309" i="23"/>
  <c r="S308" i="23"/>
  <c r="S307" i="23"/>
  <c r="S306" i="23"/>
  <c r="S305" i="23"/>
  <c r="S304" i="23"/>
  <c r="S303" i="23"/>
  <c r="S302" i="23"/>
  <c r="S301" i="23"/>
  <c r="S300" i="23"/>
  <c r="S299" i="23"/>
  <c r="S298" i="23"/>
  <c r="S297" i="23"/>
  <c r="S296" i="23"/>
  <c r="S295" i="23"/>
  <c r="S294" i="23"/>
  <c r="S291" i="23"/>
  <c r="S290" i="23"/>
  <c r="S289" i="23"/>
  <c r="S288" i="23"/>
  <c r="S287" i="23"/>
  <c r="S286" i="23"/>
  <c r="S285" i="23"/>
  <c r="S284" i="23"/>
  <c r="S283" i="23"/>
  <c r="S282" i="23"/>
  <c r="S281" i="23"/>
  <c r="S280" i="23"/>
  <c r="S279" i="23"/>
  <c r="S278" i="23"/>
  <c r="S277" i="23"/>
  <c r="S276" i="23"/>
  <c r="S275" i="23"/>
  <c r="S274" i="23"/>
  <c r="S273" i="23"/>
  <c r="S272" i="23"/>
  <c r="S271" i="23"/>
  <c r="S270" i="23"/>
  <c r="S269" i="23"/>
  <c r="S268" i="23"/>
  <c r="S267" i="23"/>
  <c r="S266" i="23"/>
  <c r="S265" i="23"/>
  <c r="S264" i="23"/>
  <c r="S263" i="23"/>
  <c r="S262" i="23"/>
  <c r="S261" i="23"/>
  <c r="S260" i="23"/>
  <c r="S259" i="23"/>
  <c r="S256" i="23"/>
  <c r="S255" i="23"/>
  <c r="S254" i="23"/>
  <c r="S253" i="23"/>
  <c r="S252" i="23"/>
  <c r="S251" i="23"/>
  <c r="S250" i="23"/>
  <c r="S249" i="23"/>
  <c r="S248" i="23"/>
  <c r="S247" i="23"/>
  <c r="S246" i="23"/>
  <c r="S245" i="23"/>
  <c r="S244" i="23"/>
  <c r="S243" i="23"/>
  <c r="S242" i="23"/>
  <c r="S241" i="23"/>
  <c r="S240" i="23"/>
  <c r="S239" i="23"/>
  <c r="S238" i="23"/>
  <c r="S237" i="23"/>
  <c r="S236" i="23"/>
  <c r="S235" i="23"/>
  <c r="S234" i="23"/>
  <c r="S233" i="23"/>
  <c r="S232" i="23"/>
  <c r="S231" i="23"/>
  <c r="S230" i="23"/>
  <c r="S229" i="23"/>
  <c r="S228" i="23"/>
  <c r="S227" i="23"/>
  <c r="S226" i="23"/>
  <c r="S225" i="23"/>
  <c r="S224" i="23"/>
  <c r="S221" i="23"/>
  <c r="S220" i="23"/>
  <c r="S219" i="23"/>
  <c r="S218" i="23"/>
  <c r="S217" i="23"/>
  <c r="S216" i="23"/>
  <c r="S215" i="23"/>
  <c r="S214" i="23"/>
  <c r="S213" i="23"/>
  <c r="S212" i="23"/>
  <c r="S211" i="23"/>
  <c r="S210" i="23"/>
  <c r="S209" i="23"/>
  <c r="S208" i="23"/>
  <c r="S207" i="23"/>
  <c r="S206" i="23"/>
  <c r="S205" i="23"/>
  <c r="S204" i="23"/>
  <c r="S203" i="23"/>
  <c r="S202" i="23"/>
  <c r="S201" i="23"/>
  <c r="S200" i="23"/>
  <c r="S199" i="23"/>
  <c r="S198" i="23"/>
  <c r="S197" i="23"/>
  <c r="S196" i="23"/>
  <c r="S195" i="23"/>
  <c r="S194" i="23"/>
  <c r="S193" i="23"/>
  <c r="S192" i="23"/>
  <c r="S191" i="23"/>
  <c r="S190" i="23"/>
  <c r="S189" i="23"/>
  <c r="S186" i="23"/>
  <c r="S185" i="23"/>
  <c r="S184" i="23"/>
  <c r="S183" i="23"/>
  <c r="S182" i="23"/>
  <c r="S181" i="23"/>
  <c r="S180" i="23"/>
  <c r="S179" i="23"/>
  <c r="S178" i="23"/>
  <c r="S177" i="23"/>
  <c r="S176" i="23"/>
  <c r="S175" i="23"/>
  <c r="S174" i="23"/>
  <c r="S173" i="23"/>
  <c r="S172" i="23"/>
  <c r="S171" i="23"/>
  <c r="S170" i="23"/>
  <c r="S169" i="23"/>
  <c r="S168" i="23"/>
  <c r="S167" i="23"/>
  <c r="S166" i="23"/>
  <c r="S165" i="23"/>
  <c r="S164" i="23"/>
  <c r="S163" i="23"/>
  <c r="S162" i="23"/>
  <c r="S161" i="23"/>
  <c r="S160" i="23"/>
  <c r="S159" i="23"/>
  <c r="S158" i="23"/>
  <c r="S157" i="23"/>
  <c r="S156" i="23"/>
  <c r="S155" i="23"/>
  <c r="S154" i="23"/>
  <c r="S151" i="23"/>
  <c r="S150" i="23"/>
  <c r="S149" i="23"/>
  <c r="S148" i="23"/>
  <c r="S147" i="23"/>
  <c r="S146" i="23"/>
  <c r="S145" i="23"/>
  <c r="S144" i="23"/>
  <c r="S143" i="23"/>
  <c r="S142" i="23"/>
  <c r="S141" i="23"/>
  <c r="S140" i="23"/>
  <c r="S139" i="23"/>
  <c r="S138" i="23"/>
  <c r="S137" i="23"/>
  <c r="S136" i="23"/>
  <c r="S135" i="23"/>
  <c r="S134" i="23"/>
  <c r="S133" i="23"/>
  <c r="S132" i="23"/>
  <c r="S131" i="23"/>
  <c r="S130" i="23"/>
  <c r="S129" i="23"/>
  <c r="S128" i="23"/>
  <c r="S127" i="23"/>
  <c r="S126" i="23"/>
  <c r="S125" i="23"/>
  <c r="S124" i="23"/>
  <c r="S123" i="23"/>
  <c r="S122" i="23"/>
  <c r="S121" i="23"/>
  <c r="S120" i="23"/>
  <c r="S119" i="23"/>
  <c r="S116" i="23"/>
  <c r="S115" i="23"/>
  <c r="S114" i="23"/>
  <c r="S113" i="23"/>
  <c r="S112" i="23"/>
  <c r="S111" i="23"/>
  <c r="S110" i="23"/>
  <c r="S109" i="23"/>
  <c r="S108" i="23"/>
  <c r="S107" i="23"/>
  <c r="S106" i="23"/>
  <c r="S105" i="23"/>
  <c r="S104" i="23"/>
  <c r="S103" i="23"/>
  <c r="S102" i="23"/>
  <c r="S101" i="23"/>
  <c r="S100" i="23"/>
  <c r="S99" i="23"/>
  <c r="S98" i="23"/>
  <c r="S97" i="23"/>
  <c r="S96" i="23"/>
  <c r="S95" i="23"/>
  <c r="S94" i="23"/>
  <c r="S93" i="23"/>
  <c r="S92" i="23"/>
  <c r="S91" i="23"/>
  <c r="S90" i="23"/>
  <c r="S89" i="23"/>
  <c r="S88" i="23"/>
  <c r="S87" i="23"/>
  <c r="S86" i="23"/>
  <c r="S85" i="23"/>
  <c r="S84" i="23"/>
  <c r="S81" i="23"/>
  <c r="S80" i="23"/>
  <c r="S79" i="23"/>
  <c r="S78" i="23"/>
  <c r="S77" i="23"/>
  <c r="S76" i="23"/>
  <c r="S75" i="23"/>
  <c r="S74" i="23"/>
  <c r="S73" i="23"/>
  <c r="S72" i="23"/>
  <c r="S71" i="23"/>
  <c r="S70" i="23"/>
  <c r="S69" i="23"/>
  <c r="S68" i="23"/>
  <c r="S67" i="23"/>
  <c r="S66" i="23"/>
  <c r="S65" i="23"/>
  <c r="S64" i="23"/>
  <c r="S63" i="23"/>
  <c r="S62" i="23"/>
  <c r="S61" i="23"/>
  <c r="S60" i="23"/>
  <c r="S59" i="23"/>
  <c r="S58" i="23"/>
  <c r="S57" i="23"/>
  <c r="S56" i="23"/>
  <c r="S55" i="23"/>
  <c r="S54" i="23"/>
  <c r="S53" i="23"/>
  <c r="S52" i="23"/>
  <c r="S51" i="23"/>
  <c r="S50" i="23"/>
  <c r="S49"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9"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4"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9"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4"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9"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4"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9"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4"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9"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4"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9"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4"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9"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4"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Q49"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S16" i="23"/>
  <c r="T16" i="23"/>
  <c r="Q16" i="23"/>
  <c r="R16" i="23"/>
  <c r="Q17" i="23"/>
  <c r="R17" i="23"/>
  <c r="Q14" i="23"/>
  <c r="R14" i="23"/>
  <c r="Q15" i="23"/>
  <c r="R15" i="23"/>
  <c r="U16" i="23"/>
  <c r="S14" i="23"/>
  <c r="T14" i="23"/>
  <c r="T15" i="23"/>
  <c r="L14" i="23"/>
  <c r="L31" i="23"/>
  <c r="A31" i="23"/>
  <c r="A22" i="23"/>
  <c r="A21" i="23"/>
  <c r="B31" i="23"/>
  <c r="L22" i="23"/>
  <c r="B22" i="23"/>
  <c r="L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B90" i="23"/>
  <c r="B140" i="23"/>
  <c r="B174" i="23"/>
  <c r="B226" i="23"/>
  <c r="B99" i="23"/>
  <c r="B133" i="23"/>
  <c r="B167" i="23"/>
  <c r="B201" i="23"/>
  <c r="B235"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L91" i="23"/>
  <c r="L90" i="23"/>
  <c r="L89" i="23"/>
  <c r="L88" i="23"/>
  <c r="L87" i="23"/>
  <c r="L86" i="23"/>
  <c r="L85" i="23"/>
  <c r="L84" i="23"/>
  <c r="L81" i="23"/>
  <c r="K50" i="23"/>
  <c r="K51" i="23"/>
  <c r="K52" i="23"/>
  <c r="V52" i="23"/>
  <c r="W52" i="23"/>
  <c r="K53" i="23"/>
  <c r="K54" i="23"/>
  <c r="K55" i="23"/>
  <c r="K56" i="23"/>
  <c r="K57" i="23"/>
  <c r="V57" i="23"/>
  <c r="W57" i="23"/>
  <c r="K58" i="23"/>
  <c r="V58" i="23"/>
  <c r="K59" i="23"/>
  <c r="V59" i="23"/>
  <c r="W59" i="23"/>
  <c r="K60" i="23"/>
  <c r="V60" i="23"/>
  <c r="W60" i="23"/>
  <c r="K61" i="23"/>
  <c r="V61" i="23"/>
  <c r="W61" i="23"/>
  <c r="K62" i="23"/>
  <c r="K63" i="23"/>
  <c r="V63" i="23"/>
  <c r="W63" i="23"/>
  <c r="K64" i="23"/>
  <c r="V64" i="23"/>
  <c r="W64" i="23"/>
  <c r="K65" i="23"/>
  <c r="K66" i="23"/>
  <c r="V66" i="23"/>
  <c r="W66" i="23"/>
  <c r="K67" i="23"/>
  <c r="V67" i="23"/>
  <c r="W67" i="23"/>
  <c r="K68" i="23"/>
  <c r="V68" i="23"/>
  <c r="W68" i="23"/>
  <c r="K69" i="23"/>
  <c r="K70" i="23"/>
  <c r="V70" i="23"/>
  <c r="W70" i="23"/>
  <c r="K71" i="23"/>
  <c r="V71" i="23"/>
  <c r="K72" i="23"/>
  <c r="K73" i="23"/>
  <c r="V73" i="23"/>
  <c r="W73" i="23"/>
  <c r="K74" i="23"/>
  <c r="K75" i="23"/>
  <c r="K76" i="23"/>
  <c r="V76" i="23"/>
  <c r="W76" i="23"/>
  <c r="K77" i="23"/>
  <c r="V77" i="23"/>
  <c r="W77" i="23"/>
  <c r="K78" i="23"/>
  <c r="K79" i="23"/>
  <c r="K80" i="23"/>
  <c r="V80" i="23"/>
  <c r="W80" i="23"/>
  <c r="K49" i="23"/>
  <c r="V49" i="23"/>
  <c r="W49" i="23"/>
  <c r="L18" i="23"/>
  <c r="L17" i="23"/>
  <c r="L43" i="23"/>
  <c r="L49" i="23"/>
  <c r="L36" i="23"/>
  <c r="L35" i="23"/>
  <c r="L27" i="23"/>
  <c r="L44" i="23"/>
  <c r="L39" i="23"/>
  <c r="L23" i="23"/>
  <c r="L28" i="23"/>
  <c r="L40" i="23"/>
  <c r="L32" i="23"/>
  <c r="L24" i="23"/>
  <c r="L15" i="23"/>
  <c r="L41" i="23"/>
  <c r="L33" i="23"/>
  <c r="L25" i="23"/>
  <c r="L46" i="23"/>
  <c r="L20" i="23"/>
  <c r="L45" i="23"/>
  <c r="L80" i="23"/>
  <c r="L30" i="23"/>
  <c r="L19" i="23"/>
  <c r="L29" i="23"/>
  <c r="L38" i="23"/>
  <c r="L37" i="23"/>
  <c r="L16" i="23"/>
  <c r="L42" i="23"/>
  <c r="L34" i="23"/>
  <c r="L26" i="23"/>
  <c r="M14"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c r="E62" i="30"/>
  <c r="E53" i="30"/>
  <c r="E42" i="30"/>
  <c r="E31" i="30"/>
  <c r="E21" i="30"/>
  <c r="E10" i="30"/>
  <c r="E5" i="30"/>
  <c r="H71" i="30"/>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F46" i="2"/>
  <c r="P17" i="1"/>
  <c r="L17" i="1"/>
  <c r="AT11" i="23"/>
  <c r="H19" i="1"/>
  <c r="H18" i="1"/>
  <c r="H20" i="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c r="F30" i="15"/>
  <c r="F13" i="15"/>
  <c r="A4" i="1"/>
  <c r="C47" i="2"/>
  <c r="C75" i="2"/>
  <c r="A90" i="2"/>
  <c r="C3" i="2"/>
  <c r="C54" i="2"/>
  <c r="B54" i="2"/>
  <c r="C76" i="2"/>
  <c r="D4" i="15"/>
  <c r="E4" i="15"/>
  <c r="B4" i="15"/>
  <c r="C12" i="15"/>
  <c r="F4" i="15"/>
  <c r="G4" i="15"/>
  <c r="C4" i="15"/>
  <c r="D21" i="15"/>
  <c r="C21" i="15"/>
  <c r="E21" i="15"/>
  <c r="G21" i="15"/>
  <c r="C29" i="15"/>
  <c r="B21" i="15"/>
  <c r="F21" i="15"/>
  <c r="C30" i="15"/>
  <c r="G22" i="15"/>
  <c r="E5" i="15"/>
  <c r="H17" i="1"/>
  <c r="C97" i="2"/>
  <c r="V53" i="23" l="1"/>
  <c r="W53" i="23" s="1"/>
  <c r="U46" i="23"/>
  <c r="U34" i="23"/>
  <c r="U43" i="23"/>
  <c r="U35" i="23"/>
  <c r="U42" i="23"/>
  <c r="U41" i="23"/>
  <c r="U40" i="23"/>
  <c r="U39" i="23"/>
  <c r="U38" i="23"/>
  <c r="U45" i="23"/>
  <c r="U44" i="23"/>
  <c r="V74" i="23"/>
  <c r="W74" i="23" s="1"/>
  <c r="B22" i="15"/>
  <c r="W58" i="23"/>
  <c r="V79" i="23"/>
  <c r="W79" i="23" s="1"/>
  <c r="V55" i="23"/>
  <c r="W55" i="23" s="1"/>
  <c r="V72" i="23"/>
  <c r="W72" i="23" s="1"/>
  <c r="V50" i="23"/>
  <c r="V78" i="23"/>
  <c r="W78" i="23" s="1"/>
  <c r="I18" i="1"/>
  <c r="W71" i="23"/>
  <c r="G23" i="15"/>
  <c r="B5" i="15"/>
  <c r="V75" i="23"/>
  <c r="W75" i="23" s="1"/>
  <c r="I19" i="1"/>
  <c r="V51" i="23"/>
  <c r="W51" i="23" s="1"/>
  <c r="V54" i="23"/>
  <c r="W54" i="23" s="1"/>
  <c r="V65" i="23"/>
  <c r="W65" i="23" s="1"/>
  <c r="V69" i="23"/>
  <c r="W69" i="23" s="1"/>
  <c r="I20" i="1"/>
  <c r="E22" i="15"/>
  <c r="G24" i="15"/>
  <c r="D5" i="15"/>
  <c r="F22" i="15"/>
  <c r="F23" i="15" s="1"/>
  <c r="V56" i="23"/>
  <c r="W56" i="23" s="1"/>
  <c r="V62" i="23"/>
  <c r="W62" i="23" s="1"/>
  <c r="P19" i="1"/>
  <c r="F5" i="15"/>
  <c r="H292" i="23"/>
  <c r="G5" i="15"/>
  <c r="H82" i="23"/>
  <c r="H187" i="23"/>
  <c r="H572" i="23"/>
  <c r="H47" i="23"/>
  <c r="H117" i="23"/>
  <c r="H152" i="23"/>
  <c r="H397" i="23"/>
  <c r="H502" i="23"/>
  <c r="O14" i="23"/>
  <c r="H327" i="23"/>
  <c r="H362" i="23"/>
  <c r="H537" i="23"/>
  <c r="C5" i="15"/>
  <c r="C6" i="15" s="1"/>
  <c r="B23" i="15"/>
  <c r="K6" i="23"/>
  <c r="L71" i="23"/>
  <c r="L63" i="23"/>
  <c r="L70" i="23"/>
  <c r="L62" i="23"/>
  <c r="L54" i="23"/>
  <c r="L66" i="23"/>
  <c r="L73" i="23"/>
  <c r="L65" i="23"/>
  <c r="L57" i="23"/>
  <c r="L74" i="23"/>
  <c r="L58" i="23"/>
  <c r="L50" i="23"/>
  <c r="L75" i="23"/>
  <c r="L67" i="23"/>
  <c r="L59" i="23"/>
  <c r="L51" i="23"/>
  <c r="L77" i="23"/>
  <c r="L69" i="23"/>
  <c r="L61" i="23"/>
  <c r="L53" i="23"/>
  <c r="L79" i="23"/>
  <c r="L55" i="23"/>
  <c r="L76" i="23"/>
  <c r="L68" i="23"/>
  <c r="L60" i="23"/>
  <c r="L52" i="23"/>
  <c r="L72" i="23"/>
  <c r="L64" i="23"/>
  <c r="L56" i="23"/>
  <c r="L78" i="23"/>
  <c r="P8" i="23"/>
  <c r="N16" i="23"/>
  <c r="U26" i="23"/>
  <c r="U24" i="23"/>
  <c r="U27" i="23"/>
  <c r="U19" i="23"/>
  <c r="U18" i="23"/>
  <c r="U25" i="23"/>
  <c r="U23" i="23"/>
  <c r="U31" i="23"/>
  <c r="U30" i="23"/>
  <c r="U22" i="23"/>
  <c r="U32" i="23"/>
  <c r="U29" i="23"/>
  <c r="U21" i="23"/>
  <c r="U28" i="23"/>
  <c r="U20" i="23"/>
  <c r="L117" i="23" a="1"/>
  <c r="L117" i="23" s="1"/>
  <c r="L257" i="23" a="1"/>
  <c r="L257" i="23" s="1"/>
  <c r="L572" i="23" a="1"/>
  <c r="L572" i="23" s="1"/>
  <c r="L152" i="23" a="1"/>
  <c r="L152" i="23" s="1"/>
  <c r="L432" i="23" a="1"/>
  <c r="L432" i="23" s="1"/>
  <c r="L327" i="23" a="1"/>
  <c r="L327" i="23" s="1"/>
  <c r="L187" i="23" a="1"/>
  <c r="L187" i="23" s="1"/>
  <c r="L467" i="23" a="1"/>
  <c r="L467" i="23" s="1"/>
  <c r="L292" i="23" a="1"/>
  <c r="L292" i="23" s="1"/>
  <c r="L362" i="23" a="1"/>
  <c r="L362" i="23" s="1"/>
  <c r="L397" i="23" a="1"/>
  <c r="L397" i="23" s="1"/>
  <c r="L222" i="23" a="1"/>
  <c r="L222" i="23" s="1"/>
  <c r="L537" i="23" a="1"/>
  <c r="L537" i="23" s="1"/>
  <c r="C13" i="15"/>
  <c r="C31" i="15"/>
  <c r="C32" i="15" s="1"/>
  <c r="E6" i="15"/>
  <c r="E7" i="15" s="1"/>
  <c r="U558" i="23"/>
  <c r="U547" i="23"/>
  <c r="U543" i="23"/>
  <c r="U539" i="23"/>
  <c r="U533" i="23"/>
  <c r="U529" i="23"/>
  <c r="U525" i="23"/>
  <c r="U521" i="23"/>
  <c r="U517" i="23"/>
  <c r="U513" i="23"/>
  <c r="U509" i="23"/>
  <c r="U505" i="23"/>
  <c r="U499" i="23"/>
  <c r="U495" i="23"/>
  <c r="U491" i="23"/>
  <c r="U487" i="23"/>
  <c r="U483" i="23"/>
  <c r="U479" i="23"/>
  <c r="U475" i="23"/>
  <c r="U471" i="23"/>
  <c r="U465" i="23"/>
  <c r="U461" i="23"/>
  <c r="U457" i="23"/>
  <c r="U453" i="23"/>
  <c r="U449" i="23"/>
  <c r="U445" i="23"/>
  <c r="U441" i="23"/>
  <c r="U437" i="23"/>
  <c r="U431" i="23"/>
  <c r="U427" i="23"/>
  <c r="U423" i="23"/>
  <c r="U419" i="23"/>
  <c r="U415" i="23"/>
  <c r="U411" i="23"/>
  <c r="U407" i="23"/>
  <c r="U403" i="23"/>
  <c r="U399" i="23"/>
  <c r="U393" i="23"/>
  <c r="U389" i="23"/>
  <c r="U385" i="23"/>
  <c r="U381" i="23"/>
  <c r="U377" i="23"/>
  <c r="U373" i="23"/>
  <c r="U369" i="23"/>
  <c r="U365" i="23"/>
  <c r="U359" i="23"/>
  <c r="U355" i="23"/>
  <c r="U351" i="23"/>
  <c r="U347" i="23"/>
  <c r="U343" i="23"/>
  <c r="U339" i="23"/>
  <c r="U335" i="23"/>
  <c r="U331" i="23"/>
  <c r="U325" i="23"/>
  <c r="U559" i="23"/>
  <c r="U567" i="23"/>
  <c r="U164" i="23"/>
  <c r="U168" i="23"/>
  <c r="U172" i="23"/>
  <c r="U176" i="23"/>
  <c r="U180" i="23"/>
  <c r="U184" i="23"/>
  <c r="U190" i="23"/>
  <c r="U194" i="23"/>
  <c r="U198" i="23"/>
  <c r="U202" i="23"/>
  <c r="U206" i="23"/>
  <c r="U496" i="23"/>
  <c r="U548" i="23"/>
  <c r="U438" i="23"/>
  <c r="U522" i="23"/>
  <c r="U210" i="23"/>
  <c r="U214" i="23"/>
  <c r="U218" i="23"/>
  <c r="U224" i="23"/>
  <c r="U228" i="23"/>
  <c r="U232" i="23"/>
  <c r="U236" i="23"/>
  <c r="U240" i="23"/>
  <c r="U244" i="23"/>
  <c r="U248" i="23"/>
  <c r="U252" i="23"/>
  <c r="U256" i="23"/>
  <c r="U262" i="23"/>
  <c r="U266" i="23"/>
  <c r="U270" i="23"/>
  <c r="U274" i="23"/>
  <c r="U278" i="23"/>
  <c r="U282" i="23"/>
  <c r="U286" i="23"/>
  <c r="U290" i="23"/>
  <c r="U296" i="23"/>
  <c r="U300" i="23"/>
  <c r="U304" i="23"/>
  <c r="U308" i="23"/>
  <c r="U312" i="23"/>
  <c r="U316" i="23"/>
  <c r="U320" i="23"/>
  <c r="U324" i="23"/>
  <c r="U330" i="23"/>
  <c r="U334" i="23"/>
  <c r="U338" i="23"/>
  <c r="U342" i="23"/>
  <c r="U346" i="23"/>
  <c r="U350" i="23"/>
  <c r="U354" i="23"/>
  <c r="U358" i="23"/>
  <c r="U364" i="23"/>
  <c r="U368" i="23"/>
  <c r="U372" i="23"/>
  <c r="U376" i="23"/>
  <c r="U380" i="23"/>
  <c r="U384" i="23"/>
  <c r="U388" i="23"/>
  <c r="U392" i="23"/>
  <c r="U268" i="23"/>
  <c r="U272" i="23"/>
  <c r="U298" i="23"/>
  <c r="U310" i="23"/>
  <c r="U314" i="23"/>
  <c r="U318" i="23"/>
  <c r="U336" i="23"/>
  <c r="U348" i="23"/>
  <c r="U352" i="23"/>
  <c r="U356" i="23"/>
  <c r="U366" i="23"/>
  <c r="U378" i="23"/>
  <c r="U434" i="23"/>
  <c r="U446" i="23"/>
  <c r="U450" i="23"/>
  <c r="U454" i="23"/>
  <c r="U462" i="23"/>
  <c r="U476" i="23"/>
  <c r="U480" i="23"/>
  <c r="U484" i="23"/>
  <c r="U492" i="23"/>
  <c r="U500" i="23"/>
  <c r="U510" i="23"/>
  <c r="U518" i="23"/>
  <c r="U526" i="23"/>
  <c r="U530" i="23"/>
  <c r="U534" i="23"/>
  <c r="U540" i="23"/>
  <c r="U544" i="23"/>
  <c r="U552" i="23"/>
  <c r="U556" i="23"/>
  <c r="U560" i="23"/>
  <c r="U568" i="23"/>
  <c r="U56" i="23"/>
  <c r="U64" i="23"/>
  <c r="U50" i="23"/>
  <c r="U54" i="23"/>
  <c r="U58" i="23"/>
  <c r="U506" i="23"/>
  <c r="B268" i="23"/>
  <c r="B269" i="23"/>
  <c r="O552" i="23"/>
  <c r="I552" i="23"/>
  <c r="O486" i="23"/>
  <c r="I486" i="23"/>
  <c r="O492" i="23"/>
  <c r="I492" i="23"/>
  <c r="O499" i="23"/>
  <c r="I499" i="23"/>
  <c r="O507" i="23"/>
  <c r="I507" i="23"/>
  <c r="O526" i="23"/>
  <c r="I526" i="23"/>
  <c r="O560" i="23"/>
  <c r="I560" i="23"/>
  <c r="O416" i="23"/>
  <c r="I416" i="23"/>
  <c r="O463" i="23"/>
  <c r="I463" i="23"/>
  <c r="N463" i="23"/>
  <c r="O512" i="23"/>
  <c r="I512" i="23"/>
  <c r="N32" i="23"/>
  <c r="I96" i="23"/>
  <c r="I127" i="23"/>
  <c r="I147" i="23"/>
  <c r="N147" i="23"/>
  <c r="I203" i="23"/>
  <c r="I247" i="23"/>
  <c r="N247" i="23"/>
  <c r="O296" i="23"/>
  <c r="I296" i="23"/>
  <c r="I249" i="23"/>
  <c r="N249" i="23"/>
  <c r="O310" i="23"/>
  <c r="I310" i="23"/>
  <c r="O338" i="23"/>
  <c r="I338" i="23"/>
  <c r="O344" i="23"/>
  <c r="I344" i="23"/>
  <c r="O351" i="23"/>
  <c r="I351" i="23"/>
  <c r="O357" i="23"/>
  <c r="I357" i="23"/>
  <c r="N357" i="23"/>
  <c r="O372" i="23"/>
  <c r="I372" i="23"/>
  <c r="O378" i="23"/>
  <c r="I378" i="23"/>
  <c r="O385" i="23"/>
  <c r="I385" i="23"/>
  <c r="O391" i="23"/>
  <c r="I391" i="23"/>
  <c r="N391" i="23"/>
  <c r="O406" i="23"/>
  <c r="I406" i="23"/>
  <c r="O412" i="23"/>
  <c r="I412" i="23"/>
  <c r="O419" i="23"/>
  <c r="I419" i="23"/>
  <c r="O425" i="23"/>
  <c r="I425" i="23"/>
  <c r="N425" i="23"/>
  <c r="O440" i="23"/>
  <c r="I440" i="23"/>
  <c r="O446" i="23"/>
  <c r="I446" i="23"/>
  <c r="O453" i="23"/>
  <c r="I453" i="23"/>
  <c r="O459" i="23"/>
  <c r="I459" i="23"/>
  <c r="N459" i="23"/>
  <c r="O474" i="23"/>
  <c r="I474" i="23"/>
  <c r="O480" i="23"/>
  <c r="I480" i="23"/>
  <c r="O487" i="23"/>
  <c r="I487" i="23"/>
  <c r="O493" i="23"/>
  <c r="I493" i="23"/>
  <c r="N493" i="23"/>
  <c r="O508" i="23"/>
  <c r="I508" i="23"/>
  <c r="O514" i="23"/>
  <c r="I514" i="23"/>
  <c r="O521" i="23"/>
  <c r="I521" i="23"/>
  <c r="O548" i="23"/>
  <c r="I548" i="23"/>
  <c r="O441" i="23"/>
  <c r="I441" i="23"/>
  <c r="O447" i="23"/>
  <c r="I447" i="23"/>
  <c r="O460" i="23"/>
  <c r="I460" i="23"/>
  <c r="N460" i="23"/>
  <c r="O466" i="23"/>
  <c r="I466" i="23"/>
  <c r="N466" i="23"/>
  <c r="O475" i="23"/>
  <c r="I475" i="23"/>
  <c r="O481" i="23"/>
  <c r="I481" i="23"/>
  <c r="O494" i="23"/>
  <c r="I494" i="23"/>
  <c r="N494" i="23"/>
  <c r="O500" i="23"/>
  <c r="I500" i="23"/>
  <c r="N500" i="23"/>
  <c r="O509" i="23"/>
  <c r="I509" i="23"/>
  <c r="O515" i="23"/>
  <c r="I515" i="23"/>
  <c r="O534" i="23"/>
  <c r="I534" i="23"/>
  <c r="N534" i="23"/>
  <c r="O568" i="23"/>
  <c r="I568" i="23"/>
  <c r="N568" i="23"/>
  <c r="I66" i="23"/>
  <c r="I77" i="23"/>
  <c r="I119" i="23"/>
  <c r="I197" i="23"/>
  <c r="I240" i="23"/>
  <c r="I253" i="23"/>
  <c r="N253" i="23"/>
  <c r="O308" i="23"/>
  <c r="I308" i="23"/>
  <c r="O348" i="23"/>
  <c r="I348" i="23"/>
  <c r="O361" i="23"/>
  <c r="I361" i="23"/>
  <c r="N361" i="23"/>
  <c r="O389" i="23"/>
  <c r="I389" i="23"/>
  <c r="N389" i="23"/>
  <c r="O444" i="23"/>
  <c r="I444" i="23"/>
  <c r="O478" i="23"/>
  <c r="I478" i="23"/>
  <c r="O518" i="23"/>
  <c r="I518" i="23"/>
  <c r="I54" i="23"/>
  <c r="I72" i="23"/>
  <c r="I120" i="23"/>
  <c r="I158" i="23"/>
  <c r="I174" i="23"/>
  <c r="I241" i="23"/>
  <c r="O281" i="23"/>
  <c r="I281" i="23"/>
  <c r="O309" i="23"/>
  <c r="I309" i="23"/>
  <c r="O343" i="23"/>
  <c r="I343" i="23"/>
  <c r="O377" i="23"/>
  <c r="I377" i="23"/>
  <c r="O417" i="23"/>
  <c r="I417" i="23"/>
  <c r="I55" i="23"/>
  <c r="N55" i="23"/>
  <c r="I73" i="23"/>
  <c r="I78" i="23"/>
  <c r="I159" i="23"/>
  <c r="I180" i="23"/>
  <c r="N180" i="23"/>
  <c r="I209" i="23"/>
  <c r="I214" i="23"/>
  <c r="N214" i="23"/>
  <c r="I68" i="23"/>
  <c r="I103" i="23"/>
  <c r="I108" i="23"/>
  <c r="N108" i="23"/>
  <c r="I199" i="23"/>
  <c r="I242" i="23"/>
  <c r="I255" i="23"/>
  <c r="N255" i="23"/>
  <c r="O304" i="23"/>
  <c r="I304" i="23"/>
  <c r="I57" i="23"/>
  <c r="N57" i="23"/>
  <c r="I98" i="23"/>
  <c r="I176" i="23"/>
  <c r="I194" i="23"/>
  <c r="I224" i="23"/>
  <c r="I243" i="23"/>
  <c r="O264" i="23"/>
  <c r="I264" i="23"/>
  <c r="O290" i="23"/>
  <c r="I290" i="23"/>
  <c r="N290" i="23"/>
  <c r="O311" i="23"/>
  <c r="I311" i="23"/>
  <c r="O324" i="23"/>
  <c r="I324" i="23"/>
  <c r="N324" i="23"/>
  <c r="O345" i="23"/>
  <c r="I345" i="23"/>
  <c r="O358" i="23"/>
  <c r="I358" i="23"/>
  <c r="N358" i="23"/>
  <c r="O366" i="23"/>
  <c r="I366" i="23"/>
  <c r="O392" i="23"/>
  <c r="I392" i="23"/>
  <c r="N392" i="23"/>
  <c r="O400" i="23"/>
  <c r="I400" i="23"/>
  <c r="I64" i="23"/>
  <c r="I80" i="23"/>
  <c r="I99" i="23"/>
  <c r="I104" i="23"/>
  <c r="I115" i="23"/>
  <c r="N115" i="23"/>
  <c r="I123" i="23"/>
  <c r="I129" i="23"/>
  <c r="I133" i="23"/>
  <c r="I137" i="23"/>
  <c r="I141" i="23"/>
  <c r="I145" i="23"/>
  <c r="N145" i="23"/>
  <c r="I149" i="23"/>
  <c r="N149" i="23"/>
  <c r="I155" i="23"/>
  <c r="I161" i="23"/>
  <c r="I166" i="23"/>
  <c r="I177" i="23"/>
  <c r="N177" i="23"/>
  <c r="I182" i="23"/>
  <c r="N182" i="23"/>
  <c r="I195" i="23"/>
  <c r="I200" i="23"/>
  <c r="I211" i="23"/>
  <c r="I216" i="23"/>
  <c r="N216" i="23"/>
  <c r="I225" i="23"/>
  <c r="I231" i="23"/>
  <c r="I244" i="23"/>
  <c r="I250" i="23"/>
  <c r="N250" i="23"/>
  <c r="O259" i="23"/>
  <c r="I259" i="23"/>
  <c r="O265" i="23"/>
  <c r="I265" i="23"/>
  <c r="O278" i="23"/>
  <c r="I278" i="23"/>
  <c r="O284" i="23"/>
  <c r="I284" i="23"/>
  <c r="N284" i="23"/>
  <c r="O291" i="23"/>
  <c r="I291" i="23"/>
  <c r="N291" i="23"/>
  <c r="O299" i="23"/>
  <c r="I299" i="23"/>
  <c r="O312" i="23"/>
  <c r="I312" i="23"/>
  <c r="O318" i="23"/>
  <c r="I318" i="23"/>
  <c r="N318" i="23"/>
  <c r="O325" i="23"/>
  <c r="I325" i="23"/>
  <c r="N325" i="23"/>
  <c r="O333" i="23"/>
  <c r="I333" i="23"/>
  <c r="O346" i="23"/>
  <c r="I346" i="23"/>
  <c r="O352" i="23"/>
  <c r="I352" i="23"/>
  <c r="N352" i="23"/>
  <c r="O359" i="23"/>
  <c r="I359" i="23"/>
  <c r="N359" i="23"/>
  <c r="O367" i="23"/>
  <c r="I367" i="23"/>
  <c r="O380" i="23"/>
  <c r="I380" i="23"/>
  <c r="O386" i="23"/>
  <c r="I386" i="23"/>
  <c r="O393" i="23"/>
  <c r="I393" i="23"/>
  <c r="N393" i="23"/>
  <c r="O401" i="23"/>
  <c r="I401" i="23"/>
  <c r="O414" i="23"/>
  <c r="I414" i="23"/>
  <c r="O420" i="23"/>
  <c r="I420" i="23"/>
  <c r="O427" i="23"/>
  <c r="I427" i="23"/>
  <c r="N427" i="23"/>
  <c r="O435" i="23"/>
  <c r="I435" i="23"/>
  <c r="O448" i="23"/>
  <c r="I448" i="23"/>
  <c r="O454" i="23"/>
  <c r="I454" i="23"/>
  <c r="O461" i="23"/>
  <c r="I461" i="23"/>
  <c r="N461" i="23"/>
  <c r="O469" i="23"/>
  <c r="I469" i="23"/>
  <c r="O482" i="23"/>
  <c r="I482" i="23"/>
  <c r="O488" i="23"/>
  <c r="I488" i="23"/>
  <c r="O495" i="23"/>
  <c r="I495" i="23"/>
  <c r="N495" i="23"/>
  <c r="O501" i="23"/>
  <c r="I501" i="23"/>
  <c r="N501" i="23"/>
  <c r="O522" i="23"/>
  <c r="I522" i="23"/>
  <c r="O556" i="23"/>
  <c r="I556" i="23"/>
  <c r="I61" i="23"/>
  <c r="I101" i="23"/>
  <c r="I163" i="23"/>
  <c r="I202" i="23"/>
  <c r="I246" i="23"/>
  <c r="O261" i="23"/>
  <c r="I261" i="23"/>
  <c r="O287" i="23"/>
  <c r="I287" i="23"/>
  <c r="N287" i="23"/>
  <c r="O329" i="23"/>
  <c r="I329" i="23"/>
  <c r="O376" i="23"/>
  <c r="I376" i="23"/>
  <c r="O395" i="23"/>
  <c r="I395" i="23"/>
  <c r="N395" i="23"/>
  <c r="O429" i="23"/>
  <c r="I429" i="23"/>
  <c r="N429" i="23"/>
  <c r="O457" i="23"/>
  <c r="I457" i="23"/>
  <c r="N457" i="23"/>
  <c r="I491" i="23"/>
  <c r="O491" i="23"/>
  <c r="O497" i="23"/>
  <c r="I497" i="23"/>
  <c r="N497" i="23"/>
  <c r="I67" i="23"/>
  <c r="I107" i="23"/>
  <c r="N107" i="23"/>
  <c r="I135" i="23"/>
  <c r="I143" i="23"/>
  <c r="N143" i="23"/>
  <c r="I192" i="23"/>
  <c r="I234" i="23"/>
  <c r="C55" i="2"/>
  <c r="D22" i="15"/>
  <c r="D23" i="15" s="1"/>
  <c r="C22" i="15"/>
  <c r="C23" i="15" s="1"/>
  <c r="E23" i="15"/>
  <c r="O275" i="23"/>
  <c r="I275" i="23"/>
  <c r="O302" i="23"/>
  <c r="I302" i="23"/>
  <c r="O336" i="23"/>
  <c r="I336" i="23"/>
  <c r="O364" i="23"/>
  <c r="I364" i="23"/>
  <c r="O383" i="23"/>
  <c r="I383" i="23"/>
  <c r="O404" i="23"/>
  <c r="I404" i="23"/>
  <c r="I102" i="23"/>
  <c r="I121" i="23"/>
  <c r="I193" i="23"/>
  <c r="I235" i="23"/>
  <c r="I63" i="23"/>
  <c r="I79" i="23"/>
  <c r="I87" i="23"/>
  <c r="I170" i="23"/>
  <c r="I181" i="23"/>
  <c r="N181" i="23"/>
  <c r="I186" i="23"/>
  <c r="N186" i="23"/>
  <c r="I236" i="23"/>
  <c r="O276" i="23"/>
  <c r="I276" i="23"/>
  <c r="O289" i="23"/>
  <c r="I289" i="23"/>
  <c r="N289" i="23"/>
  <c r="O323" i="23"/>
  <c r="I323" i="23"/>
  <c r="N323" i="23"/>
  <c r="I69" i="23"/>
  <c r="I74" i="23"/>
  <c r="I109" i="23"/>
  <c r="N109" i="23"/>
  <c r="I171" i="23"/>
  <c r="I205" i="23"/>
  <c r="I237" i="23"/>
  <c r="O271" i="23"/>
  <c r="I271" i="23"/>
  <c r="O305" i="23"/>
  <c r="I305" i="23"/>
  <c r="O332" i="23"/>
  <c r="I332" i="23"/>
  <c r="O373" i="23"/>
  <c r="I373" i="23"/>
  <c r="O407" i="23"/>
  <c r="I407" i="23"/>
  <c r="O426" i="23"/>
  <c r="I426" i="23"/>
  <c r="N426" i="23"/>
  <c r="I51" i="23"/>
  <c r="I65" i="23"/>
  <c r="I81" i="23"/>
  <c r="I94" i="23"/>
  <c r="I124" i="23"/>
  <c r="I156" i="23"/>
  <c r="I167" i="23"/>
  <c r="I172" i="23"/>
  <c r="I183" i="23"/>
  <c r="N183" i="23"/>
  <c r="I190" i="23"/>
  <c r="N190" i="23"/>
  <c r="I201" i="23"/>
  <c r="I206" i="23"/>
  <c r="I217" i="23"/>
  <c r="N217" i="23"/>
  <c r="I232" i="23"/>
  <c r="I238" i="23"/>
  <c r="I245" i="23"/>
  <c r="I251" i="23"/>
  <c r="N251" i="23"/>
  <c r="O266" i="23"/>
  <c r="I266" i="23"/>
  <c r="O272" i="23"/>
  <c r="I272" i="23"/>
  <c r="O279" i="23"/>
  <c r="I279" i="23"/>
  <c r="O285" i="23"/>
  <c r="I285" i="23"/>
  <c r="N285" i="23"/>
  <c r="O300" i="23"/>
  <c r="I300" i="23"/>
  <c r="O306" i="23"/>
  <c r="I306" i="23"/>
  <c r="O313" i="23"/>
  <c r="I313" i="23"/>
  <c r="O319" i="23"/>
  <c r="I319" i="23"/>
  <c r="N319" i="23"/>
  <c r="O334" i="23"/>
  <c r="I334" i="23"/>
  <c r="O340" i="23"/>
  <c r="I340" i="23"/>
  <c r="O347" i="23"/>
  <c r="I347" i="23"/>
  <c r="O353" i="23"/>
  <c r="I353" i="23"/>
  <c r="N353" i="23"/>
  <c r="O368" i="23"/>
  <c r="I368" i="23"/>
  <c r="O374" i="23"/>
  <c r="I374" i="23"/>
  <c r="O381" i="23"/>
  <c r="I381" i="23"/>
  <c r="O387" i="23"/>
  <c r="I387" i="23"/>
  <c r="N387" i="23"/>
  <c r="O402" i="23"/>
  <c r="I402" i="23"/>
  <c r="O408" i="23"/>
  <c r="I408" i="23"/>
  <c r="O415" i="23"/>
  <c r="I415" i="23"/>
  <c r="O421" i="23"/>
  <c r="I421" i="23"/>
  <c r="O436" i="23"/>
  <c r="I436" i="23"/>
  <c r="O442" i="23"/>
  <c r="I442" i="23"/>
  <c r="O449" i="23"/>
  <c r="I449" i="23"/>
  <c r="O455" i="23"/>
  <c r="I455" i="23"/>
  <c r="O470" i="23"/>
  <c r="I470" i="23"/>
  <c r="O476" i="23"/>
  <c r="I476" i="23"/>
  <c r="O483" i="23"/>
  <c r="I483" i="23"/>
  <c r="O489" i="23"/>
  <c r="I489" i="23"/>
  <c r="O504" i="23"/>
  <c r="I504" i="23"/>
  <c r="O510" i="23"/>
  <c r="I510" i="23"/>
  <c r="O517" i="23"/>
  <c r="I517" i="23"/>
  <c r="O544" i="23"/>
  <c r="I544" i="23"/>
  <c r="I53" i="23"/>
  <c r="I90" i="23"/>
  <c r="I126" i="23"/>
  <c r="I168" i="23"/>
  <c r="I184" i="23"/>
  <c r="N184" i="23"/>
  <c r="I213" i="23"/>
  <c r="N213" i="23"/>
  <c r="I219" i="23"/>
  <c r="N219" i="23"/>
  <c r="O280" i="23"/>
  <c r="I280" i="23"/>
  <c r="O295" i="23"/>
  <c r="I295" i="23"/>
  <c r="O342" i="23"/>
  <c r="I342" i="23"/>
  <c r="O355" i="23"/>
  <c r="I355" i="23"/>
  <c r="N355" i="23"/>
  <c r="O410" i="23"/>
  <c r="I410" i="23"/>
  <c r="O423" i="23"/>
  <c r="I423" i="23"/>
  <c r="N423" i="23"/>
  <c r="O484" i="23"/>
  <c r="I484" i="23"/>
  <c r="O525" i="23"/>
  <c r="I525" i="23"/>
  <c r="I91" i="23"/>
  <c r="I112" i="23"/>
  <c r="N112" i="23"/>
  <c r="I139" i="23"/>
  <c r="I169" i="23"/>
  <c r="I185" i="23"/>
  <c r="N185" i="23"/>
  <c r="I228" i="23"/>
  <c r="O268" i="23"/>
  <c r="I268" i="23"/>
  <c r="O315" i="23"/>
  <c r="I315" i="23"/>
  <c r="O349" i="23"/>
  <c r="I349" i="23"/>
  <c r="O370" i="23"/>
  <c r="I370" i="23"/>
  <c r="O396" i="23"/>
  <c r="I396" i="23"/>
  <c r="N396" i="23"/>
  <c r="O411" i="23"/>
  <c r="I411" i="23"/>
  <c r="I62" i="23"/>
  <c r="I86" i="23"/>
  <c r="I113" i="23"/>
  <c r="N113" i="23"/>
  <c r="I164" i="23"/>
  <c r="I198" i="23"/>
  <c r="I229" i="23"/>
  <c r="I254" i="23"/>
  <c r="N254" i="23"/>
  <c r="I92" i="23"/>
  <c r="I165" i="23"/>
  <c r="I204" i="23"/>
  <c r="I215" i="23"/>
  <c r="N215" i="23"/>
  <c r="I221" i="23"/>
  <c r="N221" i="23"/>
  <c r="O270" i="23"/>
  <c r="I270" i="23"/>
  <c r="O283" i="23"/>
  <c r="I283" i="23"/>
  <c r="N283" i="23"/>
  <c r="O317" i="23"/>
  <c r="I317" i="23"/>
  <c r="N317" i="23"/>
  <c r="I49" i="23"/>
  <c r="N49" i="23"/>
  <c r="I93" i="23"/>
  <c r="I114" i="23"/>
  <c r="N114" i="23"/>
  <c r="I160" i="23"/>
  <c r="I189" i="23"/>
  <c r="I210" i="23"/>
  <c r="I230" i="23"/>
  <c r="I256" i="23"/>
  <c r="N256" i="23"/>
  <c r="O277" i="23"/>
  <c r="I277" i="23"/>
  <c r="O298" i="23"/>
  <c r="I298" i="23"/>
  <c r="O339" i="23"/>
  <c r="I339" i="23"/>
  <c r="O379" i="23"/>
  <c r="I379" i="23"/>
  <c r="O413" i="23"/>
  <c r="I413" i="23"/>
  <c r="O434" i="23"/>
  <c r="I434" i="23"/>
  <c r="I50" i="23"/>
  <c r="I58" i="23"/>
  <c r="N58" i="23"/>
  <c r="I75" i="23"/>
  <c r="I59" i="23"/>
  <c r="N59" i="23"/>
  <c r="I70" i="23"/>
  <c r="I89" i="23"/>
  <c r="I105" i="23"/>
  <c r="I110" i="23"/>
  <c r="N110" i="23"/>
  <c r="I71" i="23"/>
  <c r="I76" i="23"/>
  <c r="I95" i="23"/>
  <c r="I100" i="23"/>
  <c r="I111" i="23"/>
  <c r="N111" i="23"/>
  <c r="I116" i="23"/>
  <c r="N116" i="23"/>
  <c r="I157" i="23"/>
  <c r="I162" i="23"/>
  <c r="I173" i="23"/>
  <c r="I178" i="23"/>
  <c r="N178" i="23"/>
  <c r="I191" i="23"/>
  <c r="I196" i="23"/>
  <c r="I207" i="23"/>
  <c r="I212" i="23"/>
  <c r="N212" i="23"/>
  <c r="I218" i="23"/>
  <c r="N218" i="23"/>
  <c r="I226" i="23"/>
  <c r="I233" i="23"/>
  <c r="I239" i="23"/>
  <c r="I252" i="23"/>
  <c r="N252" i="23"/>
  <c r="O260" i="23"/>
  <c r="I260" i="23"/>
  <c r="O267" i="23"/>
  <c r="I267" i="23"/>
  <c r="O273" i="23"/>
  <c r="I273" i="23"/>
  <c r="O286" i="23"/>
  <c r="I286" i="23"/>
  <c r="N286" i="23"/>
  <c r="O294" i="23"/>
  <c r="I294" i="23"/>
  <c r="O301" i="23"/>
  <c r="I301" i="23"/>
  <c r="O307" i="23"/>
  <c r="I307" i="23"/>
  <c r="O320" i="23"/>
  <c r="I320" i="23"/>
  <c r="N320" i="23"/>
  <c r="O326" i="23"/>
  <c r="I326" i="23"/>
  <c r="N326" i="23"/>
  <c r="O335" i="23"/>
  <c r="I335" i="23"/>
  <c r="O341" i="23"/>
  <c r="I341" i="23"/>
  <c r="O354" i="23"/>
  <c r="I354" i="23"/>
  <c r="N354" i="23"/>
  <c r="O360" i="23"/>
  <c r="I360" i="23"/>
  <c r="N360" i="23"/>
  <c r="O369" i="23"/>
  <c r="I369" i="23"/>
  <c r="O375" i="23"/>
  <c r="I375" i="23"/>
  <c r="O388" i="23"/>
  <c r="I388" i="23"/>
  <c r="N388" i="23"/>
  <c r="O394" i="23"/>
  <c r="I394" i="23"/>
  <c r="N394" i="23"/>
  <c r="O403" i="23"/>
  <c r="I403" i="23"/>
  <c r="O409" i="23"/>
  <c r="I409" i="23"/>
  <c r="O422" i="23"/>
  <c r="I422" i="23"/>
  <c r="N422" i="23"/>
  <c r="O428" i="23"/>
  <c r="I428" i="23"/>
  <c r="N428" i="23"/>
  <c r="O437" i="23"/>
  <c r="I437" i="23"/>
  <c r="O443" i="23"/>
  <c r="I443" i="23"/>
  <c r="O456" i="23"/>
  <c r="I456" i="23"/>
  <c r="O462" i="23"/>
  <c r="I462" i="23"/>
  <c r="N462" i="23"/>
  <c r="O471" i="23"/>
  <c r="I471" i="23"/>
  <c r="O477" i="23"/>
  <c r="I477" i="23"/>
  <c r="O490" i="23"/>
  <c r="I490" i="23"/>
  <c r="O496" i="23"/>
  <c r="I496" i="23"/>
  <c r="N496" i="23"/>
  <c r="O505" i="23"/>
  <c r="I505" i="23"/>
  <c r="O511" i="23"/>
  <c r="I511" i="23"/>
  <c r="O530" i="23"/>
  <c r="I530" i="23"/>
  <c r="N530" i="23"/>
  <c r="O564" i="23"/>
  <c r="I564" i="23"/>
  <c r="N564" i="23"/>
  <c r="I56" i="23"/>
  <c r="N56" i="23"/>
  <c r="I85" i="23"/>
  <c r="I122" i="23"/>
  <c r="I128" i="23"/>
  <c r="I132" i="23"/>
  <c r="I136" i="23"/>
  <c r="I140" i="23"/>
  <c r="I144" i="23"/>
  <c r="N144" i="23"/>
  <c r="I148" i="23"/>
  <c r="N148" i="23"/>
  <c r="I154" i="23"/>
  <c r="N38" i="23"/>
  <c r="N30" i="23"/>
  <c r="O523" i="23"/>
  <c r="I523" i="23"/>
  <c r="O527" i="23"/>
  <c r="I527" i="23"/>
  <c r="N527" i="23"/>
  <c r="O531" i="23"/>
  <c r="I531" i="23"/>
  <c r="N531" i="23"/>
  <c r="O535" i="23"/>
  <c r="I535" i="23"/>
  <c r="N535" i="23"/>
  <c r="O541" i="23"/>
  <c r="I541" i="23"/>
  <c r="O545" i="23"/>
  <c r="I545" i="23"/>
  <c r="O549" i="23"/>
  <c r="I549" i="23"/>
  <c r="I553" i="23"/>
  <c r="O553" i="23"/>
  <c r="O557" i="23"/>
  <c r="I557" i="23"/>
  <c r="O561" i="23"/>
  <c r="I561" i="23"/>
  <c r="O565" i="23"/>
  <c r="I565" i="23"/>
  <c r="N565" i="23"/>
  <c r="O569" i="23"/>
  <c r="I569" i="23"/>
  <c r="N569" i="23"/>
  <c r="N46" i="23"/>
  <c r="N37" i="23"/>
  <c r="N29" i="23"/>
  <c r="N45" i="23"/>
  <c r="N36" i="23"/>
  <c r="N28" i="23"/>
  <c r="O524" i="23"/>
  <c r="I524" i="23"/>
  <c r="O528" i="23"/>
  <c r="I528" i="23"/>
  <c r="N528" i="23"/>
  <c r="O532" i="23"/>
  <c r="I532" i="23"/>
  <c r="N532" i="23"/>
  <c r="O536" i="23"/>
  <c r="I536" i="23"/>
  <c r="N536" i="23"/>
  <c r="O542" i="23"/>
  <c r="I542" i="23"/>
  <c r="O546" i="23"/>
  <c r="I546" i="23"/>
  <c r="O550" i="23"/>
  <c r="I550" i="23"/>
  <c r="O554" i="23"/>
  <c r="I554" i="23"/>
  <c r="O558" i="23"/>
  <c r="I558" i="23"/>
  <c r="O562" i="23"/>
  <c r="I562" i="23"/>
  <c r="N562" i="23"/>
  <c r="O566" i="23"/>
  <c r="I566" i="23"/>
  <c r="N566" i="23"/>
  <c r="O570" i="23"/>
  <c r="I570" i="23"/>
  <c r="N570" i="23"/>
  <c r="N43" i="23"/>
  <c r="N35" i="23"/>
  <c r="N15" i="23"/>
  <c r="C22" i="2"/>
  <c r="O516" i="23"/>
  <c r="I516" i="23"/>
  <c r="O520" i="23"/>
  <c r="I520" i="23"/>
  <c r="I52" i="23"/>
  <c r="I60" i="23"/>
  <c r="N60" i="23"/>
  <c r="I88" i="23"/>
  <c r="I125" i="23"/>
  <c r="I130" i="23"/>
  <c r="I134" i="23"/>
  <c r="I138" i="23"/>
  <c r="I142" i="23"/>
  <c r="N142" i="23"/>
  <c r="I146" i="23"/>
  <c r="N146" i="23"/>
  <c r="I150" i="23"/>
  <c r="N150" i="23"/>
  <c r="N26" i="23"/>
  <c r="O529" i="23"/>
  <c r="I529" i="23"/>
  <c r="N529" i="23"/>
  <c r="O533" i="23"/>
  <c r="I533" i="23"/>
  <c r="N533" i="23"/>
  <c r="I539" i="23"/>
  <c r="O539" i="23"/>
  <c r="O543" i="23"/>
  <c r="I543" i="23"/>
  <c r="O547" i="23"/>
  <c r="I547" i="23"/>
  <c r="O551" i="23"/>
  <c r="I551" i="23"/>
  <c r="O555" i="23"/>
  <c r="I555" i="23"/>
  <c r="O559" i="23"/>
  <c r="I559" i="23"/>
  <c r="O563" i="23"/>
  <c r="I563" i="23"/>
  <c r="N563" i="23"/>
  <c r="O567" i="23"/>
  <c r="I567" i="23"/>
  <c r="N567" i="23"/>
  <c r="O571" i="23"/>
  <c r="I571" i="23"/>
  <c r="N571" i="23"/>
  <c r="N41" i="23"/>
  <c r="N33" i="23"/>
  <c r="N23" i="23"/>
  <c r="I14" i="23"/>
  <c r="N44" i="23"/>
  <c r="N14" i="23"/>
  <c r="C31" i="2"/>
  <c r="N72" i="23"/>
  <c r="N79" i="23"/>
  <c r="N78" i="23"/>
  <c r="N81" i="23"/>
  <c r="N73" i="23"/>
  <c r="N77" i="23"/>
  <c r="N74" i="23"/>
  <c r="N80" i="23"/>
  <c r="N76" i="23"/>
  <c r="N75" i="23"/>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60" i="23"/>
  <c r="N519" i="23"/>
  <c r="N518" i="23"/>
  <c r="N559" i="23"/>
  <c r="N554" i="23"/>
  <c r="N526" i="23"/>
  <c r="N552" i="23"/>
  <c r="N555" i="23"/>
  <c r="N491" i="23"/>
  <c r="N521" i="23"/>
  <c r="N487" i="23"/>
  <c r="N553" i="23"/>
  <c r="N551" i="23"/>
  <c r="N520" i="23"/>
  <c r="N561" i="23"/>
  <c r="N484" i="23"/>
  <c r="N556" i="23"/>
  <c r="N488" i="23"/>
  <c r="N525" i="23"/>
  <c r="N517" i="23"/>
  <c r="N490" i="23"/>
  <c r="N516" i="23"/>
  <c r="N558" i="23"/>
  <c r="N524" i="23"/>
  <c r="N557" i="23"/>
  <c r="N523" i="23"/>
  <c r="N522" i="23"/>
  <c r="N482" i="23"/>
  <c r="I17" i="1"/>
  <c r="J17" i="1" s="1"/>
  <c r="H257" i="23"/>
  <c r="H467" i="23"/>
  <c r="U340" i="23"/>
  <c r="H222" i="23"/>
  <c r="H432" i="23"/>
  <c r="B326" i="23"/>
  <c r="B360" i="23"/>
  <c r="B394" i="23"/>
  <c r="B420" i="23"/>
  <c r="B454" i="23"/>
  <c r="B472" i="23"/>
  <c r="B496" i="23"/>
  <c r="B530" i="23"/>
  <c r="B556" i="23"/>
  <c r="L502" i="23" a="1"/>
  <c r="L502" i="23" s="1"/>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O430" i="23"/>
  <c r="I430" i="23"/>
  <c r="N430" i="23"/>
  <c r="O438" i="23"/>
  <c r="I438" i="23"/>
  <c r="O445" i="23"/>
  <c r="I445" i="23"/>
  <c r="O451" i="23"/>
  <c r="I451" i="23"/>
  <c r="O464" i="23"/>
  <c r="I464" i="23"/>
  <c r="N464" i="23"/>
  <c r="O472" i="23"/>
  <c r="I472" i="23"/>
  <c r="O479" i="23"/>
  <c r="I479" i="23"/>
  <c r="O485" i="23"/>
  <c r="I485" i="23"/>
  <c r="O498" i="23"/>
  <c r="I498" i="23"/>
  <c r="N498" i="23"/>
  <c r="O506" i="23"/>
  <c r="I506" i="23"/>
  <c r="O513" i="23"/>
  <c r="I513" i="23"/>
  <c r="O519" i="23"/>
  <c r="I519" i="23"/>
  <c r="O540" i="23"/>
  <c r="I540" i="23"/>
  <c r="N179" i="23"/>
  <c r="O321" i="23"/>
  <c r="I321" i="23"/>
  <c r="N321" i="23"/>
  <c r="O382" i="23"/>
  <c r="I382" i="23"/>
  <c r="O450" i="23"/>
  <c r="I450" i="23"/>
  <c r="N151" i="23"/>
  <c r="O330" i="23"/>
  <c r="I330" i="23"/>
  <c r="N220" i="23"/>
  <c r="N248" i="23"/>
  <c r="N282" i="23"/>
  <c r="N288" i="23"/>
  <c r="O316" i="23"/>
  <c r="I316" i="23"/>
  <c r="O322" i="23"/>
  <c r="I322" i="23"/>
  <c r="N322" i="23"/>
  <c r="O331" i="23"/>
  <c r="I331" i="23"/>
  <c r="O337" i="23"/>
  <c r="I337" i="23"/>
  <c r="O350" i="23"/>
  <c r="I350" i="23"/>
  <c r="O356" i="23"/>
  <c r="I356" i="23"/>
  <c r="N356" i="23"/>
  <c r="O365" i="23"/>
  <c r="I365" i="23"/>
  <c r="O371" i="23"/>
  <c r="I371" i="23"/>
  <c r="O384" i="23"/>
  <c r="I384" i="23"/>
  <c r="O390" i="23"/>
  <c r="I390" i="23"/>
  <c r="N390" i="23"/>
  <c r="O399" i="23"/>
  <c r="I399" i="23"/>
  <c r="O405" i="23"/>
  <c r="I405" i="23"/>
  <c r="O418" i="23"/>
  <c r="I418" i="23"/>
  <c r="O424" i="23"/>
  <c r="I424" i="23"/>
  <c r="N424" i="23"/>
  <c r="I431" i="23"/>
  <c r="N431" i="23"/>
  <c r="O431" i="23"/>
  <c r="O439" i="23"/>
  <c r="I439" i="23"/>
  <c r="O452" i="23"/>
  <c r="I452" i="23"/>
  <c r="O458" i="23"/>
  <c r="I458" i="23"/>
  <c r="N458" i="23"/>
  <c r="O465" i="23"/>
  <c r="I465" i="23"/>
  <c r="N465" i="23"/>
  <c r="O473" i="23"/>
  <c r="I473" i="23"/>
  <c r="N492" i="23"/>
  <c r="N499" i="23"/>
  <c r="I227" i="23"/>
  <c r="O314" i="23"/>
  <c r="I314" i="23"/>
  <c r="O16" i="23"/>
  <c r="I16" i="23"/>
  <c r="I106" i="23"/>
  <c r="I21" i="23"/>
  <c r="O31" i="23"/>
  <c r="I22" i="23"/>
  <c r="N22" i="23"/>
  <c r="N39" i="23"/>
  <c r="I179" i="23"/>
  <c r="I274" i="23"/>
  <c r="I151" i="23"/>
  <c r="I208" i="23"/>
  <c r="O262" i="23"/>
  <c r="I262" i="23"/>
  <c r="O288" i="23"/>
  <c r="O297" i="23"/>
  <c r="O303" i="23"/>
  <c r="N31" i="23"/>
  <c r="I263" i="23"/>
  <c r="I303" i="23"/>
  <c r="B11" i="2"/>
  <c r="C26" i="2"/>
  <c r="E60" i="2" s="1"/>
  <c r="C25" i="2"/>
  <c r="C16" i="2"/>
  <c r="C10" i="2"/>
  <c r="C8" i="2"/>
  <c r="B12" i="2"/>
  <c r="C13" i="2"/>
  <c r="B21" i="2"/>
  <c r="C21" i="2"/>
  <c r="B8" i="2"/>
  <c r="B37" i="2"/>
  <c r="C33" i="2"/>
  <c r="B30" i="2"/>
  <c r="C29" i="2"/>
  <c r="B16" i="2"/>
  <c r="C24" i="2"/>
  <c r="B36" i="2"/>
  <c r="C17" i="2"/>
  <c r="C34" i="2"/>
  <c r="C20" i="2"/>
  <c r="C37" i="2"/>
  <c r="B25" i="2"/>
  <c r="C32" i="2"/>
  <c r="B29" i="2"/>
  <c r="C18" i="2"/>
  <c r="C11" i="2"/>
  <c r="C28" i="2"/>
  <c r="B15" i="2"/>
  <c r="B33" i="2"/>
  <c r="C15" i="2"/>
  <c r="C19" i="2"/>
  <c r="C36" i="2"/>
  <c r="B24" i="2"/>
  <c r="B18" i="2"/>
  <c r="C9" i="2"/>
  <c r="C27" i="2"/>
  <c r="B14" i="2"/>
  <c r="B32" i="2"/>
  <c r="B9" i="2"/>
  <c r="B27" i="2"/>
  <c r="B10" i="2"/>
  <c r="C23" i="2"/>
  <c r="C35" i="2"/>
  <c r="B23" i="2"/>
  <c r="C14" i="2"/>
  <c r="B17" i="2"/>
  <c r="B35" i="2"/>
  <c r="B28" i="2"/>
  <c r="C12" i="2"/>
  <c r="B13" i="2"/>
  <c r="C30" i="2"/>
  <c r="B26" i="2"/>
  <c r="B19" i="2"/>
  <c r="B34" i="2"/>
  <c r="O15" i="23"/>
  <c r="I15" i="23"/>
  <c r="O21" i="23"/>
  <c r="I31" i="23"/>
  <c r="O22" i="23"/>
  <c r="I84" i="23"/>
  <c r="O274" i="23"/>
  <c r="I131"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L47" i="23" a="1"/>
  <c r="L47" i="23" s="1"/>
  <c r="B14" i="23"/>
  <c r="N21" i="23"/>
  <c r="I24" i="23"/>
  <c r="O250" i="23"/>
  <c r="O248" i="23"/>
  <c r="O244" i="23"/>
  <c r="O242" i="23"/>
  <c r="O239" i="23"/>
  <c r="O235" i="23"/>
  <c r="O233" i="23"/>
  <c r="O230" i="23"/>
  <c r="O228" i="23"/>
  <c r="O225" i="23"/>
  <c r="O220" i="23"/>
  <c r="O219" i="23"/>
  <c r="O217" i="23"/>
  <c r="O214" i="23"/>
  <c r="O212" i="23"/>
  <c r="O210" i="23"/>
  <c r="O207" i="23"/>
  <c r="O205" i="23"/>
  <c r="O204" i="23"/>
  <c r="O202" i="23"/>
  <c r="O200" i="23"/>
  <c r="O198" i="23"/>
  <c r="O196" i="23"/>
  <c r="O194" i="23"/>
  <c r="O192" i="23"/>
  <c r="O190" i="23"/>
  <c r="O186" i="23"/>
  <c r="O183" i="23"/>
  <c r="O181" i="23"/>
  <c r="O179" i="23"/>
  <c r="O177" i="23"/>
  <c r="O175" i="23"/>
  <c r="O174" i="23"/>
  <c r="O172" i="23"/>
  <c r="O170" i="23"/>
  <c r="O168" i="23"/>
  <c r="O166" i="23"/>
  <c r="O164" i="23"/>
  <c r="O162" i="23"/>
  <c r="O160" i="23"/>
  <c r="O158" i="23"/>
  <c r="O156" i="23"/>
  <c r="O154" i="23"/>
  <c r="O150" i="23"/>
  <c r="O148" i="23"/>
  <c r="O146" i="23"/>
  <c r="O145" i="23"/>
  <c r="O143" i="23"/>
  <c r="O142" i="23"/>
  <c r="O140" i="23"/>
  <c r="O138" i="23"/>
  <c r="O137" i="23"/>
  <c r="O135" i="23"/>
  <c r="O133" i="23"/>
  <c r="O131" i="23"/>
  <c r="O129" i="23"/>
  <c r="O127" i="23"/>
  <c r="O125" i="23"/>
  <c r="O123" i="23"/>
  <c r="O121" i="23"/>
  <c r="O120" i="23"/>
  <c r="O116" i="23"/>
  <c r="O114" i="23"/>
  <c r="O112" i="23"/>
  <c r="O110" i="23"/>
  <c r="O108" i="23"/>
  <c r="O107" i="23"/>
  <c r="O104" i="23"/>
  <c r="O102" i="23"/>
  <c r="O99" i="23"/>
  <c r="O97" i="23"/>
  <c r="O95" i="23"/>
  <c r="O94" i="23"/>
  <c r="O93" i="23"/>
  <c r="O92" i="23"/>
  <c r="O91" i="23"/>
  <c r="O90" i="23"/>
  <c r="O89" i="23"/>
  <c r="O88" i="23"/>
  <c r="O87" i="23"/>
  <c r="O86" i="23"/>
  <c r="O85" i="23"/>
  <c r="O84" i="23"/>
  <c r="O81" i="23"/>
  <c r="O80" i="23"/>
  <c r="O79" i="23"/>
  <c r="O78" i="23"/>
  <c r="O77" i="23"/>
  <c r="O76" i="23"/>
  <c r="O75" i="23"/>
  <c r="O74" i="23"/>
  <c r="O73" i="23"/>
  <c r="O72" i="23"/>
  <c r="O71" i="23"/>
  <c r="O70" i="23"/>
  <c r="O69" i="23"/>
  <c r="O68" i="23"/>
  <c r="O67" i="23"/>
  <c r="O66" i="23"/>
  <c r="O65" i="23"/>
  <c r="O64" i="23"/>
  <c r="O62" i="23"/>
  <c r="O60" i="23"/>
  <c r="O55" i="23"/>
  <c r="O53" i="23"/>
  <c r="O51" i="23"/>
  <c r="O49" i="23"/>
  <c r="I33" i="23"/>
  <c r="I20" i="23"/>
  <c r="O40" i="23"/>
  <c r="O32" i="23"/>
  <c r="O19" i="23"/>
  <c r="I19" i="23"/>
  <c r="I39" i="23"/>
  <c r="O30" i="23"/>
  <c r="I18" i="23"/>
  <c r="O38" i="23"/>
  <c r="O29" i="23"/>
  <c r="I17" i="23"/>
  <c r="O46" i="23"/>
  <c r="I28" i="23"/>
  <c r="I25" i="23"/>
  <c r="I45" i="23"/>
  <c r="O36" i="23"/>
  <c r="O27" i="23"/>
  <c r="O43" i="23"/>
  <c r="O35" i="23"/>
  <c r="I35" i="23"/>
  <c r="O26" i="23"/>
  <c r="I42" i="23"/>
  <c r="O34" i="23"/>
  <c r="O23" i="23"/>
  <c r="I97" i="23"/>
  <c r="I175" i="23"/>
  <c r="I220" i="23"/>
  <c r="I248" i="23"/>
  <c r="O263" i="23"/>
  <c r="O269" i="23"/>
  <c r="I269" i="23"/>
  <c r="O282" i="23"/>
  <c r="I282" i="23"/>
  <c r="I288" i="23"/>
  <c r="I297" i="23"/>
  <c r="I44" i="23"/>
  <c r="O44" i="23"/>
  <c r="N88" i="23"/>
  <c r="O24" i="23"/>
  <c r="O256" i="23"/>
  <c r="O255" i="23"/>
  <c r="O254" i="23"/>
  <c r="O253" i="23"/>
  <c r="O252" i="23"/>
  <c r="O251" i="23"/>
  <c r="O249" i="23"/>
  <c r="O247" i="23"/>
  <c r="O246" i="23"/>
  <c r="O245" i="23"/>
  <c r="O243" i="23"/>
  <c r="O241" i="23"/>
  <c r="O240" i="23"/>
  <c r="O238" i="23"/>
  <c r="O237" i="23"/>
  <c r="O236" i="23"/>
  <c r="O234" i="23"/>
  <c r="O232" i="23"/>
  <c r="O231" i="23"/>
  <c r="O229" i="23"/>
  <c r="O227" i="23"/>
  <c r="O226" i="23"/>
  <c r="O224" i="23"/>
  <c r="O221" i="23"/>
  <c r="O218" i="23"/>
  <c r="O216" i="23"/>
  <c r="O215" i="23"/>
  <c r="O213" i="23"/>
  <c r="O211" i="23"/>
  <c r="O209" i="23"/>
  <c r="O208" i="23"/>
  <c r="O206" i="23"/>
  <c r="O203" i="23"/>
  <c r="O201" i="23"/>
  <c r="O199" i="23"/>
  <c r="O197" i="23"/>
  <c r="O195" i="23"/>
  <c r="O193" i="23"/>
  <c r="O191" i="23"/>
  <c r="O189" i="23"/>
  <c r="O185" i="23"/>
  <c r="O184" i="23"/>
  <c r="O182" i="23"/>
  <c r="O180" i="23"/>
  <c r="O178" i="23"/>
  <c r="O176" i="23"/>
  <c r="O173" i="23"/>
  <c r="O171" i="23"/>
  <c r="O169" i="23"/>
  <c r="O167" i="23"/>
  <c r="O165" i="23"/>
  <c r="O163" i="23"/>
  <c r="O161" i="23"/>
  <c r="O159" i="23"/>
  <c r="O157" i="23"/>
  <c r="O155" i="23"/>
  <c r="O151" i="23"/>
  <c r="O149" i="23"/>
  <c r="O147" i="23"/>
  <c r="O144" i="23"/>
  <c r="O141" i="23"/>
  <c r="O139" i="23"/>
  <c r="O136" i="23"/>
  <c r="O134" i="23"/>
  <c r="O132" i="23"/>
  <c r="O130" i="23"/>
  <c r="O128" i="23"/>
  <c r="O126" i="23"/>
  <c r="O124" i="23"/>
  <c r="O122" i="23"/>
  <c r="O119" i="23"/>
  <c r="O115" i="23"/>
  <c r="O113" i="23"/>
  <c r="O111" i="23"/>
  <c r="O109" i="23"/>
  <c r="O106" i="23"/>
  <c r="O105" i="23"/>
  <c r="O103" i="23"/>
  <c r="O101" i="23"/>
  <c r="O100" i="23"/>
  <c r="O98" i="23"/>
  <c r="O96" i="23"/>
  <c r="O63" i="23"/>
  <c r="O61" i="23"/>
  <c r="O59" i="23"/>
  <c r="O58" i="23"/>
  <c r="O57" i="23"/>
  <c r="O56" i="23"/>
  <c r="O54" i="23"/>
  <c r="O52" i="23"/>
  <c r="O50" i="23"/>
  <c r="O41" i="23"/>
  <c r="I41" i="23"/>
  <c r="O33" i="23"/>
  <c r="O20" i="23"/>
  <c r="I40" i="23"/>
  <c r="I32" i="23"/>
  <c r="O39" i="23"/>
  <c r="I30" i="23"/>
  <c r="O18" i="23"/>
  <c r="I38" i="23"/>
  <c r="I29" i="23"/>
  <c r="O17" i="23"/>
  <c r="I46" i="23"/>
  <c r="O37" i="23"/>
  <c r="I37" i="23"/>
  <c r="O28" i="23"/>
  <c r="O25" i="23"/>
  <c r="O45" i="23"/>
  <c r="I36" i="23"/>
  <c r="I27" i="23"/>
  <c r="I43" i="23"/>
  <c r="I26" i="23"/>
  <c r="O42" i="23"/>
  <c r="I34" i="23"/>
  <c r="I23"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0" i="23"/>
  <c r="N89" i="23"/>
  <c r="N93" i="23"/>
  <c r="N91" i="23"/>
  <c r="N87" i="23"/>
  <c r="N86" i="23"/>
  <c r="N84" i="23"/>
  <c r="N85" i="23"/>
  <c r="N52" i="23"/>
  <c r="N54" i="23"/>
  <c r="N53" i="23"/>
  <c r="N50" i="23"/>
  <c r="N51" i="23"/>
  <c r="N131" i="23"/>
  <c r="N382" i="23"/>
  <c r="N485" i="23"/>
  <c r="N451" i="23"/>
  <c r="N133" i="23"/>
  <c r="N104" i="23"/>
  <c r="N345" i="23"/>
  <c r="N176" i="23"/>
  <c r="N103" i="23"/>
  <c r="N309" i="23"/>
  <c r="N240" i="23"/>
  <c r="N66" i="23"/>
  <c r="N96" i="23"/>
  <c r="N416" i="23"/>
  <c r="N134" i="23"/>
  <c r="N136" i="23"/>
  <c r="N100" i="23"/>
  <c r="N210" i="23"/>
  <c r="N62" i="23"/>
  <c r="N349" i="23"/>
  <c r="N280" i="23"/>
  <c r="N168" i="23"/>
  <c r="N489" i="23"/>
  <c r="N455" i="23"/>
  <c r="N421" i="23"/>
  <c r="N205" i="23"/>
  <c r="N69" i="23"/>
  <c r="N236" i="23"/>
  <c r="N383" i="23"/>
  <c r="N275" i="23"/>
  <c r="N135" i="23"/>
  <c r="N101" i="23"/>
  <c r="N166" i="23"/>
  <c r="N486" i="23"/>
  <c r="N452" i="23"/>
  <c r="N418" i="23"/>
  <c r="N384" i="23"/>
  <c r="N350" i="23"/>
  <c r="N316" i="23"/>
  <c r="N175" i="23"/>
  <c r="N208" i="23"/>
  <c r="N274" i="23"/>
  <c r="N98" i="23"/>
  <c r="N242" i="23"/>
  <c r="N68" i="23"/>
  <c r="N417" i="23"/>
  <c r="N281" i="23"/>
  <c r="N348" i="23"/>
  <c r="N310" i="23"/>
  <c r="N314" i="23"/>
  <c r="N132" i="23"/>
  <c r="N456" i="23"/>
  <c r="N277" i="23"/>
  <c r="N169" i="23"/>
  <c r="N483" i="23"/>
  <c r="N415" i="23"/>
  <c r="N347" i="23"/>
  <c r="N279" i="23"/>
  <c r="N206" i="23"/>
  <c r="N172" i="23"/>
  <c r="N246" i="23"/>
  <c r="N61" i="23"/>
  <c r="N141" i="23"/>
  <c r="N311" i="23"/>
  <c r="N377" i="23"/>
  <c r="N241" i="23"/>
  <c r="N308" i="23"/>
  <c r="N453" i="23"/>
  <c r="N419" i="23"/>
  <c r="N385" i="23"/>
  <c r="N351" i="23"/>
  <c r="N341" i="23"/>
  <c r="N307" i="23"/>
  <c r="N273" i="23"/>
  <c r="N239" i="23"/>
  <c r="N379" i="23"/>
  <c r="N139" i="23"/>
  <c r="N342" i="23"/>
  <c r="N306" i="23"/>
  <c r="N272" i="23"/>
  <c r="N238" i="23"/>
  <c r="N201" i="23"/>
  <c r="N167" i="23"/>
  <c r="N271" i="23"/>
  <c r="N63" i="23"/>
  <c r="N102" i="23"/>
  <c r="N67" i="23"/>
  <c r="N202" i="23"/>
  <c r="N454" i="23"/>
  <c r="N420" i="23"/>
  <c r="N386" i="23"/>
  <c r="N99" i="23"/>
  <c r="N243" i="23"/>
  <c r="N413" i="23"/>
  <c r="N315" i="23"/>
  <c r="N381" i="23"/>
  <c r="N245" i="23"/>
  <c r="N376" i="23"/>
  <c r="N137" i="23"/>
  <c r="N64" i="23"/>
  <c r="N209" i="23"/>
  <c r="N343" i="23"/>
  <c r="N174" i="23"/>
  <c r="N481" i="23"/>
  <c r="N447" i="23"/>
  <c r="N446" i="23"/>
  <c r="N412" i="23"/>
  <c r="N378" i="23"/>
  <c r="N344" i="23"/>
  <c r="N106" i="23"/>
  <c r="N97" i="23"/>
  <c r="N450" i="23"/>
  <c r="N105" i="23"/>
  <c r="N411" i="23"/>
  <c r="N449" i="23"/>
  <c r="N313" i="23"/>
  <c r="N171" i="23"/>
  <c r="N203" i="23"/>
  <c r="N138" i="23"/>
  <c r="N140" i="23"/>
  <c r="N207" i="23"/>
  <c r="N173" i="23"/>
  <c r="N71" i="23"/>
  <c r="N70" i="23"/>
  <c r="N204" i="23"/>
  <c r="N65" i="23"/>
  <c r="N237" i="23"/>
  <c r="N276" i="23"/>
  <c r="N170" i="23"/>
  <c r="N448" i="23"/>
  <c r="N414" i="23"/>
  <c r="N380" i="23"/>
  <c r="N346" i="23"/>
  <c r="N312" i="23"/>
  <c r="N278" i="23"/>
  <c r="N244" i="23"/>
  <c r="N211" i="23"/>
  <c r="N24" i="23"/>
  <c r="N25" i="23"/>
  <c r="N20" i="23"/>
  <c r="N19" i="23"/>
  <c r="N40" i="23"/>
  <c r="N34" i="23"/>
  <c r="N42" i="23"/>
  <c r="N27" i="23"/>
  <c r="N18" i="23"/>
  <c r="N17" i="23"/>
  <c r="C7" i="2"/>
  <c r="B22" i="2"/>
  <c r="B20" i="2"/>
  <c r="B7" i="2"/>
  <c r="B31" i="2"/>
  <c r="W50" i="23"/>
  <c r="U396" i="23"/>
  <c r="U402" i="23"/>
  <c r="U406" i="23"/>
  <c r="U410" i="23"/>
  <c r="U414" i="23"/>
  <c r="U418" i="23"/>
  <c r="U422" i="23"/>
  <c r="U426" i="23"/>
  <c r="U430" i="23"/>
  <c r="U490" i="23"/>
  <c r="U494" i="23"/>
  <c r="U498" i="23"/>
  <c r="U504" i="23"/>
  <c r="U508" i="23"/>
  <c r="U512" i="23"/>
  <c r="U516" i="23"/>
  <c r="U520" i="23"/>
  <c r="U524" i="23"/>
  <c r="U528" i="23"/>
  <c r="U532" i="23"/>
  <c r="U536" i="23"/>
  <c r="U542" i="23"/>
  <c r="U546" i="23"/>
  <c r="U550" i="23"/>
  <c r="U554" i="23"/>
  <c r="U562" i="23"/>
  <c r="U98" i="23"/>
  <c r="U102" i="23"/>
  <c r="U106" i="23"/>
  <c r="U110" i="23"/>
  <c r="U114" i="23"/>
  <c r="U120" i="23"/>
  <c r="U124" i="23"/>
  <c r="U128" i="23"/>
  <c r="U132" i="23"/>
  <c r="U136" i="23"/>
  <c r="U140" i="23"/>
  <c r="U144" i="23"/>
  <c r="U148" i="23"/>
  <c r="U154" i="23"/>
  <c r="U158" i="23"/>
  <c r="U162" i="23"/>
  <c r="U166" i="23"/>
  <c r="U170" i="23"/>
  <c r="U174" i="23"/>
  <c r="U178" i="23"/>
  <c r="U182" i="23"/>
  <c r="U382" i="23"/>
  <c r="U386" i="23"/>
  <c r="U394" i="23"/>
  <c r="U404" i="23"/>
  <c r="U408" i="23"/>
  <c r="U416" i="23"/>
  <c r="U420" i="23"/>
  <c r="U424" i="23"/>
  <c r="X59" i="23"/>
  <c r="AA51" i="23"/>
  <c r="AB51" i="23"/>
  <c r="AA59" i="23"/>
  <c r="AB59" i="23"/>
  <c r="X55" i="23"/>
  <c r="X54" i="23"/>
  <c r="X53" i="23"/>
  <c r="X65" i="23"/>
  <c r="X61" i="23"/>
  <c r="X57" i="23"/>
  <c r="X64" i="23"/>
  <c r="AA55" i="23"/>
  <c r="AB55" i="23"/>
  <c r="X58" i="23"/>
  <c r="X67" i="23"/>
  <c r="AA58" i="23"/>
  <c r="AB58" i="23"/>
  <c r="AA57" i="23"/>
  <c r="AB57" i="23"/>
  <c r="AA54" i="23"/>
  <c r="AA53" i="23"/>
  <c r="AB53" i="23"/>
  <c r="U436" i="23"/>
  <c r="U440" i="23"/>
  <c r="U444" i="23"/>
  <c r="U448" i="23"/>
  <c r="U452" i="23"/>
  <c r="U456" i="23"/>
  <c r="U460" i="23"/>
  <c r="U464" i="23"/>
  <c r="U470" i="23"/>
  <c r="U474" i="23"/>
  <c r="U478" i="23"/>
  <c r="U482" i="23"/>
  <c r="U486" i="23"/>
  <c r="U52" i="23"/>
  <c r="U60" i="23"/>
  <c r="U68" i="23"/>
  <c r="U72" i="23"/>
  <c r="U76" i="23"/>
  <c r="U80" i="23"/>
  <c r="U86" i="23"/>
  <c r="U90" i="23"/>
  <c r="U94" i="23"/>
  <c r="U17" i="23"/>
  <c r="X52" i="23"/>
  <c r="X60" i="23"/>
  <c r="X63" i="23"/>
  <c r="AA70" i="23"/>
  <c r="AB70" i="23"/>
  <c r="AA52" i="23"/>
  <c r="AA60" i="23"/>
  <c r="AB60" i="23"/>
  <c r="AA61" i="23"/>
  <c r="AA63" i="23"/>
  <c r="AB63" i="23"/>
  <c r="AA67" i="23"/>
  <c r="AA64" i="23"/>
  <c r="AA73" i="23"/>
  <c r="AA77" i="23"/>
  <c r="AA68" i="23"/>
  <c r="AB68" i="23"/>
  <c r="X68" i="23"/>
  <c r="X66" i="23"/>
  <c r="X76" i="23"/>
  <c r="AA66" i="23"/>
  <c r="AB66" i="23"/>
  <c r="AA49" i="23"/>
  <c r="AB49" i="23"/>
  <c r="X49" i="23"/>
  <c r="AA74" i="23"/>
  <c r="X74" i="23"/>
  <c r="X77" i="23"/>
  <c r="X73" i="23"/>
  <c r="X70" i="23"/>
  <c r="X80" i="23"/>
  <c r="AA80" i="23"/>
  <c r="AB80" i="23"/>
  <c r="AA76" i="23"/>
  <c r="U566" i="23"/>
  <c r="U570" i="23"/>
  <c r="U234" i="23"/>
  <c r="U250" i="23"/>
  <c r="U260" i="23"/>
  <c r="U280" i="23"/>
  <c r="U288" i="23"/>
  <c r="U322" i="23"/>
  <c r="U332" i="23"/>
  <c r="U344" i="23"/>
  <c r="U360" i="23"/>
  <c r="U370" i="23"/>
  <c r="U374" i="23"/>
  <c r="U400" i="23"/>
  <c r="U412" i="23"/>
  <c r="U428" i="23"/>
  <c r="U442" i="23"/>
  <c r="U458" i="23"/>
  <c r="U466" i="23"/>
  <c r="U472" i="23"/>
  <c r="U488" i="23"/>
  <c r="U514" i="23"/>
  <c r="U564" i="23"/>
  <c r="U49" i="23"/>
  <c r="U53" i="23"/>
  <c r="U57" i="23"/>
  <c r="U61" i="23"/>
  <c r="U65" i="23"/>
  <c r="U69" i="23"/>
  <c r="U73" i="23"/>
  <c r="U77" i="23"/>
  <c r="U81" i="23"/>
  <c r="U87" i="23"/>
  <c r="U91" i="23"/>
  <c r="U95" i="23"/>
  <c r="U99" i="23"/>
  <c r="U103" i="23"/>
  <c r="U107" i="23"/>
  <c r="U111" i="23"/>
  <c r="U115" i="23"/>
  <c r="U121" i="23"/>
  <c r="U125" i="23"/>
  <c r="U129" i="23"/>
  <c r="U133" i="23"/>
  <c r="U137" i="23"/>
  <c r="U141" i="23"/>
  <c r="U145" i="23"/>
  <c r="U149" i="23"/>
  <c r="U155" i="23"/>
  <c r="U159" i="23"/>
  <c r="U163" i="23"/>
  <c r="U167" i="23"/>
  <c r="U171" i="23"/>
  <c r="U175" i="23"/>
  <c r="U179" i="23"/>
  <c r="U183" i="23"/>
  <c r="U189" i="23"/>
  <c r="U193" i="23"/>
  <c r="U197" i="23"/>
  <c r="U201" i="23"/>
  <c r="U205" i="23"/>
  <c r="U209" i="23"/>
  <c r="U213" i="23"/>
  <c r="U217" i="23"/>
  <c r="U221" i="23"/>
  <c r="U227" i="23"/>
  <c r="U231" i="23"/>
  <c r="U235" i="23"/>
  <c r="U239" i="23"/>
  <c r="U243" i="23"/>
  <c r="U247" i="23"/>
  <c r="U251" i="23"/>
  <c r="U255" i="23"/>
  <c r="U261" i="23"/>
  <c r="U265" i="23"/>
  <c r="U269" i="23"/>
  <c r="U273" i="23"/>
  <c r="U277" i="23"/>
  <c r="U281" i="23"/>
  <c r="U285" i="23"/>
  <c r="U289" i="23"/>
  <c r="U295" i="23"/>
  <c r="U299" i="23"/>
  <c r="U303" i="23"/>
  <c r="U307" i="23"/>
  <c r="U311" i="23"/>
  <c r="U315" i="23"/>
  <c r="U319" i="23"/>
  <c r="U323" i="23"/>
  <c r="U329" i="23"/>
  <c r="U333" i="23"/>
  <c r="U337" i="23"/>
  <c r="U341" i="23"/>
  <c r="U345" i="23"/>
  <c r="U349" i="23"/>
  <c r="U353" i="23"/>
  <c r="U357" i="23"/>
  <c r="U361" i="23"/>
  <c r="U367" i="23"/>
  <c r="U371" i="23"/>
  <c r="U375" i="23"/>
  <c r="U379" i="23"/>
  <c r="U383" i="23"/>
  <c r="U387" i="23"/>
  <c r="U391" i="23"/>
  <c r="U395" i="23"/>
  <c r="U401" i="23"/>
  <c r="U405" i="23"/>
  <c r="U409" i="23"/>
  <c r="U413" i="23"/>
  <c r="U417" i="23"/>
  <c r="U421" i="23"/>
  <c r="U425" i="23"/>
  <c r="U429" i="23"/>
  <c r="U435" i="23"/>
  <c r="U439" i="23"/>
  <c r="U443" i="23"/>
  <c r="U447" i="23"/>
  <c r="U451" i="23"/>
  <c r="U455" i="23"/>
  <c r="U459" i="23"/>
  <c r="U463" i="23"/>
  <c r="U469" i="23"/>
  <c r="U473" i="23"/>
  <c r="U477" i="23"/>
  <c r="U481" i="23"/>
  <c r="U485" i="23"/>
  <c r="U489" i="23"/>
  <c r="U493" i="23"/>
  <c r="U497" i="23"/>
  <c r="U501" i="23"/>
  <c r="U507" i="23"/>
  <c r="U511" i="23"/>
  <c r="U515" i="23"/>
  <c r="U519" i="23"/>
  <c r="U523" i="23"/>
  <c r="U527" i="23"/>
  <c r="U531" i="23"/>
  <c r="U535" i="23"/>
  <c r="U541" i="23"/>
  <c r="U545" i="23"/>
  <c r="U549" i="23"/>
  <c r="U553" i="23"/>
  <c r="U557" i="23"/>
  <c r="U561" i="23"/>
  <c r="U565" i="23"/>
  <c r="U569" i="23"/>
  <c r="U186" i="23"/>
  <c r="U192" i="23"/>
  <c r="U200" i="23"/>
  <c r="U208" i="23"/>
  <c r="U212" i="23"/>
  <c r="U216" i="23"/>
  <c r="U230" i="23"/>
  <c r="U242" i="23"/>
  <c r="U15" i="23"/>
  <c r="U14" i="23"/>
  <c r="E73" i="2"/>
  <c r="U321" i="23"/>
  <c r="U317" i="23"/>
  <c r="U313" i="23"/>
  <c r="U309" i="23"/>
  <c r="U305" i="23"/>
  <c r="U301" i="23"/>
  <c r="U297" i="23"/>
  <c r="U291" i="23"/>
  <c r="U287" i="23"/>
  <c r="U283" i="23"/>
  <c r="U279" i="23"/>
  <c r="U275" i="23"/>
  <c r="U271" i="23"/>
  <c r="U267" i="23"/>
  <c r="U263" i="23"/>
  <c r="U259" i="23"/>
  <c r="U253" i="23"/>
  <c r="U249" i="23"/>
  <c r="U245" i="23"/>
  <c r="U241" i="23"/>
  <c r="U237" i="23"/>
  <c r="U233" i="23"/>
  <c r="U229" i="23"/>
  <c r="U225" i="23"/>
  <c r="U219" i="23"/>
  <c r="U215" i="23"/>
  <c r="U211" i="23"/>
  <c r="U207" i="23"/>
  <c r="U203" i="23"/>
  <c r="U199" i="23"/>
  <c r="U195" i="23"/>
  <c r="U191" i="23"/>
  <c r="U185" i="23"/>
  <c r="U181" i="23"/>
  <c r="U177" i="23"/>
  <c r="U173" i="23"/>
  <c r="U169" i="23"/>
  <c r="U165" i="23"/>
  <c r="U161" i="23"/>
  <c r="U157" i="23"/>
  <c r="U151" i="23"/>
  <c r="U147" i="23"/>
  <c r="U143" i="23"/>
  <c r="U139" i="23"/>
  <c r="U135" i="23"/>
  <c r="U131" i="23"/>
  <c r="U127" i="23"/>
  <c r="U123" i="23"/>
  <c r="U119" i="23"/>
  <c r="U113" i="23"/>
  <c r="U109" i="23"/>
  <c r="U105" i="23"/>
  <c r="U101" i="23"/>
  <c r="U97" i="23"/>
  <c r="U93" i="23"/>
  <c r="U89" i="23"/>
  <c r="U85" i="23"/>
  <c r="U79" i="23"/>
  <c r="U75" i="23"/>
  <c r="U71" i="23"/>
  <c r="U67" i="23"/>
  <c r="U63" i="23"/>
  <c r="U59" i="23"/>
  <c r="U55" i="23"/>
  <c r="U51" i="23"/>
  <c r="U571" i="23"/>
  <c r="U563" i="23"/>
  <c r="U551" i="23"/>
  <c r="U204" i="23"/>
  <c r="U246" i="23"/>
  <c r="U264" i="23"/>
  <c r="U276" i="23"/>
  <c r="U294" i="23"/>
  <c r="U555" i="23"/>
  <c r="U196" i="23"/>
  <c r="U220" i="23"/>
  <c r="U226" i="23"/>
  <c r="U238" i="23"/>
  <c r="U254" i="23"/>
  <c r="U284" i="23"/>
  <c r="U302" i="23"/>
  <c r="U306" i="23"/>
  <c r="U326" i="23"/>
  <c r="U390" i="23"/>
  <c r="U62" i="23"/>
  <c r="U66" i="23"/>
  <c r="U70" i="23"/>
  <c r="U74" i="23"/>
  <c r="U78" i="23"/>
  <c r="U84" i="23"/>
  <c r="U88" i="23"/>
  <c r="U92" i="23"/>
  <c r="U96" i="23"/>
  <c r="U100" i="23"/>
  <c r="U104" i="23"/>
  <c r="U108" i="23"/>
  <c r="U112" i="23"/>
  <c r="U116" i="23"/>
  <c r="U122" i="23"/>
  <c r="U126" i="23"/>
  <c r="U130" i="23"/>
  <c r="U134" i="23"/>
  <c r="U138" i="23"/>
  <c r="U142" i="23"/>
  <c r="U146" i="23"/>
  <c r="U150" i="23"/>
  <c r="U156" i="23"/>
  <c r="U160" i="23"/>
  <c r="J19" i="1" l="1"/>
  <c r="J20" i="1"/>
  <c r="J18" i="1"/>
  <c r="B6" i="15"/>
  <c r="B7" i="15" s="1"/>
  <c r="AA79" i="23"/>
  <c r="AB79" i="23"/>
  <c r="X79" i="23"/>
  <c r="X51" i="23"/>
  <c r="AA72" i="23"/>
  <c r="AB72" i="23"/>
  <c r="X72" i="23"/>
  <c r="C14" i="15"/>
  <c r="F6" i="15"/>
  <c r="N18" i="36"/>
  <c r="N16" i="36"/>
  <c r="N17" i="36"/>
  <c r="AA65" i="23"/>
  <c r="AA78" i="23"/>
  <c r="X78" i="23"/>
  <c r="AA71" i="23"/>
  <c r="X71" i="23"/>
  <c r="AB61" i="23"/>
  <c r="AA75" i="23"/>
  <c r="X69" i="23"/>
  <c r="X75" i="23"/>
  <c r="AA69" i="23"/>
  <c r="AB69" i="23"/>
  <c r="F24" i="15"/>
  <c r="D24" i="15"/>
  <c r="X56" i="23"/>
  <c r="X62" i="23"/>
  <c r="AA56" i="23"/>
  <c r="AB56" i="23"/>
  <c r="AA62" i="23"/>
  <c r="D6" i="15"/>
  <c r="C7" i="15"/>
  <c r="B24" i="15"/>
  <c r="H21" i="1" a="1"/>
  <c r="H21" i="1" s="1"/>
  <c r="P22" i="1"/>
  <c r="C24" i="15"/>
  <c r="G6" i="15"/>
  <c r="N12" i="36"/>
  <c r="N6" i="36"/>
  <c r="N8" i="36"/>
  <c r="N10" i="36"/>
  <c r="N15" i="36"/>
  <c r="N13" i="36"/>
  <c r="N11" i="36"/>
  <c r="N9" i="36"/>
  <c r="N14" i="36"/>
  <c r="N7" i="36"/>
  <c r="L82" i="23" a="1"/>
  <c r="L82" i="23" s="1"/>
  <c r="E30" i="15"/>
  <c r="E24" i="15"/>
  <c r="H573" i="23"/>
  <c r="AA50" i="23"/>
  <c r="X50" i="23"/>
  <c r="N222" i="23" a="1"/>
  <c r="N222" i="23" s="1"/>
  <c r="N187" i="23" a="1"/>
  <c r="N187" i="23" s="1"/>
  <c r="N152" i="23" a="1"/>
  <c r="N152" i="23" s="1"/>
  <c r="N117" i="23" a="1"/>
  <c r="N117" i="23" s="1"/>
  <c r="N572" i="23" a="1"/>
  <c r="N572" i="23" s="1"/>
  <c r="N432" i="23" a="1"/>
  <c r="N432" i="23" s="1"/>
  <c r="N292" i="23" a="1"/>
  <c r="N292" i="23" s="1"/>
  <c r="N362" i="23" a="1"/>
  <c r="N362" i="23" s="1"/>
  <c r="N397" i="23" a="1"/>
  <c r="N397" i="23" s="1"/>
  <c r="N327" i="23" a="1"/>
  <c r="N327" i="23" s="1"/>
  <c r="N82" i="23" a="1"/>
  <c r="N82" i="23" s="1"/>
  <c r="N257" i="23" a="1"/>
  <c r="N257" i="23" s="1"/>
  <c r="N502" i="23" a="1"/>
  <c r="N502" i="23" s="1"/>
  <c r="N537" i="23" a="1"/>
  <c r="N537" i="23" s="1"/>
  <c r="N467" i="23" a="1"/>
  <c r="N467" i="23" s="1"/>
  <c r="C38" i="2"/>
  <c r="E59" i="2" s="1"/>
  <c r="E72" i="2" s="1"/>
  <c r="N47" i="23" a="1"/>
  <c r="N47" i="23" s="1"/>
  <c r="B38" i="2"/>
  <c r="AB73" i="23"/>
  <c r="AB76" i="23"/>
  <c r="AB67" i="23"/>
  <c r="AB54" i="23"/>
  <c r="AB77" i="23"/>
  <c r="AB52" i="23"/>
  <c r="AE51" i="23"/>
  <c r="AC51" i="23"/>
  <c r="AG51" i="23" s="1"/>
  <c r="AH51" i="23" s="1"/>
  <c r="AE59" i="23"/>
  <c r="AC59" i="23"/>
  <c r="AG59" i="23" s="1"/>
  <c r="AH59" i="23" s="1"/>
  <c r="AE55" i="23"/>
  <c r="AC55" i="23"/>
  <c r="AG55" i="23" s="1"/>
  <c r="AH55" i="23" s="1"/>
  <c r="AE58" i="23"/>
  <c r="AC58" i="23"/>
  <c r="AG58" i="23" s="1"/>
  <c r="AH58" i="23" s="1"/>
  <c r="AE57" i="23"/>
  <c r="AC57" i="23"/>
  <c r="AG57" i="23" s="1"/>
  <c r="AH57" i="23" s="1"/>
  <c r="AE53" i="23"/>
  <c r="AC53" i="23"/>
  <c r="AG53" i="23" s="1"/>
  <c r="AH53" i="23" s="1"/>
  <c r="AB64" i="23"/>
  <c r="AB74" i="23"/>
  <c r="AE70" i="23"/>
  <c r="AC70" i="23"/>
  <c r="AG70" i="23" s="1"/>
  <c r="AH70" i="23" s="1"/>
  <c r="AE60" i="23"/>
  <c r="AC60" i="23"/>
  <c r="AG60" i="23" s="1"/>
  <c r="AH60" i="23" s="1"/>
  <c r="AE63" i="23"/>
  <c r="AC63" i="23"/>
  <c r="AG63" i="23" s="1"/>
  <c r="AH63" i="23" s="1"/>
  <c r="AE68" i="23"/>
  <c r="AC68" i="23"/>
  <c r="AG68" i="23" s="1"/>
  <c r="AH68" i="23" s="1"/>
  <c r="AE66" i="23"/>
  <c r="AC66" i="23"/>
  <c r="AG66" i="23" s="1"/>
  <c r="AH66" i="23" s="1"/>
  <c r="AE49" i="23"/>
  <c r="AC49" i="23"/>
  <c r="AG49" i="23" s="1"/>
  <c r="AH49" i="23" s="1"/>
  <c r="AE80" i="23"/>
  <c r="AC80" i="23"/>
  <c r="AG80" i="23" s="1"/>
  <c r="AH80" i="23" s="1"/>
  <c r="AB78" i="23" l="1"/>
  <c r="AE79" i="23"/>
  <c r="AC79" i="23"/>
  <c r="AG79" i="23" s="1"/>
  <c r="AH79" i="23" s="1"/>
  <c r="AB50" i="23"/>
  <c r="F26" i="15"/>
  <c r="G26" i="15"/>
  <c r="E9" i="15"/>
  <c r="B26" i="15"/>
  <c r="B9" i="15"/>
  <c r="E13" i="15"/>
  <c r="C9" i="15"/>
  <c r="C15" i="15"/>
  <c r="F7" i="15"/>
  <c r="F9" i="15"/>
  <c r="E26" i="15"/>
  <c r="AB71" i="23"/>
  <c r="AE72" i="23"/>
  <c r="AC72" i="23"/>
  <c r="AG72" i="23" s="1"/>
  <c r="AH72" i="23" s="1"/>
  <c r="AB65" i="23"/>
  <c r="C26" i="15"/>
  <c r="D26" i="15"/>
  <c r="AB62" i="23"/>
  <c r="AC56" i="23"/>
  <c r="AG56" i="23" s="1"/>
  <c r="AH56" i="23" s="1"/>
  <c r="AE78" i="23"/>
  <c r="AE61" i="23"/>
  <c r="AC61" i="23"/>
  <c r="AG61" i="23" s="1"/>
  <c r="AH61" i="23" s="1"/>
  <c r="AE56" i="23"/>
  <c r="AB75" i="23"/>
  <c r="AC78" i="23"/>
  <c r="AG78" i="23" s="1"/>
  <c r="AH78" i="23" s="1"/>
  <c r="AE69" i="23"/>
  <c r="AC69" i="23"/>
  <c r="AG69" i="23" s="1"/>
  <c r="AH69" i="23" s="1"/>
  <c r="D9" i="15"/>
  <c r="D7" i="15"/>
  <c r="G9" i="15"/>
  <c r="G7" i="15"/>
  <c r="H22" i="1"/>
  <c r="K573" i="23"/>
  <c r="V498" i="23"/>
  <c r="W498" i="23" s="1"/>
  <c r="V508" i="23"/>
  <c r="W508" i="23" s="1"/>
  <c r="V554" i="23"/>
  <c r="W554" i="23" s="1"/>
  <c r="V426" i="23"/>
  <c r="W426" i="23" s="1"/>
  <c r="V409" i="23"/>
  <c r="W409" i="23" s="1"/>
  <c r="V430" i="23"/>
  <c r="W430" i="23" s="1"/>
  <c r="V396" i="23"/>
  <c r="W396" i="23" s="1"/>
  <c r="V406" i="23"/>
  <c r="W406" i="23" s="1"/>
  <c r="V418" i="23"/>
  <c r="W418" i="23" s="1"/>
  <c r="V494" i="23"/>
  <c r="W494" i="23" s="1"/>
  <c r="V524" i="23"/>
  <c r="W524" i="23" s="1"/>
  <c r="V422" i="23"/>
  <c r="W422" i="23" s="1"/>
  <c r="V470" i="23"/>
  <c r="W470" i="23" s="1"/>
  <c r="V512" i="23"/>
  <c r="W512" i="23" s="1"/>
  <c r="V516" i="23"/>
  <c r="W516" i="23" s="1"/>
  <c r="V528" i="23"/>
  <c r="W528" i="23" s="1"/>
  <c r="V464" i="23"/>
  <c r="W464" i="23" s="1"/>
  <c r="V124" i="23"/>
  <c r="W124" i="23" s="1"/>
  <c r="V416" i="23"/>
  <c r="W416" i="23" s="1"/>
  <c r="V408" i="23"/>
  <c r="W408" i="23" s="1"/>
  <c r="V102" i="23"/>
  <c r="W102" i="23" s="1"/>
  <c r="V132" i="23"/>
  <c r="W132" i="23" s="1"/>
  <c r="V136" i="23"/>
  <c r="W136" i="23" s="1"/>
  <c r="X136" i="23" s="1"/>
  <c r="V394" i="23"/>
  <c r="W394" i="23" s="1"/>
  <c r="X394" i="23" s="1"/>
  <c r="V490" i="23"/>
  <c r="W490" i="23" s="1"/>
  <c r="X490" i="23" s="1"/>
  <c r="V542" i="23"/>
  <c r="W542" i="23" s="1"/>
  <c r="X542" i="23" s="1"/>
  <c r="V158" i="23"/>
  <c r="W158" i="23" s="1"/>
  <c r="X158" i="23" s="1"/>
  <c r="V382" i="23"/>
  <c r="W382" i="23" s="1"/>
  <c r="X382" i="23" s="1"/>
  <c r="V386" i="23"/>
  <c r="W386" i="23" s="1"/>
  <c r="X386" i="23" s="1"/>
  <c r="V154" i="23"/>
  <c r="W154" i="23" s="1"/>
  <c r="X154" i="23" s="1"/>
  <c r="V128" i="23"/>
  <c r="W128" i="23" s="1"/>
  <c r="V162" i="23"/>
  <c r="W162" i="23" s="1"/>
  <c r="V452" i="23"/>
  <c r="W452" i="23" s="1"/>
  <c r="V435" i="23"/>
  <c r="W435" i="23" s="1"/>
  <c r="V447" i="23"/>
  <c r="W447" i="23" s="1"/>
  <c r="AE50" i="23"/>
  <c r="AC50" i="23"/>
  <c r="AG50" i="23" s="1"/>
  <c r="AH50" i="23" s="1"/>
  <c r="V91" i="23"/>
  <c r="W91" i="23" s="1"/>
  <c r="V485" i="23"/>
  <c r="W485" i="23" s="1"/>
  <c r="V17" i="23"/>
  <c r="W17" i="23" s="1"/>
  <c r="V15" i="23"/>
  <c r="W15" i="23" s="1"/>
  <c r="V27" i="23"/>
  <c r="W27" i="23" s="1"/>
  <c r="V45" i="23"/>
  <c r="W45" i="23" s="1"/>
  <c r="V37" i="23"/>
  <c r="W37" i="23" s="1"/>
  <c r="V20" i="23"/>
  <c r="W20" i="23" s="1"/>
  <c r="D19" i="36"/>
  <c r="P9" i="23"/>
  <c r="V21" i="23"/>
  <c r="W21" i="23" s="1"/>
  <c r="V30" i="23"/>
  <c r="W30" i="23" s="1"/>
  <c r="V41" i="23"/>
  <c r="W41" i="23" s="1"/>
  <c r="V18" i="23"/>
  <c r="W18" i="23" s="1"/>
  <c r="V34" i="23"/>
  <c r="W34" i="23" s="1"/>
  <c r="V42" i="23"/>
  <c r="W42" i="23" s="1"/>
  <c r="V46" i="23"/>
  <c r="W46" i="23" s="1"/>
  <c r="V19" i="23"/>
  <c r="W19" i="23" s="1"/>
  <c r="V26" i="23"/>
  <c r="W26" i="23" s="1"/>
  <c r="V28" i="23"/>
  <c r="W28" i="23" s="1"/>
  <c r="V32" i="23"/>
  <c r="W32" i="23" s="1"/>
  <c r="V39" i="23"/>
  <c r="W39" i="23" s="1"/>
  <c r="V35" i="23"/>
  <c r="W35" i="23" s="1"/>
  <c r="V36" i="23"/>
  <c r="W36" i="23" s="1"/>
  <c r="V33" i="23"/>
  <c r="W33" i="23" s="1"/>
  <c r="V40" i="23"/>
  <c r="W40" i="23" s="1"/>
  <c r="V43" i="23"/>
  <c r="W43" i="23" s="1"/>
  <c r="V44" i="23"/>
  <c r="W44" i="23" s="1"/>
  <c r="V22" i="23"/>
  <c r="W22" i="23" s="1"/>
  <c r="V25" i="23"/>
  <c r="W25" i="23" s="1"/>
  <c r="V24" i="23"/>
  <c r="W24" i="23" s="1"/>
  <c r="V533" i="23"/>
  <c r="W533" i="23" s="1"/>
  <c r="V529" i="23"/>
  <c r="W529" i="23" s="1"/>
  <c r="V521" i="23"/>
  <c r="W521" i="23" s="1"/>
  <c r="V517" i="23"/>
  <c r="W517" i="23" s="1"/>
  <c r="V513" i="23"/>
  <c r="W513" i="23" s="1"/>
  <c r="V509" i="23"/>
  <c r="W509" i="23" s="1"/>
  <c r="V483" i="23"/>
  <c r="W483" i="23" s="1"/>
  <c r="V479" i="23"/>
  <c r="W479" i="23" s="1"/>
  <c r="V423" i="23"/>
  <c r="W423" i="23" s="1"/>
  <c r="V399" i="23"/>
  <c r="W399" i="23" s="1"/>
  <c r="V393" i="23"/>
  <c r="W393" i="23" s="1"/>
  <c r="V373" i="23"/>
  <c r="W373" i="23" s="1"/>
  <c r="V369" i="23"/>
  <c r="W369" i="23" s="1"/>
  <c r="V365" i="23"/>
  <c r="W365" i="23" s="1"/>
  <c r="V359" i="23"/>
  <c r="W359" i="23" s="1"/>
  <c r="V270" i="23"/>
  <c r="W270" i="23" s="1"/>
  <c r="V282" i="23"/>
  <c r="W282" i="23" s="1"/>
  <c r="V296" i="23"/>
  <c r="W296" i="23" s="1"/>
  <c r="V308" i="23"/>
  <c r="W308" i="23" s="1"/>
  <c r="V350" i="23"/>
  <c r="W350" i="23" s="1"/>
  <c r="V364" i="23"/>
  <c r="W364" i="23" s="1"/>
  <c r="V368" i="23"/>
  <c r="W368" i="23" s="1"/>
  <c r="V352" i="23"/>
  <c r="W352" i="23" s="1"/>
  <c r="V366" i="23"/>
  <c r="W366" i="23" s="1"/>
  <c r="V434" i="23"/>
  <c r="W434" i="23" s="1"/>
  <c r="V454" i="23"/>
  <c r="W454" i="23" s="1"/>
  <c r="V476" i="23"/>
  <c r="W476" i="23" s="1"/>
  <c r="V484" i="23"/>
  <c r="W484" i="23" s="1"/>
  <c r="V500" i="23"/>
  <c r="W500" i="23" s="1"/>
  <c r="V518" i="23"/>
  <c r="W518" i="23" s="1"/>
  <c r="V526" i="23"/>
  <c r="W526" i="23" s="1"/>
  <c r="V530" i="23"/>
  <c r="W530" i="23" s="1"/>
  <c r="V556" i="23"/>
  <c r="W556" i="23" s="1"/>
  <c r="V560" i="23"/>
  <c r="W560" i="23" s="1"/>
  <c r="V16" i="23"/>
  <c r="W16" i="23" s="1"/>
  <c r="V506" i="23"/>
  <c r="W506" i="23" s="1"/>
  <c r="V272" i="23"/>
  <c r="W272" i="23" s="1"/>
  <c r="V205" i="23"/>
  <c r="W205" i="23" s="1"/>
  <c r="V197" i="23"/>
  <c r="W197" i="23" s="1"/>
  <c r="V160" i="23"/>
  <c r="W160" i="23" s="1"/>
  <c r="V146" i="23"/>
  <c r="W146" i="23" s="1"/>
  <c r="V138" i="23"/>
  <c r="W138" i="23" s="1"/>
  <c r="V130" i="23"/>
  <c r="W130" i="23" s="1"/>
  <c r="V122" i="23"/>
  <c r="W122" i="23" s="1"/>
  <c r="V112" i="23"/>
  <c r="W112" i="23" s="1"/>
  <c r="V100" i="23"/>
  <c r="W100" i="23" s="1"/>
  <c r="V92" i="23"/>
  <c r="W92" i="23" s="1"/>
  <c r="V84" i="23"/>
  <c r="W84" i="23" s="1"/>
  <c r="V326" i="23"/>
  <c r="W326" i="23" s="1"/>
  <c r="V284" i="23"/>
  <c r="W284" i="23" s="1"/>
  <c r="V238" i="23"/>
  <c r="W238" i="23" s="1"/>
  <c r="V555" i="23"/>
  <c r="W555" i="23" s="1"/>
  <c r="V276" i="23"/>
  <c r="W276" i="23" s="1"/>
  <c r="V246" i="23"/>
  <c r="W246" i="23" s="1"/>
  <c r="V204" i="23"/>
  <c r="W204" i="23" s="1"/>
  <c r="V563" i="23"/>
  <c r="W563" i="23" s="1"/>
  <c r="V89" i="23"/>
  <c r="W89" i="23" s="1"/>
  <c r="V101" i="23"/>
  <c r="W101" i="23" s="1"/>
  <c r="V109" i="23"/>
  <c r="W109" i="23" s="1"/>
  <c r="V119" i="23"/>
  <c r="W119" i="23" s="1"/>
  <c r="V127" i="23"/>
  <c r="W127" i="23" s="1"/>
  <c r="V135" i="23"/>
  <c r="W135" i="23" s="1"/>
  <c r="V143" i="23"/>
  <c r="W143" i="23" s="1"/>
  <c r="V151" i="23"/>
  <c r="W151" i="23" s="1"/>
  <c r="V161" i="23"/>
  <c r="W161" i="23" s="1"/>
  <c r="V169" i="23"/>
  <c r="W169" i="23" s="1"/>
  <c r="V177" i="23"/>
  <c r="W177" i="23" s="1"/>
  <c r="V185" i="23"/>
  <c r="W185" i="23" s="1"/>
  <c r="V191" i="23"/>
  <c r="W191" i="23" s="1"/>
  <c r="V199" i="23"/>
  <c r="W199" i="23" s="1"/>
  <c r="V207" i="23"/>
  <c r="W207" i="23" s="1"/>
  <c r="V211" i="23"/>
  <c r="W211" i="23" s="1"/>
  <c r="V219" i="23"/>
  <c r="W219" i="23" s="1"/>
  <c r="V229" i="23"/>
  <c r="W229" i="23" s="1"/>
  <c r="V237" i="23"/>
  <c r="W237" i="23" s="1"/>
  <c r="V245" i="23"/>
  <c r="W245" i="23" s="1"/>
  <c r="V253" i="23"/>
  <c r="W253" i="23" s="1"/>
  <c r="V263" i="23"/>
  <c r="W263" i="23" s="1"/>
  <c r="V267" i="23"/>
  <c r="W267" i="23" s="1"/>
  <c r="V271" i="23"/>
  <c r="W271" i="23" s="1"/>
  <c r="V275" i="23"/>
  <c r="W275" i="23" s="1"/>
  <c r="V279" i="23"/>
  <c r="W279" i="23" s="1"/>
  <c r="V291" i="23"/>
  <c r="W291" i="23" s="1"/>
  <c r="V377" i="23"/>
  <c r="W377" i="23" s="1"/>
  <c r="V431" i="23"/>
  <c r="W431" i="23" s="1"/>
  <c r="V230" i="23"/>
  <c r="W230" i="23" s="1"/>
  <c r="V212" i="23"/>
  <c r="W212" i="23" s="1"/>
  <c r="V200" i="23"/>
  <c r="W200" i="23" s="1"/>
  <c r="V186" i="23"/>
  <c r="W186" i="23" s="1"/>
  <c r="V569" i="23"/>
  <c r="W569" i="23" s="1"/>
  <c r="V561" i="23"/>
  <c r="W561" i="23" s="1"/>
  <c r="V545" i="23"/>
  <c r="W545" i="23" s="1"/>
  <c r="V535" i="23"/>
  <c r="W535" i="23" s="1"/>
  <c r="V527" i="23"/>
  <c r="W527" i="23" s="1"/>
  <c r="V515" i="23"/>
  <c r="W515" i="23" s="1"/>
  <c r="V501" i="23"/>
  <c r="W501" i="23" s="1"/>
  <c r="V481" i="23"/>
  <c r="W481" i="23" s="1"/>
  <c r="V473" i="23"/>
  <c r="W473" i="23" s="1"/>
  <c r="V459" i="23"/>
  <c r="W459" i="23" s="1"/>
  <c r="V443" i="23"/>
  <c r="W443" i="23" s="1"/>
  <c r="V425" i="23"/>
  <c r="W425" i="23" s="1"/>
  <c r="V337" i="23"/>
  <c r="W337" i="23" s="1"/>
  <c r="V323" i="23"/>
  <c r="W323" i="23" s="1"/>
  <c r="V319" i="23"/>
  <c r="W319" i="23" s="1"/>
  <c r="V315" i="23"/>
  <c r="W315" i="23" s="1"/>
  <c r="V307" i="23"/>
  <c r="W307" i="23" s="1"/>
  <c r="V303" i="23"/>
  <c r="W303" i="23" s="1"/>
  <c r="V299" i="23"/>
  <c r="W299" i="23" s="1"/>
  <c r="V295" i="23"/>
  <c r="W295" i="23" s="1"/>
  <c r="V285" i="23"/>
  <c r="W285" i="23" s="1"/>
  <c r="V281" i="23"/>
  <c r="W281" i="23" s="1"/>
  <c r="V277" i="23"/>
  <c r="W277" i="23" s="1"/>
  <c r="V273" i="23"/>
  <c r="W273" i="23" s="1"/>
  <c r="V269" i="23"/>
  <c r="W269" i="23" s="1"/>
  <c r="V265" i="23"/>
  <c r="W265" i="23" s="1"/>
  <c r="V261" i="23"/>
  <c r="W261" i="23" s="1"/>
  <c r="V255" i="23"/>
  <c r="W255" i="23" s="1"/>
  <c r="V251" i="23"/>
  <c r="W251" i="23" s="1"/>
  <c r="V243" i="23"/>
  <c r="W243" i="23" s="1"/>
  <c r="V239" i="23"/>
  <c r="W239" i="23" s="1"/>
  <c r="V235" i="23"/>
  <c r="W235" i="23" s="1"/>
  <c r="V231" i="23"/>
  <c r="W231" i="23" s="1"/>
  <c r="V227" i="23"/>
  <c r="W227" i="23" s="1"/>
  <c r="V217" i="23"/>
  <c r="W217" i="23" s="1"/>
  <c r="V209" i="23"/>
  <c r="W209" i="23" s="1"/>
  <c r="V193" i="23"/>
  <c r="W193" i="23" s="1"/>
  <c r="V189" i="23"/>
  <c r="W189" i="23" s="1"/>
  <c r="V183" i="23"/>
  <c r="W183" i="23" s="1"/>
  <c r="V179" i="23"/>
  <c r="W179" i="23" s="1"/>
  <c r="V175" i="23"/>
  <c r="W175" i="23" s="1"/>
  <c r="V171" i="23"/>
  <c r="W171" i="23" s="1"/>
  <c r="V167" i="23"/>
  <c r="W167" i="23" s="1"/>
  <c r="V163" i="23"/>
  <c r="W163" i="23" s="1"/>
  <c r="V159" i="23"/>
  <c r="W159" i="23" s="1"/>
  <c r="V155" i="23"/>
  <c r="W155" i="23" s="1"/>
  <c r="V149" i="23"/>
  <c r="W149" i="23" s="1"/>
  <c r="V145" i="23"/>
  <c r="W145" i="23" s="1"/>
  <c r="V141" i="23"/>
  <c r="W141" i="23" s="1"/>
  <c r="V137" i="23"/>
  <c r="W137" i="23" s="1"/>
  <c r="V133" i="23"/>
  <c r="W133" i="23" s="1"/>
  <c r="V129" i="23"/>
  <c r="W129" i="23" s="1"/>
  <c r="V125" i="23"/>
  <c r="W125" i="23" s="1"/>
  <c r="V121" i="23"/>
  <c r="W121" i="23" s="1"/>
  <c r="V115" i="23"/>
  <c r="W115" i="23" s="1"/>
  <c r="V111" i="23"/>
  <c r="W111" i="23" s="1"/>
  <c r="V103" i="23"/>
  <c r="W103" i="23" s="1"/>
  <c r="V87" i="23"/>
  <c r="W87" i="23" s="1"/>
  <c r="V81" i="23"/>
  <c r="W81" i="23" s="1"/>
  <c r="V514" i="23"/>
  <c r="W514" i="23" s="1"/>
  <c r="V488" i="23"/>
  <c r="W488" i="23" s="1"/>
  <c r="V472" i="23"/>
  <c r="W472" i="23" s="1"/>
  <c r="V466" i="23"/>
  <c r="W466" i="23" s="1"/>
  <c r="V458" i="23"/>
  <c r="W458" i="23" s="1"/>
  <c r="V442" i="23"/>
  <c r="W442" i="23" s="1"/>
  <c r="V428" i="23"/>
  <c r="W428" i="23" s="1"/>
  <c r="V298" i="23"/>
  <c r="W298" i="23" s="1"/>
  <c r="V268" i="23"/>
  <c r="W268" i="23" s="1"/>
  <c r="V201" i="23"/>
  <c r="W201" i="23" s="1"/>
  <c r="V156" i="23"/>
  <c r="W156" i="23" s="1"/>
  <c r="V150" i="23"/>
  <c r="W150" i="23" s="1"/>
  <c r="V142" i="23"/>
  <c r="W142" i="23" s="1"/>
  <c r="V134" i="23"/>
  <c r="W134" i="23" s="1"/>
  <c r="V126" i="23"/>
  <c r="W126" i="23" s="1"/>
  <c r="V116" i="23"/>
  <c r="W116" i="23" s="1"/>
  <c r="V108" i="23"/>
  <c r="W108" i="23" s="1"/>
  <c r="V104" i="23"/>
  <c r="W104" i="23" s="1"/>
  <c r="V96" i="23"/>
  <c r="W96" i="23" s="1"/>
  <c r="V88" i="23"/>
  <c r="W88" i="23" s="1"/>
  <c r="V390" i="23"/>
  <c r="W390" i="23" s="1"/>
  <c r="V306" i="23"/>
  <c r="W306" i="23" s="1"/>
  <c r="V302" i="23"/>
  <c r="W302" i="23" s="1"/>
  <c r="V254" i="23"/>
  <c r="W254" i="23" s="1"/>
  <c r="V226" i="23"/>
  <c r="W226" i="23" s="1"/>
  <c r="V220" i="23"/>
  <c r="W220" i="23" s="1"/>
  <c r="V196" i="23"/>
  <c r="W196" i="23" s="1"/>
  <c r="V294" i="23"/>
  <c r="W294" i="23" s="1"/>
  <c r="V264" i="23"/>
  <c r="W264" i="23" s="1"/>
  <c r="V551" i="23"/>
  <c r="W551" i="23" s="1"/>
  <c r="V571" i="23"/>
  <c r="W571" i="23" s="1"/>
  <c r="V85" i="23"/>
  <c r="W85" i="23" s="1"/>
  <c r="V93" i="23"/>
  <c r="W93" i="23" s="1"/>
  <c r="V97" i="23"/>
  <c r="W97" i="23" s="1"/>
  <c r="V105" i="23"/>
  <c r="W105" i="23" s="1"/>
  <c r="V113" i="23"/>
  <c r="W113" i="23" s="1"/>
  <c r="V123" i="23"/>
  <c r="W123" i="23" s="1"/>
  <c r="V131" i="23"/>
  <c r="W131" i="23" s="1"/>
  <c r="V139" i="23"/>
  <c r="W139" i="23" s="1"/>
  <c r="V147" i="23"/>
  <c r="W147" i="23" s="1"/>
  <c r="V157" i="23"/>
  <c r="W157" i="23" s="1"/>
  <c r="V165" i="23"/>
  <c r="W165" i="23" s="1"/>
  <c r="V173" i="23"/>
  <c r="W173" i="23" s="1"/>
  <c r="V181" i="23"/>
  <c r="W181" i="23" s="1"/>
  <c r="V195" i="23"/>
  <c r="W195" i="23" s="1"/>
  <c r="V203" i="23"/>
  <c r="W203" i="23" s="1"/>
  <c r="V215" i="23"/>
  <c r="W215" i="23" s="1"/>
  <c r="V225" i="23"/>
  <c r="W225" i="23" s="1"/>
  <c r="V233" i="23"/>
  <c r="W233" i="23" s="1"/>
  <c r="V241" i="23"/>
  <c r="W241" i="23" s="1"/>
  <c r="V249" i="23"/>
  <c r="W249" i="23" s="1"/>
  <c r="V259" i="23"/>
  <c r="W259" i="23" s="1"/>
  <c r="V283" i="23"/>
  <c r="W283" i="23" s="1"/>
  <c r="V287" i="23"/>
  <c r="W287" i="23" s="1"/>
  <c r="V297" i="23"/>
  <c r="W297" i="23" s="1"/>
  <c r="V301" i="23"/>
  <c r="W301" i="23" s="1"/>
  <c r="V305" i="23"/>
  <c r="W305" i="23" s="1"/>
  <c r="V309" i="23"/>
  <c r="W309" i="23" s="1"/>
  <c r="V313" i="23"/>
  <c r="W313" i="23" s="1"/>
  <c r="V317" i="23"/>
  <c r="W317" i="23" s="1"/>
  <c r="V321" i="23"/>
  <c r="W321" i="23" s="1"/>
  <c r="V325" i="23"/>
  <c r="W325" i="23" s="1"/>
  <c r="V310" i="23"/>
  <c r="W310" i="23" s="1"/>
  <c r="V378" i="23"/>
  <c r="W378" i="23" s="1"/>
  <c r="V335" i="23"/>
  <c r="W335" i="23" s="1"/>
  <c r="V343" i="23"/>
  <c r="W343" i="23" s="1"/>
  <c r="V403" i="23"/>
  <c r="W403" i="23" s="1"/>
  <c r="V427" i="23"/>
  <c r="W427" i="23" s="1"/>
  <c r="V491" i="23"/>
  <c r="W491" i="23" s="1"/>
  <c r="V547" i="23"/>
  <c r="W547" i="23" s="1"/>
  <c r="V356" i="23"/>
  <c r="W356" i="23" s="1"/>
  <c r="V348" i="23"/>
  <c r="W348" i="23" s="1"/>
  <c r="V415" i="23"/>
  <c r="W415" i="23" s="1"/>
  <c r="V14" i="23"/>
  <c r="W14" i="23" s="1"/>
  <c r="V242" i="23"/>
  <c r="W242" i="23" s="1"/>
  <c r="V216" i="23"/>
  <c r="W216" i="23" s="1"/>
  <c r="V192" i="23"/>
  <c r="W192" i="23" s="1"/>
  <c r="V565" i="23"/>
  <c r="W565" i="23" s="1"/>
  <c r="V557" i="23"/>
  <c r="W557" i="23" s="1"/>
  <c r="V549" i="23"/>
  <c r="W549" i="23" s="1"/>
  <c r="V541" i="23"/>
  <c r="W541" i="23" s="1"/>
  <c r="V523" i="23"/>
  <c r="W523" i="23" s="1"/>
  <c r="V511" i="23"/>
  <c r="W511" i="23" s="1"/>
  <c r="V497" i="23"/>
  <c r="W497" i="23" s="1"/>
  <c r="V489" i="23"/>
  <c r="W489" i="23" s="1"/>
  <c r="V469" i="23"/>
  <c r="W469" i="23" s="1"/>
  <c r="V463" i="23"/>
  <c r="W463" i="23" s="1"/>
  <c r="V455" i="23"/>
  <c r="W455" i="23" s="1"/>
  <c r="V439" i="23"/>
  <c r="W439" i="23" s="1"/>
  <c r="V421" i="23"/>
  <c r="W421" i="23" s="1"/>
  <c r="V417" i="23"/>
  <c r="W417" i="23" s="1"/>
  <c r="V413" i="23"/>
  <c r="W413" i="23" s="1"/>
  <c r="V405" i="23"/>
  <c r="W405" i="23" s="1"/>
  <c r="V401" i="23"/>
  <c r="W401" i="23" s="1"/>
  <c r="V391" i="23"/>
  <c r="W391" i="23" s="1"/>
  <c r="V387" i="23"/>
  <c r="W387" i="23" s="1"/>
  <c r="V383" i="23"/>
  <c r="W383" i="23" s="1"/>
  <c r="V379" i="23"/>
  <c r="W379" i="23" s="1"/>
  <c r="V375" i="23"/>
  <c r="W375" i="23" s="1"/>
  <c r="V367" i="23"/>
  <c r="W367" i="23" s="1"/>
  <c r="V361" i="23"/>
  <c r="W361" i="23" s="1"/>
  <c r="V357" i="23"/>
  <c r="W357" i="23" s="1"/>
  <c r="V353" i="23"/>
  <c r="W353" i="23" s="1"/>
  <c r="V349" i="23"/>
  <c r="W349" i="23" s="1"/>
  <c r="V345" i="23"/>
  <c r="W345" i="23" s="1"/>
  <c r="V341" i="23"/>
  <c r="W341" i="23" s="1"/>
  <c r="V412" i="23"/>
  <c r="W412" i="23" s="1"/>
  <c r="V400" i="23"/>
  <c r="W400" i="23" s="1"/>
  <c r="V374" i="23"/>
  <c r="W374" i="23" s="1"/>
  <c r="V370" i="23"/>
  <c r="W370" i="23" s="1"/>
  <c r="V360" i="23"/>
  <c r="W360" i="23" s="1"/>
  <c r="V344" i="23"/>
  <c r="W344" i="23" s="1"/>
  <c r="V332" i="23"/>
  <c r="W332" i="23" s="1"/>
  <c r="V322" i="23"/>
  <c r="W322" i="23" s="1"/>
  <c r="V288" i="23"/>
  <c r="W288" i="23" s="1"/>
  <c r="V280" i="23"/>
  <c r="W280" i="23" s="1"/>
  <c r="V260" i="23"/>
  <c r="W260" i="23" s="1"/>
  <c r="V250" i="23"/>
  <c r="W250" i="23" s="1"/>
  <c r="V234" i="23"/>
  <c r="W234" i="23" s="1"/>
  <c r="V570" i="23"/>
  <c r="W570" i="23" s="1"/>
  <c r="V566" i="23"/>
  <c r="W566" i="23" s="1"/>
  <c r="V388" i="23"/>
  <c r="W388" i="23" s="1"/>
  <c r="V304" i="23"/>
  <c r="W304" i="23" s="1"/>
  <c r="V248" i="23"/>
  <c r="W248" i="23" s="1"/>
  <c r="V218" i="23"/>
  <c r="W218" i="23" s="1"/>
  <c r="V198" i="23"/>
  <c r="W198" i="23" s="1"/>
  <c r="V164" i="23"/>
  <c r="W164" i="23" s="1"/>
  <c r="V351" i="23"/>
  <c r="W351" i="23" s="1"/>
  <c r="V407" i="23"/>
  <c r="W407" i="23" s="1"/>
  <c r="V558" i="23"/>
  <c r="W558" i="23" s="1"/>
  <c r="V384" i="23"/>
  <c r="W384" i="23" s="1"/>
  <c r="V286" i="23"/>
  <c r="W286" i="23" s="1"/>
  <c r="V244" i="23"/>
  <c r="W244" i="23" s="1"/>
  <c r="V438" i="23"/>
  <c r="W438" i="23" s="1"/>
  <c r="V194" i="23"/>
  <c r="W194" i="23" s="1"/>
  <c r="V449" i="23"/>
  <c r="W449" i="23" s="1"/>
  <c r="V487" i="23"/>
  <c r="W487" i="23" s="1"/>
  <c r="V539" i="23"/>
  <c r="W539" i="23" s="1"/>
  <c r="V252" i="23"/>
  <c r="W252" i="23" s="1"/>
  <c r="V224" i="23"/>
  <c r="W224" i="23" s="1"/>
  <c r="V522" i="23"/>
  <c r="W522" i="23" s="1"/>
  <c r="V465" i="23"/>
  <c r="W465" i="23" s="1"/>
  <c r="V471" i="23"/>
  <c r="W471" i="23" s="1"/>
  <c r="V372" i="23"/>
  <c r="W372" i="23" s="1"/>
  <c r="V316" i="23"/>
  <c r="W316" i="23" s="1"/>
  <c r="V548" i="23"/>
  <c r="W548" i="23" s="1"/>
  <c r="V496" i="23"/>
  <c r="W496" i="23" s="1"/>
  <c r="V206" i="23"/>
  <c r="W206" i="23" s="1"/>
  <c r="V184" i="23"/>
  <c r="W184" i="23" s="1"/>
  <c r="V445" i="23"/>
  <c r="W445" i="23" s="1"/>
  <c r="V380" i="23"/>
  <c r="W380" i="23" s="1"/>
  <c r="V266" i="23"/>
  <c r="W266" i="23" s="1"/>
  <c r="V355" i="23"/>
  <c r="W355" i="23" s="1"/>
  <c r="V441" i="23"/>
  <c r="W441" i="23" s="1"/>
  <c r="V94" i="23"/>
  <c r="W94" i="23" s="1"/>
  <c r="V486" i="23"/>
  <c r="W486" i="23" s="1"/>
  <c r="V482" i="23"/>
  <c r="W482" i="23" s="1"/>
  <c r="V478" i="23"/>
  <c r="W478" i="23" s="1"/>
  <c r="V474" i="23"/>
  <c r="W474" i="23" s="1"/>
  <c r="V460" i="23"/>
  <c r="W460" i="23" s="1"/>
  <c r="V456" i="23"/>
  <c r="W456" i="23" s="1"/>
  <c r="V448" i="23"/>
  <c r="W448" i="23" s="1"/>
  <c r="V444" i="23"/>
  <c r="W444" i="23" s="1"/>
  <c r="V440" i="23"/>
  <c r="W440" i="23" s="1"/>
  <c r="V436" i="23"/>
  <c r="W436" i="23" s="1"/>
  <c r="V300" i="23"/>
  <c r="W300" i="23" s="1"/>
  <c r="V210" i="23"/>
  <c r="W210" i="23" s="1"/>
  <c r="V202" i="23"/>
  <c r="W202" i="23" s="1"/>
  <c r="V525" i="23"/>
  <c r="W525" i="23" s="1"/>
  <c r="V29" i="23"/>
  <c r="W29" i="23" s="1"/>
  <c r="V342" i="23"/>
  <c r="W342" i="23" s="1"/>
  <c r="V312" i="23"/>
  <c r="W312" i="23" s="1"/>
  <c r="V274" i="23"/>
  <c r="W274" i="23" s="1"/>
  <c r="V559" i="23"/>
  <c r="W559" i="23" s="1"/>
  <c r="V505" i="23"/>
  <c r="W505" i="23" s="1"/>
  <c r="V23" i="23"/>
  <c r="W23" i="23" s="1"/>
  <c r="V358" i="23"/>
  <c r="W358" i="23" s="1"/>
  <c r="V278" i="23"/>
  <c r="W278" i="23" s="1"/>
  <c r="V567" i="23"/>
  <c r="W567" i="23" s="1"/>
  <c r="V475" i="23"/>
  <c r="W475" i="23" s="1"/>
  <c r="V446" i="23"/>
  <c r="W446" i="23" s="1"/>
  <c r="V338" i="23"/>
  <c r="W338" i="23" s="1"/>
  <c r="V389" i="23"/>
  <c r="W389" i="23" s="1"/>
  <c r="V419" i="23"/>
  <c r="W419" i="23" s="1"/>
  <c r="V568" i="23"/>
  <c r="W568" i="23" s="1"/>
  <c r="V552" i="23"/>
  <c r="W552" i="23" s="1"/>
  <c r="V534" i="23"/>
  <c r="W534" i="23" s="1"/>
  <c r="V334" i="23"/>
  <c r="W334" i="23" s="1"/>
  <c r="V347" i="23"/>
  <c r="W347" i="23" s="1"/>
  <c r="V411" i="23"/>
  <c r="W411" i="23" s="1"/>
  <c r="V461" i="23"/>
  <c r="W461" i="23" s="1"/>
  <c r="V495" i="23"/>
  <c r="W495" i="23" s="1"/>
  <c r="V543" i="23"/>
  <c r="W543" i="23" s="1"/>
  <c r="V38" i="23"/>
  <c r="W38" i="23" s="1"/>
  <c r="V330" i="23"/>
  <c r="W330" i="23" s="1"/>
  <c r="V168" i="23"/>
  <c r="W168" i="23" s="1"/>
  <c r="V339" i="23"/>
  <c r="W339" i="23" s="1"/>
  <c r="V499" i="23"/>
  <c r="W499" i="23" s="1"/>
  <c r="V214" i="23"/>
  <c r="W214" i="23" s="1"/>
  <c r="V320" i="23"/>
  <c r="W320" i="23" s="1"/>
  <c r="V240" i="23"/>
  <c r="W240" i="23" s="1"/>
  <c r="V236" i="23"/>
  <c r="W236" i="23" s="1"/>
  <c r="V228" i="23"/>
  <c r="W228" i="23" s="1"/>
  <c r="V180" i="23"/>
  <c r="W180" i="23" s="1"/>
  <c r="V176" i="23"/>
  <c r="W176" i="23" s="1"/>
  <c r="V331" i="23"/>
  <c r="W331" i="23" s="1"/>
  <c r="V457" i="23"/>
  <c r="W457" i="23" s="1"/>
  <c r="V324" i="23"/>
  <c r="W324" i="23" s="1"/>
  <c r="V256" i="23"/>
  <c r="W256" i="23" s="1"/>
  <c r="V385" i="23"/>
  <c r="W385" i="23" s="1"/>
  <c r="V424" i="23"/>
  <c r="W424" i="23" s="1"/>
  <c r="V420" i="23"/>
  <c r="W420" i="23" s="1"/>
  <c r="V404" i="23"/>
  <c r="W404" i="23" s="1"/>
  <c r="V182" i="23"/>
  <c r="W182" i="23" s="1"/>
  <c r="V166" i="23"/>
  <c r="W166" i="23" s="1"/>
  <c r="V144" i="23"/>
  <c r="W144" i="23" s="1"/>
  <c r="V114" i="23"/>
  <c r="W114" i="23" s="1"/>
  <c r="V550" i="23"/>
  <c r="W550" i="23" s="1"/>
  <c r="V532" i="23"/>
  <c r="W532" i="23" s="1"/>
  <c r="V520" i="23"/>
  <c r="W520" i="23" s="1"/>
  <c r="V410" i="23"/>
  <c r="W410" i="23" s="1"/>
  <c r="V290" i="23"/>
  <c r="W290" i="23" s="1"/>
  <c r="V376" i="23"/>
  <c r="W376" i="23" s="1"/>
  <c r="V31" i="23"/>
  <c r="W31" i="23" s="1"/>
  <c r="V314" i="23"/>
  <c r="W314" i="23" s="1"/>
  <c r="V346" i="23"/>
  <c r="W346" i="23" s="1"/>
  <c r="V453" i="23"/>
  <c r="W453" i="23" s="1"/>
  <c r="V262" i="23"/>
  <c r="W262" i="23" s="1"/>
  <c r="V381" i="23"/>
  <c r="W381" i="23" s="1"/>
  <c r="V437" i="23"/>
  <c r="W437" i="23" s="1"/>
  <c r="V318" i="23"/>
  <c r="W318" i="23" s="1"/>
  <c r="V232" i="23"/>
  <c r="W232" i="23" s="1"/>
  <c r="V540" i="23"/>
  <c r="W540" i="23" s="1"/>
  <c r="V450" i="23"/>
  <c r="W450" i="23" s="1"/>
  <c r="V480" i="23"/>
  <c r="W480" i="23" s="1"/>
  <c r="V492" i="23"/>
  <c r="W492" i="23" s="1"/>
  <c r="V544" i="23"/>
  <c r="W544" i="23" s="1"/>
  <c r="V174" i="23"/>
  <c r="W174" i="23" s="1"/>
  <c r="V106" i="23"/>
  <c r="W106" i="23" s="1"/>
  <c r="V178" i="23"/>
  <c r="W178" i="23" s="1"/>
  <c r="V170" i="23"/>
  <c r="W170" i="23" s="1"/>
  <c r="V148" i="23"/>
  <c r="W148" i="23" s="1"/>
  <c r="V140" i="23"/>
  <c r="W140" i="23" s="1"/>
  <c r="V120" i="23"/>
  <c r="W120" i="23" s="1"/>
  <c r="V110" i="23"/>
  <c r="W110" i="23" s="1"/>
  <c r="V98" i="23"/>
  <c r="W98" i="23" s="1"/>
  <c r="V562" i="23"/>
  <c r="W562" i="23" s="1"/>
  <c r="V546" i="23"/>
  <c r="W546" i="23" s="1"/>
  <c r="V536" i="23"/>
  <c r="W536" i="23" s="1"/>
  <c r="V504" i="23"/>
  <c r="W504" i="23" s="1"/>
  <c r="V414" i="23"/>
  <c r="W414" i="23" s="1"/>
  <c r="V402" i="23"/>
  <c r="W402" i="23" s="1"/>
  <c r="V392" i="23"/>
  <c r="W392" i="23" s="1"/>
  <c r="V190" i="23"/>
  <c r="W190" i="23" s="1"/>
  <c r="V354" i="23"/>
  <c r="W354" i="23" s="1"/>
  <c r="V172" i="23"/>
  <c r="W172" i="23" s="1"/>
  <c r="V510" i="23"/>
  <c r="W510" i="23" s="1"/>
  <c r="V462" i="23"/>
  <c r="W462" i="23" s="1"/>
  <c r="V336" i="23"/>
  <c r="W336" i="23" s="1"/>
  <c r="V340" i="23"/>
  <c r="W340" i="23" s="1"/>
  <c r="V429" i="23"/>
  <c r="W429" i="23" s="1"/>
  <c r="V451" i="23"/>
  <c r="W451" i="23" s="1"/>
  <c r="V493" i="23"/>
  <c r="W493" i="23" s="1"/>
  <c r="V507" i="23"/>
  <c r="W507" i="23" s="1"/>
  <c r="V86" i="23"/>
  <c r="W86" i="23" s="1"/>
  <c r="V90" i="23"/>
  <c r="W90" i="23" s="1"/>
  <c r="V208" i="23"/>
  <c r="W208" i="23" s="1"/>
  <c r="V564" i="23"/>
  <c r="W564" i="23" s="1"/>
  <c r="V95" i="23"/>
  <c r="W95" i="23" s="1"/>
  <c r="V99" i="23"/>
  <c r="W99" i="23" s="1"/>
  <c r="V477" i="23"/>
  <c r="W477" i="23" s="1"/>
  <c r="V519" i="23"/>
  <c r="W519" i="23" s="1"/>
  <c r="V531" i="23"/>
  <c r="W531" i="23" s="1"/>
  <c r="V553" i="23"/>
  <c r="W553" i="23" s="1"/>
  <c r="V247" i="23"/>
  <c r="W247" i="23" s="1"/>
  <c r="V289" i="23"/>
  <c r="W289" i="23" s="1"/>
  <c r="V333" i="23"/>
  <c r="W333" i="23" s="1"/>
  <c r="V371" i="23"/>
  <c r="W371" i="23" s="1"/>
  <c r="V107" i="23"/>
  <c r="W107" i="23" s="1"/>
  <c r="V213" i="23"/>
  <c r="W213" i="23" s="1"/>
  <c r="V221" i="23"/>
  <c r="W221" i="23" s="1"/>
  <c r="V311" i="23"/>
  <c r="W311" i="23" s="1"/>
  <c r="V329" i="23"/>
  <c r="W329" i="23" s="1"/>
  <c r="V395" i="23"/>
  <c r="W395" i="23" s="1"/>
  <c r="M573" i="23"/>
  <c r="B63" i="2"/>
  <c r="B62" i="2"/>
  <c r="D97" i="2"/>
  <c r="AE73" i="23"/>
  <c r="AC73" i="23"/>
  <c r="AG73" i="23" s="1"/>
  <c r="AH73" i="23" s="1"/>
  <c r="C104" i="2"/>
  <c r="AE52" i="23"/>
  <c r="AC52" i="23"/>
  <c r="AG52" i="23" s="1"/>
  <c r="AH52" i="23" s="1"/>
  <c r="AE54" i="23"/>
  <c r="AC54" i="23"/>
  <c r="AG54" i="23" s="1"/>
  <c r="AH54" i="23" s="1"/>
  <c r="AE67" i="23"/>
  <c r="AC67" i="23"/>
  <c r="AG67" i="23" s="1"/>
  <c r="AH67" i="23" s="1"/>
  <c r="AE76" i="23"/>
  <c r="AC76" i="23"/>
  <c r="AG76" i="23" s="1"/>
  <c r="AH76" i="23" s="1"/>
  <c r="AE64" i="23"/>
  <c r="AC64" i="23"/>
  <c r="AG64" i="23" s="1"/>
  <c r="AH64" i="23" s="1"/>
  <c r="AE77" i="23"/>
  <c r="AC77" i="23"/>
  <c r="AG77" i="23" s="1"/>
  <c r="AH77" i="23" s="1"/>
  <c r="AE74" i="23"/>
  <c r="AC74" i="23"/>
  <c r="AG74" i="23" s="1"/>
  <c r="AH74" i="23" s="1"/>
  <c r="AF51" i="23"/>
  <c r="AD51" i="23"/>
  <c r="AF59" i="23"/>
  <c r="AD59" i="23"/>
  <c r="AF55" i="23"/>
  <c r="AD55" i="23"/>
  <c r="AF58" i="23"/>
  <c r="AD58" i="23"/>
  <c r="AF57" i="23"/>
  <c r="AD57" i="23"/>
  <c r="AF53" i="23"/>
  <c r="AD53" i="23"/>
  <c r="AF70" i="23"/>
  <c r="AD70" i="23"/>
  <c r="AF60" i="23"/>
  <c r="AD60" i="23"/>
  <c r="AF63" i="23"/>
  <c r="AD63" i="23"/>
  <c r="AF68" i="23"/>
  <c r="AD68" i="23"/>
  <c r="AF66" i="23"/>
  <c r="AD66" i="23"/>
  <c r="AF49" i="23"/>
  <c r="AD49" i="23"/>
  <c r="AF80" i="23"/>
  <c r="AD80" i="23"/>
  <c r="AE62" i="23" l="1"/>
  <c r="AC62" i="23"/>
  <c r="AG62" i="23" s="1"/>
  <c r="AH62" i="23" s="1"/>
  <c r="AE75" i="23"/>
  <c r="AC75" i="23"/>
  <c r="AG75" i="23" s="1"/>
  <c r="AH75" i="23" s="1"/>
  <c r="AF56" i="23"/>
  <c r="AD56" i="23"/>
  <c r="AF78" i="23"/>
  <c r="AD78" i="23"/>
  <c r="AF79" i="23"/>
  <c r="AD79" i="23"/>
  <c r="AF61" i="23"/>
  <c r="AD61" i="23"/>
  <c r="AF72" i="23"/>
  <c r="AD72" i="23"/>
  <c r="AF69" i="23"/>
  <c r="AD69" i="23"/>
  <c r="AC65" i="23"/>
  <c r="AG65" i="23" s="1"/>
  <c r="AH65" i="23" s="1"/>
  <c r="AE65" i="23"/>
  <c r="AC71" i="23"/>
  <c r="AG71" i="23" s="1"/>
  <c r="AH71" i="23" s="1"/>
  <c r="AE71" i="23"/>
  <c r="H23" i="1"/>
  <c r="X162" i="23"/>
  <c r="X498" i="23"/>
  <c r="X508" i="23"/>
  <c r="AA554" i="23"/>
  <c r="AA498" i="23"/>
  <c r="AA426" i="23"/>
  <c r="AA508" i="23"/>
  <c r="AB508" i="23"/>
  <c r="X554" i="23"/>
  <c r="X512" i="23"/>
  <c r="X396" i="23"/>
  <c r="X516" i="23"/>
  <c r="X418" i="23"/>
  <c r="AA430" i="23"/>
  <c r="AA516" i="23"/>
  <c r="AA464" i="23"/>
  <c r="AA494" i="23"/>
  <c r="AA422" i="23"/>
  <c r="AA102" i="23"/>
  <c r="X406" i="23"/>
  <c r="X528" i="23"/>
  <c r="X470" i="23"/>
  <c r="X524" i="23"/>
  <c r="AA396" i="23"/>
  <c r="AA406" i="23"/>
  <c r="X464" i="23"/>
  <c r="X430" i="23"/>
  <c r="X426" i="23"/>
  <c r="X494" i="23"/>
  <c r="X422" i="23"/>
  <c r="AA418" i="23"/>
  <c r="AA512" i="23"/>
  <c r="AA528" i="23"/>
  <c r="AA470" i="23"/>
  <c r="X124" i="23"/>
  <c r="AA132" i="23"/>
  <c r="AA408" i="23"/>
  <c r="AA524" i="23"/>
  <c r="AA124" i="23"/>
  <c r="AA416" i="23"/>
  <c r="X416" i="23"/>
  <c r="X132" i="23"/>
  <c r="X408" i="23"/>
  <c r="X102" i="23"/>
  <c r="AA154" i="23"/>
  <c r="AA382" i="23"/>
  <c r="AA386" i="23"/>
  <c r="AA128" i="23"/>
  <c r="AA490" i="23"/>
  <c r="AA542" i="23"/>
  <c r="AB542" i="23"/>
  <c r="AA162" i="23"/>
  <c r="AA394" i="23"/>
  <c r="AA136" i="23"/>
  <c r="AA158" i="23"/>
  <c r="AB162" i="23"/>
  <c r="AB154" i="23"/>
  <c r="AE154" i="23" s="1"/>
  <c r="AB382" i="23"/>
  <c r="X128" i="23"/>
  <c r="AA91" i="23"/>
  <c r="X485" i="23"/>
  <c r="X91" i="23"/>
  <c r="AA485" i="23"/>
  <c r="AA17" i="23"/>
  <c r="X17" i="23"/>
  <c r="AA15" i="23"/>
  <c r="X15" i="23"/>
  <c r="X452" i="23"/>
  <c r="AA452" i="23"/>
  <c r="AA409" i="23"/>
  <c r="X409" i="23"/>
  <c r="AA435" i="23"/>
  <c r="X435" i="23"/>
  <c r="AA447" i="23"/>
  <c r="X447" i="23"/>
  <c r="AF50" i="23"/>
  <c r="AD50" i="23"/>
  <c r="X27" i="23"/>
  <c r="AA27" i="23"/>
  <c r="AA45" i="23"/>
  <c r="X45" i="23"/>
  <c r="X37" i="23"/>
  <c r="AA37" i="23"/>
  <c r="X20" i="23"/>
  <c r="AA20" i="23"/>
  <c r="B27" i="36" a="1"/>
  <c r="B27" i="36" s="1"/>
  <c r="B28" i="36" a="1"/>
  <c r="B28" i="36" s="1"/>
  <c r="F20" i="36"/>
  <c r="B30" i="36" a="1"/>
  <c r="B30" i="36" s="1"/>
  <c r="B29" i="36" a="1"/>
  <c r="B29" i="36" s="1"/>
  <c r="K10" i="36"/>
  <c r="K7" i="36"/>
  <c r="K9" i="36"/>
  <c r="K12" i="36"/>
  <c r="K6" i="36"/>
  <c r="K15" i="36"/>
  <c r="K13" i="36"/>
  <c r="K11" i="36"/>
  <c r="K8" i="36"/>
  <c r="K14" i="36"/>
  <c r="K16" i="36"/>
  <c r="K18" i="36"/>
  <c r="K17" i="36"/>
  <c r="AA21" i="23"/>
  <c r="X21" i="23"/>
  <c r="AA30" i="23"/>
  <c r="X30" i="23"/>
  <c r="AA41" i="23"/>
  <c r="X41" i="23"/>
  <c r="X18" i="23"/>
  <c r="AA18" i="23"/>
  <c r="X34" i="23"/>
  <c r="AA34" i="23"/>
  <c r="AA42" i="23"/>
  <c r="X42" i="23"/>
  <c r="AA46" i="23"/>
  <c r="X46" i="23"/>
  <c r="AA19" i="23"/>
  <c r="X19" i="23"/>
  <c r="AA26" i="23"/>
  <c r="X26" i="23"/>
  <c r="AA28" i="23"/>
  <c r="X28" i="23"/>
  <c r="AA32" i="23"/>
  <c r="X32" i="23"/>
  <c r="AA39" i="23"/>
  <c r="X39" i="23"/>
  <c r="X35" i="23"/>
  <c r="AA35" i="23"/>
  <c r="AA36" i="23"/>
  <c r="X36" i="23"/>
  <c r="X33" i="23"/>
  <c r="AA33" i="23"/>
  <c r="AA40" i="23"/>
  <c r="X40" i="23"/>
  <c r="AA43" i="23"/>
  <c r="X43" i="23"/>
  <c r="X44" i="23"/>
  <c r="AA44" i="23"/>
  <c r="X22" i="23"/>
  <c r="AA22" i="23"/>
  <c r="AA25" i="23"/>
  <c r="X25" i="23"/>
  <c r="AB25" i="23"/>
  <c r="X24" i="23"/>
  <c r="AA24" i="23"/>
  <c r="AB24" i="23" s="1"/>
  <c r="AA533" i="23"/>
  <c r="X533" i="23"/>
  <c r="AA529" i="23"/>
  <c r="X529" i="23"/>
  <c r="X521" i="23"/>
  <c r="AA521" i="23"/>
  <c r="AA517" i="23"/>
  <c r="X517" i="23"/>
  <c r="AA513" i="23"/>
  <c r="X513" i="23"/>
  <c r="X509" i="23"/>
  <c r="AA509" i="23"/>
  <c r="AA483" i="23"/>
  <c r="X483" i="23"/>
  <c r="X479" i="23"/>
  <c r="AA479" i="23"/>
  <c r="AA423" i="23"/>
  <c r="X423" i="23"/>
  <c r="AA399" i="23"/>
  <c r="X399" i="23"/>
  <c r="AA393" i="23"/>
  <c r="X393" i="23"/>
  <c r="AA373" i="23"/>
  <c r="X373" i="23"/>
  <c r="AA369" i="23"/>
  <c r="X369" i="23"/>
  <c r="AB369" i="23"/>
  <c r="X365" i="23"/>
  <c r="AA365" i="23"/>
  <c r="AA359" i="23"/>
  <c r="X359" i="23"/>
  <c r="AA270" i="23"/>
  <c r="AB270" i="23"/>
  <c r="X270" i="23"/>
  <c r="X282" i="23"/>
  <c r="AA282" i="23"/>
  <c r="AA296" i="23"/>
  <c r="X296" i="23"/>
  <c r="AA308" i="23"/>
  <c r="X308" i="23"/>
  <c r="AA350" i="23"/>
  <c r="X350" i="23"/>
  <c r="AA364" i="23"/>
  <c r="AB364" i="23"/>
  <c r="X364" i="23"/>
  <c r="AA368" i="23"/>
  <c r="X368" i="23"/>
  <c r="AB368" i="23"/>
  <c r="AA352" i="23"/>
  <c r="X352" i="23"/>
  <c r="AA366" i="23"/>
  <c r="X366" i="23"/>
  <c r="AA434" i="23"/>
  <c r="X434" i="23"/>
  <c r="AA454" i="23"/>
  <c r="X454" i="23"/>
  <c r="X476" i="23"/>
  <c r="AA476" i="23"/>
  <c r="X484" i="23"/>
  <c r="AA484" i="23"/>
  <c r="AA500" i="23"/>
  <c r="X500" i="23"/>
  <c r="X518" i="23"/>
  <c r="AA518" i="23"/>
  <c r="AA526" i="23"/>
  <c r="X526" i="23"/>
  <c r="AA530" i="23"/>
  <c r="X530" i="23"/>
  <c r="X556" i="23"/>
  <c r="AA556" i="23"/>
  <c r="X560" i="23"/>
  <c r="AA560" i="23"/>
  <c r="X16" i="23"/>
  <c r="AA16" i="23"/>
  <c r="X506" i="23"/>
  <c r="AA506" i="23"/>
  <c r="X272" i="23"/>
  <c r="AA272" i="23"/>
  <c r="X205" i="23"/>
  <c r="AA205" i="23"/>
  <c r="X197" i="23"/>
  <c r="AA197" i="23"/>
  <c r="X160" i="23"/>
  <c r="AA160" i="23"/>
  <c r="X146" i="23"/>
  <c r="AA146" i="23"/>
  <c r="X138" i="23"/>
  <c r="AA138" i="23"/>
  <c r="X130" i="23"/>
  <c r="AA130" i="23"/>
  <c r="X122" i="23"/>
  <c r="AA122" i="23"/>
  <c r="X112" i="23"/>
  <c r="AA112" i="23"/>
  <c r="X100" i="23"/>
  <c r="AA100" i="23"/>
  <c r="X92" i="23"/>
  <c r="AA92" i="23"/>
  <c r="X84" i="23"/>
  <c r="AA84" i="23"/>
  <c r="X326" i="23"/>
  <c r="AA326" i="23"/>
  <c r="X284" i="23"/>
  <c r="AA284" i="23"/>
  <c r="X238" i="23"/>
  <c r="AA238" i="23"/>
  <c r="X555" i="23"/>
  <c r="AA555" i="23"/>
  <c r="X276" i="23"/>
  <c r="AA276" i="23"/>
  <c r="X246" i="23"/>
  <c r="AA246" i="23"/>
  <c r="X204" i="23"/>
  <c r="AA204" i="23"/>
  <c r="X563" i="23"/>
  <c r="AA563" i="23"/>
  <c r="X89" i="23"/>
  <c r="AA89" i="23"/>
  <c r="X101" i="23"/>
  <c r="AA101" i="23"/>
  <c r="X109" i="23"/>
  <c r="AA109" i="23"/>
  <c r="AA119" i="23"/>
  <c r="X119" i="23"/>
  <c r="X127" i="23"/>
  <c r="AA127" i="23"/>
  <c r="X135" i="23"/>
  <c r="AA135" i="23"/>
  <c r="X143" i="23"/>
  <c r="AA143" i="23"/>
  <c r="X151" i="23"/>
  <c r="AA151" i="23"/>
  <c r="X161" i="23"/>
  <c r="AA161" i="23"/>
  <c r="X169" i="23"/>
  <c r="AA169" i="23"/>
  <c r="X177" i="23"/>
  <c r="AA177" i="23"/>
  <c r="X185" i="23"/>
  <c r="AA185" i="23"/>
  <c r="X191" i="23"/>
  <c r="AA191" i="23"/>
  <c r="X199" i="23"/>
  <c r="AA199" i="23"/>
  <c r="X207" i="23"/>
  <c r="AA207" i="23"/>
  <c r="X211" i="23"/>
  <c r="AA211" i="23"/>
  <c r="X219" i="23"/>
  <c r="AA219" i="23"/>
  <c r="X229" i="23"/>
  <c r="AA229" i="23"/>
  <c r="X237" i="23"/>
  <c r="AA237" i="23"/>
  <c r="X245" i="23"/>
  <c r="AA245" i="23"/>
  <c r="X253" i="23"/>
  <c r="AA253" i="23"/>
  <c r="X263" i="23"/>
  <c r="AA263" i="23"/>
  <c r="X267" i="23"/>
  <c r="AA267" i="23"/>
  <c r="X271" i="23"/>
  <c r="AA271" i="23"/>
  <c r="X275" i="23"/>
  <c r="AA275" i="23"/>
  <c r="X279" i="23"/>
  <c r="AA279" i="23"/>
  <c r="X291" i="23"/>
  <c r="AA291" i="23"/>
  <c r="X377" i="23"/>
  <c r="AA377" i="23"/>
  <c r="X431" i="23"/>
  <c r="AA431" i="23"/>
  <c r="AA230" i="23"/>
  <c r="AB230" i="23" s="1"/>
  <c r="X230" i="23"/>
  <c r="AA212" i="23"/>
  <c r="X212" i="23"/>
  <c r="AA200" i="23"/>
  <c r="X200" i="23"/>
  <c r="AA186" i="23"/>
  <c r="X186" i="23"/>
  <c r="AA569" i="23"/>
  <c r="AB569" i="23" s="1"/>
  <c r="X569" i="23"/>
  <c r="AA561" i="23"/>
  <c r="X561" i="23"/>
  <c r="AA545" i="23"/>
  <c r="AB545" i="23" s="1"/>
  <c r="X545" i="23"/>
  <c r="AA535" i="23"/>
  <c r="X535" i="23"/>
  <c r="AA527" i="23"/>
  <c r="X527" i="23"/>
  <c r="AA515" i="23"/>
  <c r="X515" i="23"/>
  <c r="AA501" i="23"/>
  <c r="X501" i="23"/>
  <c r="AA481" i="23"/>
  <c r="X481" i="23"/>
  <c r="AA473" i="23"/>
  <c r="X473" i="23"/>
  <c r="X459" i="23"/>
  <c r="AA459" i="23"/>
  <c r="X443" i="23"/>
  <c r="AA443" i="23"/>
  <c r="AA425" i="23"/>
  <c r="AB425" i="23" s="1"/>
  <c r="X425" i="23"/>
  <c r="AA337" i="23"/>
  <c r="AB337" i="23" s="1"/>
  <c r="X337" i="23"/>
  <c r="X323" i="23"/>
  <c r="AA323" i="23"/>
  <c r="AB323" i="23" s="1"/>
  <c r="AA319" i="23"/>
  <c r="X319" i="23"/>
  <c r="AA315" i="23"/>
  <c r="X315" i="23"/>
  <c r="AA307" i="23"/>
  <c r="AB307" i="23" s="1"/>
  <c r="X307" i="23"/>
  <c r="AA303" i="23"/>
  <c r="AB303" i="23" s="1"/>
  <c r="X303" i="23"/>
  <c r="AA299" i="23"/>
  <c r="X299" i="23"/>
  <c r="AA295" i="23"/>
  <c r="AB295" i="23" s="1"/>
  <c r="X295" i="23"/>
  <c r="AA285" i="23"/>
  <c r="X285" i="23"/>
  <c r="AA281" i="23"/>
  <c r="X281" i="23"/>
  <c r="AA277" i="23"/>
  <c r="X277" i="23"/>
  <c r="AA273" i="23"/>
  <c r="X273" i="23"/>
  <c r="AA269" i="23"/>
  <c r="X269" i="23"/>
  <c r="AA265" i="23"/>
  <c r="X265" i="23"/>
  <c r="X261" i="23"/>
  <c r="AA261" i="23"/>
  <c r="X255" i="23"/>
  <c r="AA255" i="23"/>
  <c r="AB255" i="23" s="1"/>
  <c r="X251" i="23"/>
  <c r="AA251" i="23"/>
  <c r="AA243" i="23"/>
  <c r="X243" i="23"/>
  <c r="X239" i="23"/>
  <c r="AA239" i="23"/>
  <c r="X235" i="23"/>
  <c r="AA235" i="23"/>
  <c r="AB235" i="23" s="1"/>
  <c r="X231" i="23"/>
  <c r="AA231" i="23"/>
  <c r="AB231" i="23" s="1"/>
  <c r="AA227" i="23"/>
  <c r="X227" i="23"/>
  <c r="X217" i="23"/>
  <c r="AA217" i="23"/>
  <c r="AA209" i="23"/>
  <c r="AB209" i="23" s="1"/>
  <c r="X209" i="23"/>
  <c r="AA193" i="23"/>
  <c r="X193" i="23"/>
  <c r="AA189" i="23"/>
  <c r="AB189" i="23" s="1"/>
  <c r="X189" i="23"/>
  <c r="AA183" i="23"/>
  <c r="AB183" i="23" s="1"/>
  <c r="X183" i="23"/>
  <c r="AA179" i="23"/>
  <c r="X179" i="23"/>
  <c r="AA175" i="23"/>
  <c r="X175" i="23"/>
  <c r="AA171" i="23"/>
  <c r="X171" i="23"/>
  <c r="AA167" i="23"/>
  <c r="X167" i="23"/>
  <c r="AA163" i="23"/>
  <c r="X163" i="23"/>
  <c r="AA159" i="23"/>
  <c r="X159" i="23"/>
  <c r="AA155" i="23"/>
  <c r="X155" i="23"/>
  <c r="AA149" i="23"/>
  <c r="X149" i="23"/>
  <c r="AA145" i="23"/>
  <c r="X145" i="23"/>
  <c r="AA141" i="23"/>
  <c r="X141" i="23"/>
  <c r="AA137" i="23"/>
  <c r="X137" i="23"/>
  <c r="AA133" i="23"/>
  <c r="AB133" i="23" s="1"/>
  <c r="X133" i="23"/>
  <c r="AA129" i="23"/>
  <c r="X129" i="23"/>
  <c r="AA125" i="23"/>
  <c r="X125" i="23"/>
  <c r="AA121" i="23"/>
  <c r="X121" i="23"/>
  <c r="AA115" i="23"/>
  <c r="X115" i="23"/>
  <c r="AA111" i="23"/>
  <c r="X111" i="23"/>
  <c r="AA103" i="23"/>
  <c r="X103" i="23"/>
  <c r="AA87" i="23"/>
  <c r="AB87" i="23" s="1"/>
  <c r="X87" i="23"/>
  <c r="AA81" i="23"/>
  <c r="X81" i="23"/>
  <c r="X82" i="23" s="1" a="1"/>
  <c r="X82" i="23" s="1"/>
  <c r="AA514" i="23"/>
  <c r="X514" i="23"/>
  <c r="AA488" i="23"/>
  <c r="X488" i="23"/>
  <c r="AA472" i="23"/>
  <c r="AB472" i="23" s="1"/>
  <c r="X472" i="23"/>
  <c r="X466" i="23"/>
  <c r="AA466" i="23"/>
  <c r="AA458" i="23"/>
  <c r="X458" i="23"/>
  <c r="AA442" i="23"/>
  <c r="X442" i="23"/>
  <c r="AA428" i="23"/>
  <c r="X428" i="23"/>
  <c r="X298" i="23"/>
  <c r="AA298" i="23"/>
  <c r="X268" i="23"/>
  <c r="AA268" i="23"/>
  <c r="X201" i="23"/>
  <c r="AA201" i="23"/>
  <c r="X156" i="23"/>
  <c r="AA156" i="23"/>
  <c r="X150" i="23"/>
  <c r="AA150" i="23"/>
  <c r="X142" i="23"/>
  <c r="AA142" i="23"/>
  <c r="X134" i="23"/>
  <c r="AA134" i="23"/>
  <c r="AA126" i="23"/>
  <c r="X126" i="23"/>
  <c r="X116" i="23"/>
  <c r="AA116" i="23"/>
  <c r="X108" i="23"/>
  <c r="AA108" i="23"/>
  <c r="X104" i="23"/>
  <c r="AA104" i="23"/>
  <c r="X96" i="23"/>
  <c r="AA96" i="23"/>
  <c r="X88" i="23"/>
  <c r="AA88" i="23"/>
  <c r="X390" i="23"/>
  <c r="AA390" i="23"/>
  <c r="X306" i="23"/>
  <c r="AA306" i="23"/>
  <c r="X302" i="23"/>
  <c r="AA302" i="23"/>
  <c r="X254" i="23"/>
  <c r="AA254" i="23"/>
  <c r="X226" i="23"/>
  <c r="AA226" i="23"/>
  <c r="X220" i="23"/>
  <c r="AA220" i="23"/>
  <c r="X196" i="23"/>
  <c r="AA196" i="23"/>
  <c r="X294" i="23"/>
  <c r="AA294" i="23"/>
  <c r="X264" i="23"/>
  <c r="AA264" i="23"/>
  <c r="X551" i="23"/>
  <c r="AA551" i="23"/>
  <c r="X571" i="23"/>
  <c r="AA571" i="23"/>
  <c r="X85" i="23"/>
  <c r="AA85" i="23"/>
  <c r="X93" i="23"/>
  <c r="AA93" i="23"/>
  <c r="X97" i="23"/>
  <c r="AA97" i="23"/>
  <c r="X105" i="23"/>
  <c r="AA105" i="23"/>
  <c r="X113" i="23"/>
  <c r="AA113" i="23"/>
  <c r="X123" i="23"/>
  <c r="AA123" i="23"/>
  <c r="X131" i="23"/>
  <c r="AA131" i="23"/>
  <c r="X139" i="23"/>
  <c r="AA139" i="23"/>
  <c r="X147" i="23"/>
  <c r="AA147" i="23"/>
  <c r="X157" i="23"/>
  <c r="AA157" i="23"/>
  <c r="X165" i="23"/>
  <c r="AA165" i="23"/>
  <c r="X173" i="23"/>
  <c r="AA173" i="23"/>
  <c r="X181" i="23"/>
  <c r="AA181" i="23"/>
  <c r="X195" i="23"/>
  <c r="AA195" i="23"/>
  <c r="X203" i="23"/>
  <c r="AA203" i="23"/>
  <c r="X215" i="23"/>
  <c r="AA215" i="23"/>
  <c r="X225" i="23"/>
  <c r="AA225" i="23"/>
  <c r="X233" i="23"/>
  <c r="AA233" i="23"/>
  <c r="X241" i="23"/>
  <c r="AA241" i="23"/>
  <c r="X249" i="23"/>
  <c r="AA249" i="23"/>
  <c r="X259" i="23"/>
  <c r="AA259" i="23"/>
  <c r="X283" i="23"/>
  <c r="AA283" i="23"/>
  <c r="X287" i="23"/>
  <c r="AA287" i="23"/>
  <c r="X297" i="23"/>
  <c r="AA297" i="23"/>
  <c r="X301" i="23"/>
  <c r="AA301" i="23"/>
  <c r="X305" i="23"/>
  <c r="AA305" i="23"/>
  <c r="X309" i="23"/>
  <c r="AA309" i="23"/>
  <c r="X313" i="23"/>
  <c r="AA313" i="23"/>
  <c r="X317" i="23"/>
  <c r="AA317" i="23"/>
  <c r="X321" i="23"/>
  <c r="AA321" i="23"/>
  <c r="X325" i="23"/>
  <c r="AA325" i="23"/>
  <c r="X310" i="23"/>
  <c r="AA310" i="23"/>
  <c r="X378" i="23"/>
  <c r="AA378" i="23"/>
  <c r="X335" i="23"/>
  <c r="AA335" i="23"/>
  <c r="X343" i="23"/>
  <c r="AA343" i="23"/>
  <c r="X403" i="23"/>
  <c r="AA403" i="23"/>
  <c r="X427" i="23"/>
  <c r="AA427" i="23"/>
  <c r="X491" i="23"/>
  <c r="AA491" i="23"/>
  <c r="X547" i="23"/>
  <c r="AA547" i="23"/>
  <c r="X356" i="23"/>
  <c r="AA356" i="23"/>
  <c r="X348" i="23"/>
  <c r="AA348" i="23"/>
  <c r="X415" i="23"/>
  <c r="AA415" i="23"/>
  <c r="X14" i="23"/>
  <c r="AA14" i="23"/>
  <c r="AA242" i="23"/>
  <c r="X242" i="23"/>
  <c r="AA216" i="23"/>
  <c r="X216" i="23"/>
  <c r="AA192" i="23"/>
  <c r="X192" i="23"/>
  <c r="AA565" i="23"/>
  <c r="X565" i="23"/>
  <c r="AA557" i="23"/>
  <c r="AB557" i="23" s="1"/>
  <c r="X557" i="23"/>
  <c r="AA549" i="23"/>
  <c r="X549" i="23"/>
  <c r="AA541" i="23"/>
  <c r="X541" i="23"/>
  <c r="AA523" i="23"/>
  <c r="AB523" i="23" s="1"/>
  <c r="X523" i="23"/>
  <c r="AA511" i="23"/>
  <c r="X511" i="23"/>
  <c r="X497" i="23"/>
  <c r="AA497" i="23"/>
  <c r="X489" i="23"/>
  <c r="AA489" i="23"/>
  <c r="AA469" i="23"/>
  <c r="X469" i="23"/>
  <c r="AA463" i="23"/>
  <c r="X463" i="23"/>
  <c r="X455" i="23"/>
  <c r="AA455" i="23"/>
  <c r="X439" i="23"/>
  <c r="AA439" i="23"/>
  <c r="X421" i="23"/>
  <c r="AA421" i="23"/>
  <c r="AB421" i="23" s="1"/>
  <c r="X417" i="23"/>
  <c r="AA417" i="23"/>
  <c r="X413" i="23"/>
  <c r="AA413" i="23"/>
  <c r="AA405" i="23"/>
  <c r="X405" i="23"/>
  <c r="AA401" i="23"/>
  <c r="X401" i="23"/>
  <c r="AA391" i="23"/>
  <c r="X391" i="23"/>
  <c r="AA387" i="23"/>
  <c r="X387" i="23"/>
  <c r="AA383" i="23"/>
  <c r="X383" i="23"/>
  <c r="AA379" i="23"/>
  <c r="X379" i="23"/>
  <c r="AA375" i="23"/>
  <c r="X375" i="23"/>
  <c r="AA367" i="23"/>
  <c r="X367" i="23"/>
  <c r="AA361" i="23"/>
  <c r="X361" i="23"/>
  <c r="AA357" i="23"/>
  <c r="X357" i="23"/>
  <c r="AA353" i="23"/>
  <c r="X353" i="23"/>
  <c r="AA349" i="23"/>
  <c r="AB349" i="23" s="1"/>
  <c r="X349" i="23"/>
  <c r="AA345" i="23"/>
  <c r="X345" i="23"/>
  <c r="AA341" i="23"/>
  <c r="X341" i="23"/>
  <c r="AA412" i="23"/>
  <c r="X412" i="23"/>
  <c r="AA400" i="23"/>
  <c r="X400" i="23"/>
  <c r="AA374" i="23"/>
  <c r="X374" i="23"/>
  <c r="AA370" i="23"/>
  <c r="X370" i="23"/>
  <c r="AA360" i="23"/>
  <c r="X360" i="23"/>
  <c r="AA344" i="23"/>
  <c r="X344" i="23"/>
  <c r="AA332" i="23"/>
  <c r="X332" i="23"/>
  <c r="AA322" i="23"/>
  <c r="X322" i="23"/>
  <c r="AA288" i="23"/>
  <c r="X288" i="23"/>
  <c r="AA280" i="23"/>
  <c r="AB280" i="23" s="1"/>
  <c r="X280" i="23"/>
  <c r="AA260" i="23"/>
  <c r="X260" i="23"/>
  <c r="AA250" i="23"/>
  <c r="X250" i="23"/>
  <c r="AA234" i="23"/>
  <c r="X234" i="23"/>
  <c r="AA570" i="23"/>
  <c r="X570" i="23"/>
  <c r="AA566" i="23"/>
  <c r="X566" i="23"/>
  <c r="AA388" i="23"/>
  <c r="X388" i="23"/>
  <c r="AA304" i="23"/>
  <c r="X304" i="23"/>
  <c r="AA248" i="23"/>
  <c r="X248" i="23"/>
  <c r="AA218" i="23"/>
  <c r="X218" i="23"/>
  <c r="AA198" i="23"/>
  <c r="X198" i="23"/>
  <c r="AA164" i="23"/>
  <c r="X164" i="23"/>
  <c r="AA351" i="23"/>
  <c r="X351" i="23"/>
  <c r="AA407" i="23"/>
  <c r="X407" i="23"/>
  <c r="X558" i="23"/>
  <c r="AA558" i="23"/>
  <c r="AB558" i="23" s="1"/>
  <c r="AA384" i="23"/>
  <c r="X384" i="23"/>
  <c r="X286" i="23"/>
  <c r="AA286" i="23"/>
  <c r="AB286" i="23" s="1"/>
  <c r="AA244" i="23"/>
  <c r="X244" i="23"/>
  <c r="AA438" i="23"/>
  <c r="AB438" i="23" s="1"/>
  <c r="X438" i="23"/>
  <c r="AA194" i="23"/>
  <c r="X194" i="23"/>
  <c r="AA449" i="23"/>
  <c r="AB449" i="23" s="1"/>
  <c r="X449" i="23"/>
  <c r="AA487" i="23"/>
  <c r="X487" i="23"/>
  <c r="AA539" i="23"/>
  <c r="X539" i="23"/>
  <c r="AA252" i="23"/>
  <c r="X252" i="23"/>
  <c r="AA224" i="23"/>
  <c r="X224" i="23"/>
  <c r="AA522" i="23"/>
  <c r="X522" i="23"/>
  <c r="AA465" i="23"/>
  <c r="X465" i="23"/>
  <c r="AA471" i="23"/>
  <c r="X471" i="23"/>
  <c r="X372" i="23"/>
  <c r="AA372" i="23"/>
  <c r="AA316" i="23"/>
  <c r="X316" i="23"/>
  <c r="AA548" i="23"/>
  <c r="X548" i="23"/>
  <c r="X496" i="23"/>
  <c r="AA496" i="23"/>
  <c r="AA206" i="23"/>
  <c r="X206" i="23"/>
  <c r="AA184" i="23"/>
  <c r="X184" i="23"/>
  <c r="AA445" i="23"/>
  <c r="X445" i="23"/>
  <c r="X380" i="23"/>
  <c r="AA380" i="23"/>
  <c r="AB380" i="23" s="1"/>
  <c r="AA266" i="23"/>
  <c r="X266" i="23"/>
  <c r="AA355" i="23"/>
  <c r="X355" i="23"/>
  <c r="AA441" i="23"/>
  <c r="X441" i="23"/>
  <c r="AA94" i="23"/>
  <c r="AB94" i="23" s="1"/>
  <c r="X94" i="23"/>
  <c r="AA486" i="23"/>
  <c r="AB486" i="23" s="1"/>
  <c r="X486" i="23"/>
  <c r="X482" i="23"/>
  <c r="AA482" i="23"/>
  <c r="AB482" i="23" s="1"/>
  <c r="AA478" i="23"/>
  <c r="X478" i="23"/>
  <c r="X474" i="23"/>
  <c r="AA474" i="23"/>
  <c r="AA460" i="23"/>
  <c r="X460" i="23"/>
  <c r="AA456" i="23"/>
  <c r="X456" i="23"/>
  <c r="AA448" i="23"/>
  <c r="X448" i="23"/>
  <c r="AA444" i="23"/>
  <c r="X444" i="23"/>
  <c r="X440" i="23"/>
  <c r="AA440" i="23"/>
  <c r="X436" i="23"/>
  <c r="AA436" i="23"/>
  <c r="AB436" i="23" s="1"/>
  <c r="X300" i="23"/>
  <c r="AA300" i="23"/>
  <c r="AB300" i="23" s="1"/>
  <c r="AA210" i="23"/>
  <c r="AB210" i="23" s="1"/>
  <c r="X210" i="23"/>
  <c r="X202" i="23"/>
  <c r="AA202" i="23"/>
  <c r="X525" i="23"/>
  <c r="AA525" i="23"/>
  <c r="AA29" i="23"/>
  <c r="X29" i="23"/>
  <c r="X342" i="23"/>
  <c r="AA342" i="23"/>
  <c r="AB342" i="23" s="1"/>
  <c r="AA312" i="23"/>
  <c r="AB312" i="23" s="1"/>
  <c r="X312" i="23"/>
  <c r="AA274" i="23"/>
  <c r="X274" i="23"/>
  <c r="AA559" i="23"/>
  <c r="X559" i="23"/>
  <c r="X505" i="23"/>
  <c r="AA505" i="23"/>
  <c r="AA23" i="23"/>
  <c r="X23" i="23"/>
  <c r="X358" i="23"/>
  <c r="AA358" i="23"/>
  <c r="X278" i="23"/>
  <c r="AA278" i="23"/>
  <c r="X567" i="23"/>
  <c r="AA567" i="23"/>
  <c r="AA475" i="23"/>
  <c r="X475" i="23"/>
  <c r="X446" i="23"/>
  <c r="AA446" i="23"/>
  <c r="X338" i="23"/>
  <c r="AA338" i="23"/>
  <c r="AB338" i="23" s="1"/>
  <c r="X389" i="23"/>
  <c r="AA389" i="23"/>
  <c r="AB389" i="23" s="1"/>
  <c r="AA419" i="23"/>
  <c r="AB419" i="23" s="1"/>
  <c r="X419" i="23"/>
  <c r="AA568" i="23"/>
  <c r="X568" i="23"/>
  <c r="AA552" i="23"/>
  <c r="X552" i="23"/>
  <c r="AA534" i="23"/>
  <c r="X534" i="23"/>
  <c r="X334" i="23"/>
  <c r="AA334" i="23"/>
  <c r="AB334" i="23" s="1"/>
  <c r="X347" i="23"/>
  <c r="AA347" i="23"/>
  <c r="AB347" i="23" s="1"/>
  <c r="AA411" i="23"/>
  <c r="AB411" i="23" s="1"/>
  <c r="X411" i="23"/>
  <c r="X461" i="23"/>
  <c r="AA461" i="23"/>
  <c r="AB461" i="23" s="1"/>
  <c r="AA495" i="23"/>
  <c r="X495" i="23"/>
  <c r="AA543" i="23"/>
  <c r="X543" i="23"/>
  <c r="X38" i="23"/>
  <c r="AA38" i="23"/>
  <c r="AB38" i="23" s="1"/>
  <c r="AA330" i="23"/>
  <c r="AB330" i="23" s="1"/>
  <c r="X330" i="23"/>
  <c r="AA168" i="23"/>
  <c r="AB168" i="23" s="1"/>
  <c r="X168" i="23"/>
  <c r="AA339" i="23"/>
  <c r="AB339" i="23" s="1"/>
  <c r="X339" i="23"/>
  <c r="X499" i="23"/>
  <c r="AA499" i="23"/>
  <c r="AB499" i="23" s="1"/>
  <c r="AA214" i="23"/>
  <c r="X214" i="23"/>
  <c r="AA320" i="23"/>
  <c r="AB320" i="23" s="1"/>
  <c r="X320" i="23"/>
  <c r="AA240" i="23"/>
  <c r="AB240" i="23" s="1"/>
  <c r="X240" i="23"/>
  <c r="X236" i="23"/>
  <c r="AA236" i="23"/>
  <c r="AA228" i="23"/>
  <c r="AB228" i="23" s="1"/>
  <c r="X228" i="23"/>
  <c r="AA180" i="23"/>
  <c r="X180" i="23"/>
  <c r="AA176" i="23"/>
  <c r="X176" i="23"/>
  <c r="AA331" i="23"/>
  <c r="X331" i="23"/>
  <c r="AA457" i="23"/>
  <c r="X457" i="23"/>
  <c r="X324" i="23"/>
  <c r="AA324" i="23"/>
  <c r="AA256" i="23"/>
  <c r="AB256" i="23" s="1"/>
  <c r="X256" i="23"/>
  <c r="AA385" i="23"/>
  <c r="X385" i="23"/>
  <c r="AA424" i="23"/>
  <c r="AB424" i="23" s="1"/>
  <c r="X424" i="23"/>
  <c r="AA420" i="23"/>
  <c r="X420" i="23"/>
  <c r="AA404" i="23"/>
  <c r="AB404" i="23" s="1"/>
  <c r="X404" i="23"/>
  <c r="AA182" i="23"/>
  <c r="X182" i="23"/>
  <c r="X166" i="23"/>
  <c r="AA166" i="23"/>
  <c r="AB166" i="23" s="1"/>
  <c r="X144" i="23"/>
  <c r="AA144" i="23"/>
  <c r="AA114" i="23"/>
  <c r="AB114" i="23" s="1"/>
  <c r="X114" i="23"/>
  <c r="AA550" i="23"/>
  <c r="AB550" i="23" s="1"/>
  <c r="X550" i="23"/>
  <c r="X532" i="23"/>
  <c r="AA532" i="23"/>
  <c r="AB532" i="23" s="1"/>
  <c r="AA520" i="23"/>
  <c r="AB520" i="23" s="1"/>
  <c r="X520" i="23"/>
  <c r="AA410" i="23"/>
  <c r="X410" i="23"/>
  <c r="X290" i="23"/>
  <c r="AA290" i="23"/>
  <c r="AA376" i="23"/>
  <c r="AB376" i="23" s="1"/>
  <c r="X376" i="23"/>
  <c r="AA31" i="23"/>
  <c r="AB31" i="23" s="1"/>
  <c r="X31" i="23"/>
  <c r="X314" i="23"/>
  <c r="AA314" i="23"/>
  <c r="AB314" i="23" s="1"/>
  <c r="X346" i="23"/>
  <c r="AA346" i="23"/>
  <c r="AB346" i="23" s="1"/>
  <c r="X453" i="23"/>
  <c r="AA453" i="23"/>
  <c r="AB453" i="23" s="1"/>
  <c r="X262" i="23"/>
  <c r="AA262" i="23"/>
  <c r="AB262" i="23" s="1"/>
  <c r="AA381" i="23"/>
  <c r="AB381" i="23" s="1"/>
  <c r="X381" i="23"/>
  <c r="AA437" i="23"/>
  <c r="AB437" i="23" s="1"/>
  <c r="X437" i="23"/>
  <c r="AA318" i="23"/>
  <c r="AB318" i="23" s="1"/>
  <c r="X318" i="23"/>
  <c r="AA232" i="23"/>
  <c r="AB232" i="23" s="1"/>
  <c r="X232" i="23"/>
  <c r="X540" i="23"/>
  <c r="AA540" i="23"/>
  <c r="AA450" i="23"/>
  <c r="AB450" i="23" s="1"/>
  <c r="X450" i="23"/>
  <c r="AA480" i="23"/>
  <c r="AB480" i="23" s="1"/>
  <c r="X480" i="23"/>
  <c r="AA492" i="23"/>
  <c r="AB492" i="23" s="1"/>
  <c r="X492" i="23"/>
  <c r="AA544" i="23"/>
  <c r="AB544" i="23" s="1"/>
  <c r="X544" i="23"/>
  <c r="X174" i="23"/>
  <c r="AA174" i="23"/>
  <c r="AA106" i="23"/>
  <c r="AB106" i="23" s="1"/>
  <c r="X106" i="23"/>
  <c r="X178" i="23"/>
  <c r="AA178" i="23"/>
  <c r="X170" i="23"/>
  <c r="AA170" i="23"/>
  <c r="AB170" i="23" s="1"/>
  <c r="AA148" i="23"/>
  <c r="AB148" i="23" s="1"/>
  <c r="X148" i="23"/>
  <c r="X140" i="23"/>
  <c r="AA140" i="23"/>
  <c r="AA120" i="23"/>
  <c r="AB120" i="23" s="1"/>
  <c r="X120" i="23"/>
  <c r="X110" i="23"/>
  <c r="AA110" i="23"/>
  <c r="AB110" i="23" s="1"/>
  <c r="X98" i="23"/>
  <c r="AA98" i="23"/>
  <c r="AB98" i="23" s="1"/>
  <c r="X562" i="23"/>
  <c r="AA562" i="23"/>
  <c r="X546" i="23"/>
  <c r="AA546" i="23"/>
  <c r="AB546" i="23" s="1"/>
  <c r="X536" i="23"/>
  <c r="AA536" i="23"/>
  <c r="AA504" i="23"/>
  <c r="AB504" i="23" s="1"/>
  <c r="X504" i="23"/>
  <c r="X414" i="23"/>
  <c r="AA414" i="23"/>
  <c r="AB414" i="23" s="1"/>
  <c r="X402" i="23"/>
  <c r="AA402" i="23"/>
  <c r="AB402" i="23" s="1"/>
  <c r="X392" i="23"/>
  <c r="AA392" i="23"/>
  <c r="AB392" i="23" s="1"/>
  <c r="X190" i="23"/>
  <c r="AA190" i="23"/>
  <c r="X354" i="23"/>
  <c r="AA354" i="23"/>
  <c r="AB354" i="23" s="1"/>
  <c r="AA172" i="23"/>
  <c r="X172" i="23"/>
  <c r="AA510" i="23"/>
  <c r="X510" i="23"/>
  <c r="AA462" i="23"/>
  <c r="X462" i="23"/>
  <c r="AA336" i="23"/>
  <c r="X336" i="23"/>
  <c r="AA340" i="23"/>
  <c r="AB340" i="23"/>
  <c r="X340" i="23"/>
  <c r="AA99" i="23"/>
  <c r="X99" i="23"/>
  <c r="AA477" i="23"/>
  <c r="X477" i="23"/>
  <c r="AA519" i="23"/>
  <c r="X519" i="23"/>
  <c r="AA531" i="23"/>
  <c r="X531" i="23"/>
  <c r="AA553" i="23"/>
  <c r="X553" i="23"/>
  <c r="AA247" i="23"/>
  <c r="X247" i="23"/>
  <c r="AA289" i="23"/>
  <c r="X289" i="23"/>
  <c r="AA333" i="23"/>
  <c r="X333" i="23"/>
  <c r="AA371" i="23"/>
  <c r="X371" i="23"/>
  <c r="AA429" i="23"/>
  <c r="X429" i="23"/>
  <c r="AA451" i="23"/>
  <c r="X451" i="23"/>
  <c r="AA493" i="23"/>
  <c r="X493" i="23"/>
  <c r="AA507" i="23"/>
  <c r="X507" i="23"/>
  <c r="AA86" i="23"/>
  <c r="X86" i="23"/>
  <c r="AA90" i="23"/>
  <c r="X90" i="23"/>
  <c r="AA208" i="23"/>
  <c r="X208" i="23"/>
  <c r="AA564" i="23"/>
  <c r="X564" i="23"/>
  <c r="AA95" i="23"/>
  <c r="X95" i="23"/>
  <c r="AA107" i="23"/>
  <c r="X107" i="23"/>
  <c r="AA213" i="23"/>
  <c r="X213" i="23"/>
  <c r="AA221" i="23"/>
  <c r="X221" i="23"/>
  <c r="AA311" i="23"/>
  <c r="X311" i="23"/>
  <c r="AA329" i="23"/>
  <c r="X329" i="23"/>
  <c r="AA395" i="23"/>
  <c r="X395" i="23"/>
  <c r="AF73" i="23"/>
  <c r="AD73" i="23"/>
  <c r="E74" i="2"/>
  <c r="E75" i="2" s="1"/>
  <c r="B66" i="2"/>
  <c r="B67" i="2" s="1"/>
  <c r="AF52" i="23"/>
  <c r="AD52" i="23"/>
  <c r="AF54" i="23"/>
  <c r="AD54" i="23"/>
  <c r="AF67" i="23"/>
  <c r="AD67" i="23"/>
  <c r="AF64" i="23"/>
  <c r="AD64" i="23"/>
  <c r="AF77" i="23"/>
  <c r="AD77" i="23"/>
  <c r="AF74" i="23"/>
  <c r="AD74" i="23"/>
  <c r="AF76" i="23"/>
  <c r="AD76" i="23"/>
  <c r="AB422" i="23" l="1"/>
  <c r="AF62" i="23"/>
  <c r="AD62" i="23"/>
  <c r="AF75" i="23"/>
  <c r="AD75" i="23"/>
  <c r="AF65" i="23"/>
  <c r="AD65" i="23"/>
  <c r="AD71" i="23"/>
  <c r="AF71" i="23"/>
  <c r="AB423" i="23"/>
  <c r="H24" i="1"/>
  <c r="AB396" i="23"/>
  <c r="AB40" i="23"/>
  <c r="AB464" i="23"/>
  <c r="AB386" i="23"/>
  <c r="H25" i="1"/>
  <c r="D59" i="2" s="1"/>
  <c r="AB30" i="23"/>
  <c r="AB373" i="23"/>
  <c r="AB485" i="23"/>
  <c r="AB17" i="23"/>
  <c r="AB15" i="23"/>
  <c r="AB452" i="23"/>
  <c r="AB447" i="23"/>
  <c r="AB409" i="23"/>
  <c r="AB435" i="23"/>
  <c r="AB426" i="23"/>
  <c r="AB158" i="23"/>
  <c r="AB202" i="23"/>
  <c r="AB516" i="23"/>
  <c r="AB128" i="23"/>
  <c r="AB554" i="23"/>
  <c r="AE554" i="23" s="1"/>
  <c r="AB498" i="23"/>
  <c r="AC426" i="23"/>
  <c r="AG426" i="23" s="1"/>
  <c r="AH426" i="23" s="1"/>
  <c r="AC508" i="23"/>
  <c r="AG508" i="23" s="1"/>
  <c r="AH508" i="23" s="1"/>
  <c r="AB430" i="23"/>
  <c r="AB470" i="23"/>
  <c r="AB494" i="23"/>
  <c r="AB490" i="23"/>
  <c r="AB394" i="23"/>
  <c r="AE426" i="23"/>
  <c r="AE508" i="23"/>
  <c r="AF154" i="23"/>
  <c r="AB124" i="23"/>
  <c r="AD154" i="23"/>
  <c r="AB132" i="23"/>
  <c r="AB408" i="23"/>
  <c r="AB102" i="23"/>
  <c r="AB416" i="23"/>
  <c r="AB418" i="23"/>
  <c r="AB406" i="23"/>
  <c r="AB512" i="23"/>
  <c r="AB528" i="23"/>
  <c r="AB524" i="23"/>
  <c r="AB136" i="23"/>
  <c r="AC154" i="23"/>
  <c r="AG154" i="23" s="1"/>
  <c r="AH154" i="23" s="1"/>
  <c r="AE382" i="23"/>
  <c r="AC382" i="23"/>
  <c r="AG382" i="23" s="1"/>
  <c r="AH382" i="23" s="1"/>
  <c r="AB91" i="23"/>
  <c r="AE542" i="23"/>
  <c r="AC542" i="23"/>
  <c r="AG542" i="23" s="1"/>
  <c r="AH542" i="23" s="1"/>
  <c r="AE162" i="23"/>
  <c r="AC162" i="23"/>
  <c r="AG162" i="23" s="1"/>
  <c r="AH162" i="23" s="1"/>
  <c r="AB525" i="23"/>
  <c r="AE110" i="23"/>
  <c r="AC110" i="23"/>
  <c r="AG110" i="23" s="1"/>
  <c r="AH110" i="23" s="1"/>
  <c r="AB530" i="23"/>
  <c r="AB391" i="23"/>
  <c r="AB568" i="23"/>
  <c r="AB288" i="23"/>
  <c r="AB234" i="23"/>
  <c r="AB164" i="23"/>
  <c r="AC492" i="23"/>
  <c r="AG492" i="23" s="1"/>
  <c r="AH492" i="23" s="1"/>
  <c r="AE492" i="23"/>
  <c r="AE232" i="23"/>
  <c r="AC232" i="23"/>
  <c r="AG232" i="23" s="1"/>
  <c r="AH232" i="23" s="1"/>
  <c r="AE544" i="23"/>
  <c r="AC544" i="23"/>
  <c r="AG544" i="23" s="1"/>
  <c r="AH544" i="23" s="1"/>
  <c r="AE520" i="23"/>
  <c r="AC314" i="23"/>
  <c r="AG314" i="23" s="1"/>
  <c r="AH314" i="23" s="1"/>
  <c r="AC532" i="23"/>
  <c r="AG532" i="23" s="1"/>
  <c r="AH532" i="23" s="1"/>
  <c r="AE314" i="23"/>
  <c r="AE437" i="23"/>
  <c r="AE346" i="23"/>
  <c r="AC346" i="23"/>
  <c r="AG346" i="23" s="1"/>
  <c r="AH346" i="23" s="1"/>
  <c r="AE532" i="23"/>
  <c r="AC520" i="23"/>
  <c r="AG520" i="23" s="1"/>
  <c r="AH520" i="23" s="1"/>
  <c r="AE354" i="23"/>
  <c r="AC354" i="23"/>
  <c r="AG354" i="23" s="1"/>
  <c r="AH354" i="23" s="1"/>
  <c r="AC437" i="23"/>
  <c r="AG437" i="23" s="1"/>
  <c r="AH437" i="23" s="1"/>
  <c r="AE550" i="23"/>
  <c r="AC550" i="23"/>
  <c r="AG550" i="23" s="1"/>
  <c r="AH550" i="23" s="1"/>
  <c r="AE166" i="23"/>
  <c r="AC166" i="23"/>
  <c r="AG166" i="23" s="1"/>
  <c r="AH166" i="23" s="1"/>
  <c r="AE453" i="23"/>
  <c r="AC453" i="23"/>
  <c r="AG453" i="23" s="1"/>
  <c r="AH453" i="23" s="1"/>
  <c r="AE381" i="23"/>
  <c r="AC381" i="23"/>
  <c r="AG381" i="23" s="1"/>
  <c r="AH381" i="23" s="1"/>
  <c r="AE376" i="23"/>
  <c r="AC376" i="23"/>
  <c r="AG376" i="23" s="1"/>
  <c r="AH376" i="23" s="1"/>
  <c r="AE262" i="23"/>
  <c r="AC262" i="23"/>
  <c r="AG262" i="23" s="1"/>
  <c r="AH262" i="23" s="1"/>
  <c r="AC148" i="23"/>
  <c r="AG148" i="23" s="1"/>
  <c r="AH148" i="23" s="1"/>
  <c r="AE148" i="23"/>
  <c r="AE31" i="23"/>
  <c r="AC31" i="23"/>
  <c r="AG31" i="23" s="1"/>
  <c r="AH31" i="23" s="1"/>
  <c r="AE504" i="23"/>
  <c r="AC504" i="23"/>
  <c r="AG504" i="23" s="1"/>
  <c r="AH504" i="23" s="1"/>
  <c r="AC450" i="23"/>
  <c r="AG450" i="23" s="1"/>
  <c r="AH450" i="23" s="1"/>
  <c r="AE450" i="23"/>
  <c r="AC98" i="23"/>
  <c r="AG98" i="23" s="1"/>
  <c r="AH98" i="23" s="1"/>
  <c r="AE98" i="23"/>
  <c r="AC318" i="23"/>
  <c r="AG318" i="23" s="1"/>
  <c r="AH318" i="23" s="1"/>
  <c r="AE318" i="23"/>
  <c r="AC480" i="23"/>
  <c r="AG480" i="23" s="1"/>
  <c r="AH480" i="23" s="1"/>
  <c r="AE106" i="23"/>
  <c r="AC414" i="23"/>
  <c r="AG414" i="23" s="1"/>
  <c r="AH414" i="23" s="1"/>
  <c r="AE114" i="23"/>
  <c r="AC114" i="23"/>
  <c r="AG114" i="23" s="1"/>
  <c r="AH114" i="23" s="1"/>
  <c r="AE480" i="23"/>
  <c r="AC106" i="23"/>
  <c r="AG106" i="23" s="1"/>
  <c r="AH106" i="23" s="1"/>
  <c r="AE414" i="23"/>
  <c r="AE170" i="23"/>
  <c r="AC170" i="23"/>
  <c r="AG170" i="23" s="1"/>
  <c r="AH170" i="23" s="1"/>
  <c r="AE120" i="23"/>
  <c r="AC120" i="23"/>
  <c r="AG120" i="23" s="1"/>
  <c r="AH120" i="23" s="1"/>
  <c r="AB208" i="23"/>
  <c r="AB477" i="23"/>
  <c r="AB531" i="23"/>
  <c r="AB247" i="23"/>
  <c r="AB289" i="23"/>
  <c r="AB333" i="23"/>
  <c r="AB371" i="23"/>
  <c r="AB451" i="23"/>
  <c r="AB493" i="23"/>
  <c r="AB507" i="23"/>
  <c r="AB86" i="23"/>
  <c r="AB90" i="23"/>
  <c r="AB519" i="23"/>
  <c r="AB553" i="23"/>
  <c r="AB564" i="23"/>
  <c r="AB95" i="23"/>
  <c r="AB99" i="23"/>
  <c r="AB107" i="23"/>
  <c r="AB213" i="23"/>
  <c r="AB221" i="23"/>
  <c r="AB311" i="23"/>
  <c r="AB329" i="23"/>
  <c r="AB395" i="23"/>
  <c r="AB429" i="23"/>
  <c r="AE25" i="23"/>
  <c r="AC25" i="23"/>
  <c r="AG25" i="23" s="1"/>
  <c r="AH25" i="23" s="1"/>
  <c r="AC369" i="23"/>
  <c r="AG369" i="23" s="1"/>
  <c r="AH369" i="23" s="1"/>
  <c r="AE369" i="23"/>
  <c r="AC270" i="23"/>
  <c r="AG270" i="23" s="1"/>
  <c r="AH270" i="23" s="1"/>
  <c r="AE270" i="23"/>
  <c r="AE364" i="23"/>
  <c r="AC364" i="23"/>
  <c r="AG364" i="23" s="1"/>
  <c r="AH364" i="23" s="1"/>
  <c r="AC368" i="23"/>
  <c r="AG368" i="23" s="1"/>
  <c r="AH368" i="23" s="1"/>
  <c r="AE368" i="23"/>
  <c r="AC340" i="23"/>
  <c r="AG340" i="23" s="1"/>
  <c r="AH340" i="23" s="1"/>
  <c r="AE340" i="23"/>
  <c r="AB27" i="23"/>
  <c r="AB45" i="23"/>
  <c r="AB37" i="23"/>
  <c r="AB20" i="23"/>
  <c r="AB21" i="23"/>
  <c r="AB41" i="23"/>
  <c r="AB18" i="23"/>
  <c r="AB34" i="23"/>
  <c r="AB42" i="23"/>
  <c r="AB46" i="23"/>
  <c r="AB19" i="23"/>
  <c r="AB26" i="23"/>
  <c r="AB28" i="23"/>
  <c r="AB32" i="23"/>
  <c r="AB39" i="23"/>
  <c r="AB35" i="23"/>
  <c r="AB36" i="23"/>
  <c r="AB33" i="23"/>
  <c r="AB43" i="23"/>
  <c r="AB44" i="23"/>
  <c r="AB22" i="23"/>
  <c r="AB533" i="23"/>
  <c r="AB529" i="23"/>
  <c r="AB521" i="23"/>
  <c r="AB517" i="23"/>
  <c r="AB513" i="23"/>
  <c r="AB509" i="23"/>
  <c r="AB483" i="23"/>
  <c r="AB479" i="23"/>
  <c r="AB399" i="23"/>
  <c r="AB393" i="23"/>
  <c r="AB365" i="23"/>
  <c r="AB359" i="23"/>
  <c r="AB282" i="23"/>
  <c r="AB296" i="23"/>
  <c r="AB308" i="23"/>
  <c r="AB350" i="23"/>
  <c r="AB352" i="23"/>
  <c r="AB366" i="23"/>
  <c r="AB434" i="23"/>
  <c r="AB556" i="23"/>
  <c r="AB186" i="23"/>
  <c r="AB527" i="23"/>
  <c r="AB515" i="23"/>
  <c r="AB501" i="23"/>
  <c r="AB481" i="23"/>
  <c r="AB473" i="23"/>
  <c r="AB443" i="23"/>
  <c r="AB299" i="23"/>
  <c r="AB285" i="23"/>
  <c r="AB281" i="23"/>
  <c r="AB261" i="23"/>
  <c r="AB251" i="23"/>
  <c r="AB243" i="23"/>
  <c r="AB239" i="23"/>
  <c r="AB217" i="23"/>
  <c r="AB193" i="23"/>
  <c r="AB179" i="23"/>
  <c r="AB175" i="23"/>
  <c r="AB171" i="23"/>
  <c r="AB167" i="23"/>
  <c r="AB163" i="23"/>
  <c r="AB155" i="23"/>
  <c r="X187" i="23" a="1"/>
  <c r="X187" i="23" s="1"/>
  <c r="AB149" i="23"/>
  <c r="AB145" i="23"/>
  <c r="AB141" i="23"/>
  <c r="AB121" i="23"/>
  <c r="AB115" i="23"/>
  <c r="AB111" i="23"/>
  <c r="AB103" i="23"/>
  <c r="AB81" i="23"/>
  <c r="AB514" i="23"/>
  <c r="AB458" i="23"/>
  <c r="AB442" i="23"/>
  <c r="AB428" i="23"/>
  <c r="AB383" i="23"/>
  <c r="AB375" i="23"/>
  <c r="AB367" i="23"/>
  <c r="AB361" i="23"/>
  <c r="AB412" i="23"/>
  <c r="AB344" i="23"/>
  <c r="AB570" i="23"/>
  <c r="AB388" i="23"/>
  <c r="AB218" i="23"/>
  <c r="AB351" i="23"/>
  <c r="AB384" i="23"/>
  <c r="AB194" i="23"/>
  <c r="AB539" i="23"/>
  <c r="AB224" i="23"/>
  <c r="AB522" i="23"/>
  <c r="AB471" i="23"/>
  <c r="AB548" i="23"/>
  <c r="AB496" i="23"/>
  <c r="AB184" i="23"/>
  <c r="AB445" i="23"/>
  <c r="AB266" i="23"/>
  <c r="AB355" i="23"/>
  <c r="AB441" i="23"/>
  <c r="AB474" i="23"/>
  <c r="AB460" i="23"/>
  <c r="AB456" i="23"/>
  <c r="AB448" i="23"/>
  <c r="AB440" i="23"/>
  <c r="AB559" i="23"/>
  <c r="AB505" i="23"/>
  <c r="AB358" i="23"/>
  <c r="AB567" i="23"/>
  <c r="AB475" i="23"/>
  <c r="AB446" i="23"/>
  <c r="AB552" i="23"/>
  <c r="AB495" i="23"/>
  <c r="AB543" i="23"/>
  <c r="AB214" i="23"/>
  <c r="AB236" i="23"/>
  <c r="AB180" i="23"/>
  <c r="AB176" i="23"/>
  <c r="AB331" i="23"/>
  <c r="AB457" i="23"/>
  <c r="AB324" i="23"/>
  <c r="AB385" i="23"/>
  <c r="AB420" i="23"/>
  <c r="AB242" i="23"/>
  <c r="AB541" i="23"/>
  <c r="AB511" i="23"/>
  <c r="AB497" i="23"/>
  <c r="AB489" i="23"/>
  <c r="AB469" i="23"/>
  <c r="AB463" i="23"/>
  <c r="AB439" i="23"/>
  <c r="AB417" i="23"/>
  <c r="AB413" i="23"/>
  <c r="AB401" i="23"/>
  <c r="AB260" i="23"/>
  <c r="AB304" i="23"/>
  <c r="AB248" i="23"/>
  <c r="AB407" i="23"/>
  <c r="AB244" i="23"/>
  <c r="AB487" i="23"/>
  <c r="AB252" i="23"/>
  <c r="AB465" i="23"/>
  <c r="AB316" i="23"/>
  <c r="AB274" i="23"/>
  <c r="AB278" i="23"/>
  <c r="AB534" i="23"/>
  <c r="AB182" i="23"/>
  <c r="AB144" i="23"/>
  <c r="AB410" i="23"/>
  <c r="AB290" i="23"/>
  <c r="AB540" i="23"/>
  <c r="AB174" i="23"/>
  <c r="AB178" i="23"/>
  <c r="AB140" i="23"/>
  <c r="AB562" i="23"/>
  <c r="AB536" i="23"/>
  <c r="AB190" i="23"/>
  <c r="AB172" i="23"/>
  <c r="AB510" i="23"/>
  <c r="AB462" i="23"/>
  <c r="AB336" i="23"/>
  <c r="AB250" i="23"/>
  <c r="AB357" i="23"/>
  <c r="AB387" i="23"/>
  <c r="AB341" i="23"/>
  <c r="AB400" i="23"/>
  <c r="AB370" i="23"/>
  <c r="AB379" i="23"/>
  <c r="AB129" i="23"/>
  <c r="AB488" i="23"/>
  <c r="AB269" i="23"/>
  <c r="AB535" i="23"/>
  <c r="AB372" i="23"/>
  <c r="AB565" i="23"/>
  <c r="AB566" i="23"/>
  <c r="AB315" i="23"/>
  <c r="AB455" i="23"/>
  <c r="AB212" i="23"/>
  <c r="AB549" i="23"/>
  <c r="AB200" i="23"/>
  <c r="AB14" i="23"/>
  <c r="AB206" i="23"/>
  <c r="AB444" i="23"/>
  <c r="AB478" i="23"/>
  <c r="AB192" i="23"/>
  <c r="AB137" i="23"/>
  <c r="AB125" i="23"/>
  <c r="AB216" i="23"/>
  <c r="AB405" i="23"/>
  <c r="AB265" i="23"/>
  <c r="AB466" i="23"/>
  <c r="AB459" i="23"/>
  <c r="X362" i="23" a="1"/>
  <c r="X362" i="23" s="1"/>
  <c r="AB353" i="23"/>
  <c r="AB322" i="23"/>
  <c r="AB360" i="23"/>
  <c r="AB23" i="23"/>
  <c r="AB198" i="23"/>
  <c r="AB227" i="23"/>
  <c r="AB345" i="23"/>
  <c r="AB159" i="23"/>
  <c r="AB356" i="23"/>
  <c r="AB201" i="23"/>
  <c r="AB319" i="23"/>
  <c r="AB273" i="23"/>
  <c r="AB332" i="23"/>
  <c r="AB378" i="23"/>
  <c r="AB29" i="23"/>
  <c r="AB561" i="23"/>
  <c r="AB276" i="23"/>
  <c r="AB268" i="23"/>
  <c r="AB277" i="23"/>
  <c r="AB374" i="23"/>
  <c r="AB310" i="23"/>
  <c r="AB325" i="23"/>
  <c r="AB321" i="23"/>
  <c r="AB317" i="23"/>
  <c r="AB313" i="23"/>
  <c r="AB309" i="23"/>
  <c r="AB305" i="23"/>
  <c r="AB301" i="23"/>
  <c r="AB297" i="23"/>
  <c r="AB291" i="23"/>
  <c r="AB287" i="23"/>
  <c r="AB283" i="23"/>
  <c r="AB279" i="23"/>
  <c r="AB275" i="23"/>
  <c r="AB271" i="23"/>
  <c r="AB267" i="23"/>
  <c r="AB263" i="23"/>
  <c r="AB259" i="23"/>
  <c r="AB253" i="23"/>
  <c r="AB249" i="23"/>
  <c r="AB245" i="23"/>
  <c r="AB241" i="23"/>
  <c r="AB237" i="23"/>
  <c r="AB233" i="23"/>
  <c r="AB229" i="23"/>
  <c r="AB225" i="23"/>
  <c r="AB219" i="23"/>
  <c r="AB215" i="23"/>
  <c r="AB146" i="23"/>
  <c r="AB160" i="23"/>
  <c r="AB197" i="23"/>
  <c r="AB205" i="23"/>
  <c r="AB211" i="23"/>
  <c r="AB207" i="23"/>
  <c r="AB203" i="23"/>
  <c r="AB199" i="23"/>
  <c r="AB195" i="23"/>
  <c r="AB191" i="23"/>
  <c r="AB185" i="23"/>
  <c r="AB181" i="23"/>
  <c r="AB177" i="23"/>
  <c r="AB173" i="23"/>
  <c r="AB169" i="23"/>
  <c r="AB165" i="23"/>
  <c r="AB161" i="23"/>
  <c r="AB157" i="23"/>
  <c r="AB151" i="23"/>
  <c r="AB147" i="23"/>
  <c r="AB143" i="23"/>
  <c r="AB139" i="23"/>
  <c r="AB135" i="23"/>
  <c r="AB131" i="23"/>
  <c r="AB127" i="23"/>
  <c r="AB123" i="23"/>
  <c r="AB119" i="23"/>
  <c r="AB113" i="23"/>
  <c r="AB109" i="23"/>
  <c r="AB105" i="23"/>
  <c r="AB101" i="23"/>
  <c r="AB97" i="23"/>
  <c r="AB93" i="23"/>
  <c r="AB89" i="23"/>
  <c r="AB85" i="23"/>
  <c r="AB571" i="23"/>
  <c r="AB563" i="23"/>
  <c r="AB551" i="23"/>
  <c r="AB204" i="23"/>
  <c r="AB246" i="23"/>
  <c r="AB264" i="23"/>
  <c r="AB88" i="23"/>
  <c r="AB92" i="23"/>
  <c r="AB96" i="23"/>
  <c r="AB100" i="23"/>
  <c r="AB104" i="23"/>
  <c r="AB108" i="23"/>
  <c r="AB112" i="23"/>
  <c r="AB116" i="23"/>
  <c r="AB122" i="23"/>
  <c r="AB126" i="23"/>
  <c r="AB130" i="23"/>
  <c r="AB134" i="23"/>
  <c r="AB138" i="23"/>
  <c r="AB142" i="23"/>
  <c r="AB150" i="23"/>
  <c r="AB156" i="23"/>
  <c r="AB294" i="23"/>
  <c r="AB555" i="23"/>
  <c r="AB196" i="23"/>
  <c r="AB220" i="23"/>
  <c r="AB226" i="23"/>
  <c r="AB238" i="23"/>
  <c r="AB254" i="23"/>
  <c r="AB284" i="23"/>
  <c r="AB302" i="23"/>
  <c r="AB306" i="23"/>
  <c r="AB326" i="23"/>
  <c r="AB390" i="23"/>
  <c r="AB84" i="23"/>
  <c r="AB272" i="23"/>
  <c r="AB298" i="23"/>
  <c r="AB506" i="23"/>
  <c r="AB16" i="23"/>
  <c r="AB431" i="23"/>
  <c r="AB415" i="23"/>
  <c r="AB377" i="23"/>
  <c r="AB348" i="23"/>
  <c r="AB491" i="23"/>
  <c r="AB427" i="23"/>
  <c r="AB403" i="23"/>
  <c r="AB343" i="23"/>
  <c r="AB335" i="23"/>
  <c r="AB547" i="23"/>
  <c r="AE334" i="23"/>
  <c r="AC334" i="23"/>
  <c r="AG334" i="23" s="1"/>
  <c r="AH334" i="23" s="1"/>
  <c r="AC38" i="23"/>
  <c r="AG38" i="23" s="1"/>
  <c r="AH38" i="23" s="1"/>
  <c r="AE424" i="23"/>
  <c r="AE342" i="23"/>
  <c r="AC342" i="23"/>
  <c r="AG342" i="23" s="1"/>
  <c r="AH342" i="23" s="1"/>
  <c r="AC424" i="23"/>
  <c r="AG424" i="23" s="1"/>
  <c r="AH424" i="23" s="1"/>
  <c r="AE338" i="23"/>
  <c r="AC338" i="23"/>
  <c r="AG338" i="23" s="1"/>
  <c r="AH338" i="23" s="1"/>
  <c r="AE419" i="23"/>
  <c r="AC419" i="23"/>
  <c r="AG419" i="23" s="1"/>
  <c r="AH419" i="23" s="1"/>
  <c r="AE312" i="23"/>
  <c r="AC312" i="23"/>
  <c r="AG312" i="23" s="1"/>
  <c r="AH312" i="23" s="1"/>
  <c r="AE38" i="23"/>
  <c r="AE486" i="23"/>
  <c r="AC486" i="23"/>
  <c r="AG486" i="23" s="1"/>
  <c r="AH486" i="23" s="1"/>
  <c r="AE323" i="23"/>
  <c r="AC323" i="23"/>
  <c r="AG323" i="23" s="1"/>
  <c r="AH323" i="23" s="1"/>
  <c r="AC209" i="23"/>
  <c r="AG209" i="23" s="1"/>
  <c r="AH209" i="23" s="1"/>
  <c r="AE209" i="23"/>
  <c r="X222" i="23" a="1"/>
  <c r="X222" i="23" s="1"/>
  <c r="X292" i="23" a="1"/>
  <c r="X292" i="23" s="1"/>
  <c r="X537" i="23" a="1"/>
  <c r="X537" i="23" s="1"/>
  <c r="X432" i="23" a="1"/>
  <c r="X432" i="23" s="1"/>
  <c r="AB454" i="23"/>
  <c r="AB476" i="23"/>
  <c r="AB500" i="23"/>
  <c r="AB560" i="23"/>
  <c r="AC402" i="23"/>
  <c r="AG402" i="23" s="1"/>
  <c r="AH402" i="23" s="1"/>
  <c r="AE402" i="23"/>
  <c r="AC546" i="23"/>
  <c r="AG546" i="23" s="1"/>
  <c r="AH546" i="23" s="1"/>
  <c r="AE546" i="23"/>
  <c r="AC392" i="23"/>
  <c r="AG392" i="23" s="1"/>
  <c r="AH392" i="23" s="1"/>
  <c r="AE392" i="23"/>
  <c r="AC300" i="23"/>
  <c r="AG300" i="23" s="1"/>
  <c r="AH300" i="23" s="1"/>
  <c r="AC436" i="23"/>
  <c r="AG436" i="23" s="1"/>
  <c r="AH436" i="23" s="1"/>
  <c r="AE347" i="23"/>
  <c r="AE300" i="23"/>
  <c r="AC389" i="23"/>
  <c r="AG389" i="23" s="1"/>
  <c r="AH389" i="23" s="1"/>
  <c r="AE404" i="23"/>
  <c r="AE256" i="23"/>
  <c r="AF256" i="23" s="1"/>
  <c r="AC404" i="23"/>
  <c r="AG404" i="23" s="1"/>
  <c r="AH404" i="23" s="1"/>
  <c r="AC499" i="23"/>
  <c r="AG499" i="23" s="1"/>
  <c r="AH499" i="23" s="1"/>
  <c r="X467" i="23" a="1"/>
  <c r="X467" i="23" s="1"/>
  <c r="AE523" i="23"/>
  <c r="AC87" i="23"/>
  <c r="AG87" i="23" s="1"/>
  <c r="AH87" i="23" s="1"/>
  <c r="AE337" i="23"/>
  <c r="AE168" i="23"/>
  <c r="AC168" i="23"/>
  <c r="AG168" i="23" s="1"/>
  <c r="AH168" i="23" s="1"/>
  <c r="AC347" i="23"/>
  <c r="AG347" i="23" s="1"/>
  <c r="AH347" i="23" s="1"/>
  <c r="AE436" i="23"/>
  <c r="AE389" i="23"/>
  <c r="AC320" i="23"/>
  <c r="AG320" i="23" s="1"/>
  <c r="AH320" i="23" s="1"/>
  <c r="AC256" i="23"/>
  <c r="AG256" i="23" s="1"/>
  <c r="AH256" i="23" s="1"/>
  <c r="AE499" i="23"/>
  <c r="AE320" i="23"/>
  <c r="AE87" i="23"/>
  <c r="AE421" i="23"/>
  <c r="AC421" i="23"/>
  <c r="AG421" i="23" s="1"/>
  <c r="AH421" i="23" s="1"/>
  <c r="AE235" i="23"/>
  <c r="AC235" i="23"/>
  <c r="AG235" i="23" s="1"/>
  <c r="AH235" i="23" s="1"/>
  <c r="AE230" i="23"/>
  <c r="AC230" i="23"/>
  <c r="AG230" i="23" s="1"/>
  <c r="AH230" i="23" s="1"/>
  <c r="AE349" i="23"/>
  <c r="AC349" i="23"/>
  <c r="AG349" i="23" s="1"/>
  <c r="AH349" i="23" s="1"/>
  <c r="AE425" i="23"/>
  <c r="AC425" i="23"/>
  <c r="AG425" i="23" s="1"/>
  <c r="AH425" i="23" s="1"/>
  <c r="AE133" i="23"/>
  <c r="AC133" i="23"/>
  <c r="AG133" i="23" s="1"/>
  <c r="AH133" i="23" s="1"/>
  <c r="AE557" i="23"/>
  <c r="AC557" i="23"/>
  <c r="AG557" i="23" s="1"/>
  <c r="AH557" i="23" s="1"/>
  <c r="AE183" i="23"/>
  <c r="AC183" i="23"/>
  <c r="AG183" i="23" s="1"/>
  <c r="AH183" i="23" s="1"/>
  <c r="AE472" i="23"/>
  <c r="AE411" i="23"/>
  <c r="AC411" i="23"/>
  <c r="AG411" i="23" s="1"/>
  <c r="AH411" i="23" s="1"/>
  <c r="AE189" i="23"/>
  <c r="AC189" i="23"/>
  <c r="AC472" i="23"/>
  <c r="AG472" i="23" s="1"/>
  <c r="AH472" i="23" s="1"/>
  <c r="AE449" i="23"/>
  <c r="AE255" i="23"/>
  <c r="AE307" i="23"/>
  <c r="AC307" i="23"/>
  <c r="AG307" i="23" s="1"/>
  <c r="AH307" i="23" s="1"/>
  <c r="AE231" i="23"/>
  <c r="AE295" i="23"/>
  <c r="AC295" i="23"/>
  <c r="AG295" i="23" s="1"/>
  <c r="AH295" i="23" s="1"/>
  <c r="AC303" i="23"/>
  <c r="AG303" i="23" s="1"/>
  <c r="AH303" i="23" s="1"/>
  <c r="AC449" i="23"/>
  <c r="AG449" i="23" s="1"/>
  <c r="AH449" i="23" s="1"/>
  <c r="AC255" i="23"/>
  <c r="AG255" i="23" s="1"/>
  <c r="AH255" i="23" s="1"/>
  <c r="AC231" i="23"/>
  <c r="AG231" i="23" s="1"/>
  <c r="AH231" i="23" s="1"/>
  <c r="AE303" i="23"/>
  <c r="AC523" i="23"/>
  <c r="AG523" i="23" s="1"/>
  <c r="AH523" i="23" s="1"/>
  <c r="AC337" i="23"/>
  <c r="AG337" i="23" s="1"/>
  <c r="AH337" i="23" s="1"/>
  <c r="AE94" i="23"/>
  <c r="AC94" i="23"/>
  <c r="AG94" i="23" s="1"/>
  <c r="AH94" i="23" s="1"/>
  <c r="X47" i="23" a="1"/>
  <c r="X47" i="23" s="1"/>
  <c r="X152" i="23" a="1"/>
  <c r="X152" i="23" s="1"/>
  <c r="AC461" i="23"/>
  <c r="AG461" i="23" s="1"/>
  <c r="AH461" i="23" s="1"/>
  <c r="AE461" i="23"/>
  <c r="AC339" i="23"/>
  <c r="AG339" i="23" s="1"/>
  <c r="AH339" i="23" s="1"/>
  <c r="AE339" i="23"/>
  <c r="AE482" i="23"/>
  <c r="AC482" i="23"/>
  <c r="AG482" i="23" s="1"/>
  <c r="AH482" i="23" s="1"/>
  <c r="AC380" i="23"/>
  <c r="AG380" i="23" s="1"/>
  <c r="AH380" i="23" s="1"/>
  <c r="AE380" i="23"/>
  <c r="AC228" i="23"/>
  <c r="AG228" i="23" s="1"/>
  <c r="AH228" i="23" s="1"/>
  <c r="AE228" i="23"/>
  <c r="AC330" i="23"/>
  <c r="AG330" i="23" s="1"/>
  <c r="AH330" i="23" s="1"/>
  <c r="AE330" i="23"/>
  <c r="AC240" i="23"/>
  <c r="AG240" i="23" s="1"/>
  <c r="AH240" i="23" s="1"/>
  <c r="AE240" i="23"/>
  <c r="AE569" i="23"/>
  <c r="AC569" i="23"/>
  <c r="AG569" i="23" s="1"/>
  <c r="AH569" i="23" s="1"/>
  <c r="AE210" i="23"/>
  <c r="AC210" i="23"/>
  <c r="AG210" i="23" s="1"/>
  <c r="AH210" i="23" s="1"/>
  <c r="AE280" i="23"/>
  <c r="AC280" i="23"/>
  <c r="AG280" i="23" s="1"/>
  <c r="AH280" i="23" s="1"/>
  <c r="AE286" i="23"/>
  <c r="AC286" i="23"/>
  <c r="AG286" i="23" s="1"/>
  <c r="AH286" i="23" s="1"/>
  <c r="AE545" i="23"/>
  <c r="AC545" i="23"/>
  <c r="AG545" i="23" s="1"/>
  <c r="AH545" i="23" s="1"/>
  <c r="AE558" i="23"/>
  <c r="AC558" i="23"/>
  <c r="AG558" i="23" s="1"/>
  <c r="AH558" i="23" s="1"/>
  <c r="X257" i="23" a="1"/>
  <c r="X257" i="23" s="1"/>
  <c r="X327" i="23" a="1"/>
  <c r="X327" i="23" s="1"/>
  <c r="X117" i="23" a="1"/>
  <c r="X117" i="23" s="1"/>
  <c r="X397" i="23" a="1"/>
  <c r="X397" i="23" s="1"/>
  <c r="X572" i="23" a="1"/>
  <c r="X572" i="23" s="1"/>
  <c r="X502" i="23" a="1"/>
  <c r="X502" i="23" s="1"/>
  <c r="AE438" i="23"/>
  <c r="AC438" i="23"/>
  <c r="AG438" i="23" s="1"/>
  <c r="AH438" i="23" s="1"/>
  <c r="C81" i="2"/>
  <c r="C82" i="2" s="1"/>
  <c r="C101" i="2"/>
  <c r="C85" i="2"/>
  <c r="C86" i="2" s="1"/>
  <c r="C89" i="2"/>
  <c r="C90" i="2" s="1"/>
  <c r="B68" i="2"/>
  <c r="AC24" i="23"/>
  <c r="AG24" i="23" s="1"/>
  <c r="AH24" i="23" s="1"/>
  <c r="AE24" i="23"/>
  <c r="AB484" i="23"/>
  <c r="AB518" i="23"/>
  <c r="AB526" i="23"/>
  <c r="AE422" i="23" l="1"/>
  <c r="AC422" i="23"/>
  <c r="AG422" i="23" s="1"/>
  <c r="AH422" i="23" s="1"/>
  <c r="AC423" i="23"/>
  <c r="AG423" i="23" s="1"/>
  <c r="AH423" i="23" s="1"/>
  <c r="AE423" i="23"/>
  <c r="B69" i="2"/>
  <c r="L122" i="1" s="1"/>
  <c r="AC15" i="23"/>
  <c r="AG15" i="23" s="1"/>
  <c r="AH15" i="23" s="1"/>
  <c r="AE17" i="23"/>
  <c r="AC416" i="23"/>
  <c r="AG416" i="23" s="1"/>
  <c r="AH416" i="23" s="1"/>
  <c r="AC452" i="23"/>
  <c r="AG452" i="23" s="1"/>
  <c r="AH452" i="23" s="1"/>
  <c r="AD382" i="23"/>
  <c r="AE485" i="23"/>
  <c r="AE452" i="23"/>
  <c r="AC447" i="23"/>
  <c r="AG447" i="23" s="1"/>
  <c r="AH447" i="23" s="1"/>
  <c r="AC17" i="23"/>
  <c r="AG17" i="23" s="1"/>
  <c r="AH17" i="23" s="1"/>
  <c r="AE15" i="23"/>
  <c r="AE416" i="23"/>
  <c r="AE447" i="23"/>
  <c r="AE409" i="23"/>
  <c r="AE435" i="23"/>
  <c r="AC485" i="23"/>
  <c r="AG485" i="23" s="1"/>
  <c r="AH485" i="23" s="1"/>
  <c r="AF382" i="23"/>
  <c r="AC409" i="23"/>
  <c r="AG409" i="23" s="1"/>
  <c r="AH409" i="23" s="1"/>
  <c r="AC435" i="23"/>
  <c r="AE396" i="23"/>
  <c r="AF396" i="23" s="1"/>
  <c r="AC396" i="23"/>
  <c r="AG396" i="23" s="1"/>
  <c r="AH396" i="23" s="1"/>
  <c r="AD550" i="23"/>
  <c r="AF550" i="23"/>
  <c r="AD166" i="23"/>
  <c r="AF166" i="23"/>
  <c r="AF453" i="23"/>
  <c r="AD453" i="23"/>
  <c r="AD381" i="23"/>
  <c r="AF381" i="23"/>
  <c r="AF376" i="23"/>
  <c r="AD376" i="23"/>
  <c r="AD262" i="23"/>
  <c r="AF262" i="23"/>
  <c r="AD148" i="23"/>
  <c r="AF148" i="23"/>
  <c r="AD31" i="23"/>
  <c r="AF31" i="23"/>
  <c r="AF504" i="23"/>
  <c r="AC494" i="23"/>
  <c r="AG494" i="23" s="1"/>
  <c r="AH494" i="23" s="1"/>
  <c r="AE494" i="23"/>
  <c r="AD426" i="23"/>
  <c r="AF554" i="23"/>
  <c r="AC464" i="23"/>
  <c r="AG464" i="23" s="1"/>
  <c r="AH464" i="23" s="1"/>
  <c r="E77" i="2"/>
  <c r="E78" i="2" s="1"/>
  <c r="AE464" i="23"/>
  <c r="AE386" i="23"/>
  <c r="AC386" i="23"/>
  <c r="AG386" i="23" s="1"/>
  <c r="AH386" i="23" s="1"/>
  <c r="E79" i="2"/>
  <c r="AE516" i="23"/>
  <c r="AC516" i="23"/>
  <c r="AG516" i="23" s="1"/>
  <c r="AH516" i="23" s="1"/>
  <c r="AE128" i="23"/>
  <c r="AC128" i="23"/>
  <c r="AG128" i="23" s="1"/>
  <c r="AH128" i="23" s="1"/>
  <c r="AE30" i="23"/>
  <c r="AC40" i="23"/>
  <c r="AG40" i="23" s="1"/>
  <c r="AH40" i="23" s="1"/>
  <c r="AE40" i="23"/>
  <c r="AC373" i="23"/>
  <c r="AG373" i="23" s="1"/>
  <c r="AH373" i="23" s="1"/>
  <c r="AE373" i="23"/>
  <c r="AC136" i="23"/>
  <c r="AG136" i="23" s="1"/>
  <c r="AH136" i="23" s="1"/>
  <c r="AE136" i="23"/>
  <c r="AC30" i="23"/>
  <c r="AG30" i="23" s="1"/>
  <c r="AH30" i="23" s="1"/>
  <c r="AE202" i="23"/>
  <c r="AC202" i="23"/>
  <c r="AG202" i="23" s="1"/>
  <c r="AH202" i="23" s="1"/>
  <c r="AD554" i="23"/>
  <c r="AC554" i="23"/>
  <c r="AG554" i="23" s="1"/>
  <c r="AH554" i="23" s="1"/>
  <c r="AC394" i="23"/>
  <c r="AG394" i="23" s="1"/>
  <c r="AH394" i="23" s="1"/>
  <c r="AE394" i="23"/>
  <c r="AE490" i="23"/>
  <c r="AC490" i="23"/>
  <c r="AG490" i="23" s="1"/>
  <c r="AH490" i="23" s="1"/>
  <c r="AF106" i="23"/>
  <c r="AD106" i="23"/>
  <c r="AF426" i="23"/>
  <c r="AF508" i="23"/>
  <c r="AD508" i="23"/>
  <c r="AC430" i="23"/>
  <c r="AG430" i="23" s="1"/>
  <c r="AH430" i="23" s="1"/>
  <c r="AE430" i="23"/>
  <c r="AC470" i="23"/>
  <c r="AG470" i="23" s="1"/>
  <c r="AH470" i="23" s="1"/>
  <c r="AD422" i="23"/>
  <c r="AE470" i="23"/>
  <c r="AF422" i="23"/>
  <c r="AE124" i="23"/>
  <c r="AC124" i="23"/>
  <c r="AG124" i="23" s="1"/>
  <c r="AH124" i="23" s="1"/>
  <c r="AF170" i="23"/>
  <c r="AD170" i="23"/>
  <c r="AC498" i="23"/>
  <c r="AG498" i="23" s="1"/>
  <c r="AH498" i="23" s="1"/>
  <c r="AE498" i="23"/>
  <c r="AE391" i="23"/>
  <c r="AC288" i="23"/>
  <c r="AG288" i="23" s="1"/>
  <c r="AH288" i="23" s="1"/>
  <c r="AE288" i="23"/>
  <c r="AC234" i="23"/>
  <c r="AG234" i="23" s="1"/>
  <c r="AH234" i="23" s="1"/>
  <c r="AE234" i="23"/>
  <c r="AC164" i="23"/>
  <c r="AG164" i="23" s="1"/>
  <c r="AH164" i="23" s="1"/>
  <c r="AE164" i="23"/>
  <c r="AC525" i="23"/>
  <c r="AG525" i="23" s="1"/>
  <c r="AH525" i="23" s="1"/>
  <c r="AE525" i="23"/>
  <c r="AE568" i="23"/>
  <c r="AC568" i="23"/>
  <c r="AG568" i="23" s="1"/>
  <c r="AH568" i="23" s="1"/>
  <c r="AC132" i="23"/>
  <c r="AG132" i="23" s="1"/>
  <c r="AH132" i="23" s="1"/>
  <c r="AE132" i="23"/>
  <c r="AC408" i="23"/>
  <c r="AG408" i="23" s="1"/>
  <c r="AH408" i="23" s="1"/>
  <c r="AE408" i="23"/>
  <c r="AC102" i="23"/>
  <c r="AG102" i="23" s="1"/>
  <c r="AH102" i="23" s="1"/>
  <c r="AE102" i="23"/>
  <c r="AF492" i="23"/>
  <c r="AD492" i="23"/>
  <c r="AD110" i="23"/>
  <c r="AF110" i="23"/>
  <c r="AD437" i="23"/>
  <c r="AF544" i="23"/>
  <c r="AD544" i="23"/>
  <c r="AF414" i="23"/>
  <c r="AD414" i="23"/>
  <c r="AE530" i="23"/>
  <c r="AC530" i="23"/>
  <c r="AG530" i="23" s="1"/>
  <c r="AH530" i="23" s="1"/>
  <c r="AC391" i="23"/>
  <c r="AG391" i="23" s="1"/>
  <c r="AH391" i="23" s="1"/>
  <c r="AD346" i="23"/>
  <c r="AD532" i="23"/>
  <c r="AE158" i="23"/>
  <c r="AC158" i="23"/>
  <c r="AG158" i="23" s="1"/>
  <c r="AH158" i="23" s="1"/>
  <c r="AF346" i="23"/>
  <c r="AF532" i="23"/>
  <c r="AF232" i="23"/>
  <c r="AD232" i="23"/>
  <c r="AF520" i="23"/>
  <c r="AD520" i="23"/>
  <c r="AF354" i="23"/>
  <c r="AD354" i="23"/>
  <c r="AF314" i="23"/>
  <c r="AD314" i="23"/>
  <c r="AF437" i="23"/>
  <c r="AD504" i="23"/>
  <c r="AD450" i="23"/>
  <c r="AF450" i="23"/>
  <c r="AD98" i="23"/>
  <c r="AF98" i="23"/>
  <c r="AF318" i="23"/>
  <c r="AD318" i="23"/>
  <c r="AD114" i="23"/>
  <c r="AF114" i="23"/>
  <c r="AC418" i="23"/>
  <c r="AG418" i="23" s="1"/>
  <c r="AH418" i="23" s="1"/>
  <c r="AE418" i="23"/>
  <c r="AC406" i="23"/>
  <c r="AG406" i="23" s="1"/>
  <c r="AH406" i="23" s="1"/>
  <c r="AE406" i="23"/>
  <c r="AC512" i="23"/>
  <c r="AG512" i="23" s="1"/>
  <c r="AH512" i="23" s="1"/>
  <c r="AE512" i="23"/>
  <c r="AC528" i="23"/>
  <c r="AG528" i="23" s="1"/>
  <c r="AH528" i="23" s="1"/>
  <c r="AE528" i="23"/>
  <c r="AE524" i="23"/>
  <c r="AC524" i="23"/>
  <c r="AG524" i="23" s="1"/>
  <c r="AH524" i="23" s="1"/>
  <c r="AC91" i="23"/>
  <c r="AG91" i="23" s="1"/>
  <c r="AH91" i="23" s="1"/>
  <c r="AE91" i="23"/>
  <c r="AC477" i="23"/>
  <c r="AE477" i="23"/>
  <c r="AD542" i="23"/>
  <c r="AF542" i="23"/>
  <c r="AD162" i="23"/>
  <c r="AF162" i="23"/>
  <c r="AE329" i="23"/>
  <c r="AC395" i="23"/>
  <c r="AG395" i="23" s="1"/>
  <c r="AH395" i="23" s="1"/>
  <c r="AE395" i="23"/>
  <c r="AF480" i="23"/>
  <c r="AD480" i="23"/>
  <c r="AF569" i="23"/>
  <c r="AD569" i="23"/>
  <c r="AF210" i="23"/>
  <c r="AD210" i="23"/>
  <c r="AD461" i="23"/>
  <c r="AF461" i="23"/>
  <c r="AD339" i="23"/>
  <c r="AF339" i="23"/>
  <c r="AD482" i="23"/>
  <c r="AF482" i="23"/>
  <c r="AD380" i="23"/>
  <c r="AF380" i="23"/>
  <c r="AD228" i="23"/>
  <c r="AF228" i="23"/>
  <c r="AF330" i="23"/>
  <c r="AD330" i="23"/>
  <c r="AD240" i="23"/>
  <c r="AF240" i="23"/>
  <c r="AD312" i="23"/>
  <c r="AF312" i="23"/>
  <c r="AD38" i="23"/>
  <c r="AF38" i="23"/>
  <c r="AC531" i="23"/>
  <c r="AG531" i="23" s="1"/>
  <c r="AH531" i="23" s="1"/>
  <c r="AE531" i="23"/>
  <c r="AF120" i="23"/>
  <c r="AD120" i="23"/>
  <c r="AF545" i="23"/>
  <c r="AD545" i="23"/>
  <c r="AE429" i="23"/>
  <c r="AC429" i="23"/>
  <c r="AG429" i="23" s="1"/>
  <c r="AH429" i="23" s="1"/>
  <c r="AC519" i="23"/>
  <c r="AG519" i="23" s="1"/>
  <c r="AH519" i="23" s="1"/>
  <c r="AE519" i="23"/>
  <c r="AC553" i="23"/>
  <c r="AG553" i="23" s="1"/>
  <c r="AH553" i="23" s="1"/>
  <c r="AE553" i="23"/>
  <c r="AC247" i="23"/>
  <c r="AG247" i="23" s="1"/>
  <c r="AH247" i="23" s="1"/>
  <c r="AE247" i="23"/>
  <c r="AC289" i="23"/>
  <c r="AG289" i="23" s="1"/>
  <c r="AH289" i="23" s="1"/>
  <c r="AE289" i="23"/>
  <c r="AC333" i="23"/>
  <c r="AG333" i="23" s="1"/>
  <c r="AH333" i="23" s="1"/>
  <c r="AE333" i="23"/>
  <c r="AC371" i="23"/>
  <c r="AE371" i="23"/>
  <c r="AC451" i="23"/>
  <c r="AG451" i="23" s="1"/>
  <c r="AH451" i="23" s="1"/>
  <c r="AE451" i="23"/>
  <c r="AC493" i="23"/>
  <c r="AG493" i="23" s="1"/>
  <c r="AH493" i="23" s="1"/>
  <c r="AE493" i="23"/>
  <c r="AC507" i="23"/>
  <c r="AG507" i="23" s="1"/>
  <c r="AH507" i="23" s="1"/>
  <c r="AE507" i="23"/>
  <c r="AC86" i="23"/>
  <c r="AG86" i="23" s="1"/>
  <c r="AH86" i="23" s="1"/>
  <c r="AE86" i="23"/>
  <c r="AC90" i="23"/>
  <c r="AG90" i="23" s="1"/>
  <c r="AH90" i="23" s="1"/>
  <c r="AE90" i="23"/>
  <c r="AC208" i="23"/>
  <c r="AG208" i="23" s="1"/>
  <c r="AH208" i="23" s="1"/>
  <c r="AE208" i="23"/>
  <c r="AC564" i="23"/>
  <c r="AG564" i="23" s="1"/>
  <c r="AH564" i="23" s="1"/>
  <c r="AE564" i="23"/>
  <c r="AC95" i="23"/>
  <c r="AG95" i="23" s="1"/>
  <c r="AH95" i="23" s="1"/>
  <c r="AE95" i="23"/>
  <c r="AC99" i="23"/>
  <c r="AG99" i="23" s="1"/>
  <c r="AH99" i="23" s="1"/>
  <c r="AE99" i="23"/>
  <c r="AC107" i="23"/>
  <c r="AG107" i="23" s="1"/>
  <c r="AH107" i="23" s="1"/>
  <c r="AE107" i="23"/>
  <c r="AC213" i="23"/>
  <c r="AG213" i="23" s="1"/>
  <c r="AH213" i="23" s="1"/>
  <c r="AE213" i="23"/>
  <c r="AC221" i="23"/>
  <c r="AG221" i="23" s="1"/>
  <c r="AH221" i="23" s="1"/>
  <c r="AE221" i="23"/>
  <c r="AF221" i="23" s="1"/>
  <c r="AC311" i="23"/>
  <c r="AG311" i="23" s="1"/>
  <c r="AH311" i="23" s="1"/>
  <c r="AE311" i="23"/>
  <c r="AC329" i="23"/>
  <c r="AF25" i="23"/>
  <c r="AD25" i="23"/>
  <c r="AF369" i="23"/>
  <c r="AD369" i="23"/>
  <c r="AD270" i="23"/>
  <c r="AF270" i="23"/>
  <c r="AD364" i="23"/>
  <c r="AF364" i="23"/>
  <c r="AF368" i="23"/>
  <c r="AD368" i="23"/>
  <c r="AD340" i="23"/>
  <c r="AF340" i="23"/>
  <c r="AE27" i="23"/>
  <c r="AC27" i="23"/>
  <c r="AG27" i="23" s="1"/>
  <c r="AH27" i="23" s="1"/>
  <c r="AE45" i="23"/>
  <c r="AC45" i="23"/>
  <c r="AG45" i="23" s="1"/>
  <c r="AH45" i="23" s="1"/>
  <c r="AC37" i="23"/>
  <c r="AG37" i="23" s="1"/>
  <c r="AH37" i="23" s="1"/>
  <c r="AE37" i="23"/>
  <c r="AE20" i="23"/>
  <c r="AC20" i="23"/>
  <c r="AG20" i="23" s="1"/>
  <c r="AH20" i="23" s="1"/>
  <c r="AE21" i="23"/>
  <c r="AC21" i="23"/>
  <c r="AG21" i="23" s="1"/>
  <c r="AH21" i="23" s="1"/>
  <c r="AE41" i="23"/>
  <c r="AC41" i="23"/>
  <c r="AG41" i="23" s="1"/>
  <c r="AH41" i="23" s="1"/>
  <c r="AE18" i="23"/>
  <c r="AC18" i="23"/>
  <c r="AG18" i="23" s="1"/>
  <c r="AH18" i="23" s="1"/>
  <c r="AE34" i="23"/>
  <c r="AC34" i="23"/>
  <c r="AG34" i="23" s="1"/>
  <c r="AH34" i="23" s="1"/>
  <c r="AE42" i="23"/>
  <c r="AC42" i="23"/>
  <c r="AG42" i="23" s="1"/>
  <c r="AH42" i="23" s="1"/>
  <c r="AE46" i="23"/>
  <c r="AF46" i="23" s="1"/>
  <c r="AC46" i="23"/>
  <c r="AG46" i="23" s="1"/>
  <c r="AH46" i="23" s="1"/>
  <c r="AE19" i="23"/>
  <c r="AC19" i="23"/>
  <c r="AG19" i="23" s="1"/>
  <c r="AH19" i="23" s="1"/>
  <c r="AE26" i="23"/>
  <c r="AC26" i="23"/>
  <c r="AG26" i="23" s="1"/>
  <c r="AH26" i="23" s="1"/>
  <c r="AE28" i="23"/>
  <c r="AC28" i="23"/>
  <c r="AG28" i="23" s="1"/>
  <c r="AH28" i="23" s="1"/>
  <c r="AE32" i="23"/>
  <c r="AC32" i="23"/>
  <c r="AG32" i="23" s="1"/>
  <c r="AH32" i="23" s="1"/>
  <c r="AC39" i="23"/>
  <c r="AG39" i="23" s="1"/>
  <c r="AH39" i="23" s="1"/>
  <c r="AE39" i="23"/>
  <c r="AC35" i="23"/>
  <c r="AG35" i="23" s="1"/>
  <c r="AH35" i="23" s="1"/>
  <c r="AE35" i="23"/>
  <c r="AE36" i="23"/>
  <c r="AC36" i="23"/>
  <c r="AG36" i="23" s="1"/>
  <c r="AH36" i="23" s="1"/>
  <c r="AE33" i="23"/>
  <c r="AC33" i="23"/>
  <c r="AG33" i="23" s="1"/>
  <c r="AH33" i="23" s="1"/>
  <c r="AE43" i="23"/>
  <c r="AC43" i="23"/>
  <c r="AG43" i="23" s="1"/>
  <c r="AH43" i="23" s="1"/>
  <c r="AE44" i="23"/>
  <c r="AC44" i="23"/>
  <c r="AG44" i="23" s="1"/>
  <c r="AH44" i="23" s="1"/>
  <c r="AE22" i="23"/>
  <c r="AC22" i="23"/>
  <c r="AG22" i="23" s="1"/>
  <c r="AH22" i="23" s="1"/>
  <c r="AE533" i="23"/>
  <c r="AC533" i="23"/>
  <c r="AG533" i="23" s="1"/>
  <c r="AH533" i="23" s="1"/>
  <c r="AE529" i="23"/>
  <c r="AC529" i="23"/>
  <c r="AG529" i="23" s="1"/>
  <c r="AH529" i="23" s="1"/>
  <c r="AE521" i="23"/>
  <c r="AC521" i="23"/>
  <c r="AG521" i="23" s="1"/>
  <c r="AH521" i="23" s="1"/>
  <c r="AE517" i="23"/>
  <c r="AC517" i="23"/>
  <c r="AG517" i="23" s="1"/>
  <c r="AH517" i="23" s="1"/>
  <c r="AE513" i="23"/>
  <c r="AC513" i="23"/>
  <c r="AG513" i="23" s="1"/>
  <c r="AH513" i="23" s="1"/>
  <c r="AE509" i="23"/>
  <c r="AC509" i="23"/>
  <c r="AG509" i="23" s="1"/>
  <c r="AH509" i="23" s="1"/>
  <c r="AC483" i="23"/>
  <c r="AG483" i="23" s="1"/>
  <c r="AH483" i="23" s="1"/>
  <c r="AE483" i="23"/>
  <c r="AE479" i="23"/>
  <c r="AC479" i="23"/>
  <c r="AG479" i="23" s="1"/>
  <c r="AH479" i="23" s="1"/>
  <c r="AC399" i="23"/>
  <c r="AG399" i="23" s="1"/>
  <c r="AH399" i="23" s="1"/>
  <c r="AE399" i="23"/>
  <c r="AE393" i="23"/>
  <c r="AC393" i="23"/>
  <c r="AG393" i="23" s="1"/>
  <c r="AH393" i="23" s="1"/>
  <c r="AE365" i="23"/>
  <c r="AC365" i="23"/>
  <c r="AG365" i="23" s="1"/>
  <c r="AH365" i="23" s="1"/>
  <c r="AE359" i="23"/>
  <c r="AC359" i="23"/>
  <c r="AG359" i="23" s="1"/>
  <c r="AH359" i="23" s="1"/>
  <c r="AE282" i="23"/>
  <c r="AC282" i="23"/>
  <c r="AG282" i="23" s="1"/>
  <c r="AH282" i="23" s="1"/>
  <c r="AE296" i="23"/>
  <c r="AC296" i="23"/>
  <c r="AG296" i="23" s="1"/>
  <c r="AH296" i="23" s="1"/>
  <c r="AE308" i="23"/>
  <c r="AC308" i="23"/>
  <c r="AG308" i="23" s="1"/>
  <c r="AH308" i="23" s="1"/>
  <c r="AE350" i="23"/>
  <c r="AC350" i="23"/>
  <c r="AG350" i="23" s="1"/>
  <c r="AH350" i="23" s="1"/>
  <c r="AE352" i="23"/>
  <c r="AC352" i="23"/>
  <c r="AG352" i="23" s="1"/>
  <c r="AH352" i="23" s="1"/>
  <c r="AE366" i="23"/>
  <c r="AC366" i="23"/>
  <c r="AG366" i="23" s="1"/>
  <c r="AH366" i="23" s="1"/>
  <c r="AC434" i="23"/>
  <c r="AG434" i="23" s="1"/>
  <c r="AH434" i="23" s="1"/>
  <c r="AE434" i="23"/>
  <c r="AC556" i="23"/>
  <c r="AG556" i="23" s="1"/>
  <c r="AH556" i="23" s="1"/>
  <c r="AE556" i="23"/>
  <c r="AC186" i="23"/>
  <c r="AG186" i="23" s="1"/>
  <c r="AH186" i="23" s="1"/>
  <c r="AE186" i="23"/>
  <c r="AF186" i="23" s="1"/>
  <c r="AE527" i="23"/>
  <c r="AC527" i="23"/>
  <c r="AG527" i="23" s="1"/>
  <c r="AH527" i="23" s="1"/>
  <c r="AC515" i="23"/>
  <c r="AG515" i="23" s="1"/>
  <c r="AH515" i="23" s="1"/>
  <c r="AE515" i="23"/>
  <c r="AE501" i="23"/>
  <c r="AF501" i="23" s="1"/>
  <c r="AC501" i="23"/>
  <c r="AG501" i="23" s="1"/>
  <c r="AH501" i="23" s="1"/>
  <c r="AC481" i="23"/>
  <c r="AG481" i="23" s="1"/>
  <c r="AH481" i="23" s="1"/>
  <c r="AE481" i="23"/>
  <c r="AE473" i="23"/>
  <c r="AC473" i="23"/>
  <c r="AG473" i="23" s="1"/>
  <c r="AH473" i="23" s="1"/>
  <c r="AE443" i="23"/>
  <c r="AC443" i="23"/>
  <c r="AG443" i="23" s="1"/>
  <c r="AH443" i="23" s="1"/>
  <c r="AE299" i="23"/>
  <c r="AC299" i="23"/>
  <c r="AG299" i="23" s="1"/>
  <c r="AH299" i="23" s="1"/>
  <c r="AE285" i="23"/>
  <c r="AC285" i="23"/>
  <c r="AG285" i="23" s="1"/>
  <c r="AH285" i="23" s="1"/>
  <c r="AE281" i="23"/>
  <c r="AC281" i="23"/>
  <c r="AG281" i="23" s="1"/>
  <c r="AH281" i="23" s="1"/>
  <c r="AE261" i="23"/>
  <c r="AC261" i="23"/>
  <c r="AG261" i="23" s="1"/>
  <c r="AH261" i="23" s="1"/>
  <c r="AE251" i="23"/>
  <c r="AC251" i="23"/>
  <c r="AG251" i="23" s="1"/>
  <c r="AH251" i="23" s="1"/>
  <c r="AC243" i="23"/>
  <c r="AG243" i="23" s="1"/>
  <c r="AH243" i="23" s="1"/>
  <c r="AE243" i="23"/>
  <c r="AE239" i="23"/>
  <c r="AC239" i="23"/>
  <c r="AG239" i="23" s="1"/>
  <c r="AH239" i="23" s="1"/>
  <c r="AE217" i="23"/>
  <c r="AC217" i="23"/>
  <c r="AG217" i="23" s="1"/>
  <c r="AH217" i="23" s="1"/>
  <c r="AE193" i="23"/>
  <c r="AC193" i="23"/>
  <c r="AG193" i="23" s="1"/>
  <c r="AH193" i="23" s="1"/>
  <c r="AE179" i="23"/>
  <c r="AC179" i="23"/>
  <c r="AG179" i="23" s="1"/>
  <c r="AH179" i="23" s="1"/>
  <c r="AC175" i="23"/>
  <c r="AG175" i="23" s="1"/>
  <c r="AH175" i="23" s="1"/>
  <c r="AE175" i="23"/>
  <c r="AE171" i="23"/>
  <c r="AC171" i="23"/>
  <c r="AG171" i="23" s="1"/>
  <c r="AH171" i="23" s="1"/>
  <c r="AE167" i="23"/>
  <c r="AC167" i="23"/>
  <c r="AG167" i="23" s="1"/>
  <c r="AH167" i="23" s="1"/>
  <c r="AC163" i="23"/>
  <c r="AG163" i="23" s="1"/>
  <c r="AH163" i="23" s="1"/>
  <c r="AE163" i="23"/>
  <c r="AE155" i="23"/>
  <c r="AC155" i="23"/>
  <c r="AE149" i="23"/>
  <c r="AC149" i="23"/>
  <c r="AG149" i="23" s="1"/>
  <c r="AH149" i="23" s="1"/>
  <c r="AC145" i="23"/>
  <c r="AG145" i="23" s="1"/>
  <c r="AH145" i="23" s="1"/>
  <c r="AE145" i="23"/>
  <c r="AE141" i="23"/>
  <c r="AC141" i="23"/>
  <c r="AG141" i="23" s="1"/>
  <c r="AH141" i="23" s="1"/>
  <c r="AE121" i="23"/>
  <c r="AC121" i="23"/>
  <c r="AG121" i="23" s="1"/>
  <c r="AH121" i="23" s="1"/>
  <c r="AE115" i="23"/>
  <c r="AC115" i="23"/>
  <c r="AG115" i="23" s="1"/>
  <c r="AH115" i="23" s="1"/>
  <c r="AE111" i="23"/>
  <c r="AC111" i="23"/>
  <c r="AG111" i="23" s="1"/>
  <c r="AH111" i="23" s="1"/>
  <c r="AE103" i="23"/>
  <c r="AC103" i="23"/>
  <c r="AG103" i="23" s="1"/>
  <c r="AH103" i="23" s="1"/>
  <c r="AE81" i="23"/>
  <c r="AF81" i="23" s="1"/>
  <c r="AF82" i="23" s="1" a="1"/>
  <c r="AF82" i="23" s="1"/>
  <c r="AC81" i="23"/>
  <c r="AE514" i="23"/>
  <c r="AC514" i="23"/>
  <c r="AG514" i="23" s="1"/>
  <c r="AH514" i="23" s="1"/>
  <c r="AE458" i="23"/>
  <c r="AC458" i="23"/>
  <c r="AG458" i="23" s="1"/>
  <c r="AH458" i="23" s="1"/>
  <c r="AC442" i="23"/>
  <c r="AG442" i="23" s="1"/>
  <c r="AH442" i="23" s="1"/>
  <c r="AE442" i="23"/>
  <c r="AE428" i="23"/>
  <c r="AC428" i="23"/>
  <c r="AG428" i="23" s="1"/>
  <c r="AH428" i="23" s="1"/>
  <c r="AC383" i="23"/>
  <c r="AG383" i="23" s="1"/>
  <c r="AH383" i="23" s="1"/>
  <c r="AE383" i="23"/>
  <c r="AE375" i="23"/>
  <c r="AC375" i="23"/>
  <c r="AG375" i="23" s="1"/>
  <c r="AH375" i="23" s="1"/>
  <c r="AC367" i="23"/>
  <c r="AG367" i="23" s="1"/>
  <c r="AH367" i="23" s="1"/>
  <c r="AE367" i="23"/>
  <c r="AE361" i="23"/>
  <c r="AF361" i="23" s="1"/>
  <c r="AC361" i="23"/>
  <c r="AG361" i="23" s="1"/>
  <c r="AH361" i="23" s="1"/>
  <c r="AE412" i="23"/>
  <c r="AC412" i="23"/>
  <c r="AG412" i="23" s="1"/>
  <c r="AH412" i="23" s="1"/>
  <c r="AC344" i="23"/>
  <c r="AG344" i="23" s="1"/>
  <c r="AH344" i="23" s="1"/>
  <c r="AE344" i="23"/>
  <c r="AE570" i="23"/>
  <c r="AC570" i="23"/>
  <c r="AG570" i="23" s="1"/>
  <c r="AH570" i="23" s="1"/>
  <c r="AE388" i="23"/>
  <c r="AC388" i="23"/>
  <c r="AG388" i="23" s="1"/>
  <c r="AH388" i="23" s="1"/>
  <c r="AE218" i="23"/>
  <c r="AC218" i="23"/>
  <c r="AG218" i="23" s="1"/>
  <c r="AH218" i="23" s="1"/>
  <c r="AE351" i="23"/>
  <c r="AC351" i="23"/>
  <c r="AG351" i="23" s="1"/>
  <c r="AH351" i="23" s="1"/>
  <c r="AE384" i="23"/>
  <c r="AC384" i="23"/>
  <c r="AG384" i="23" s="1"/>
  <c r="AH384" i="23" s="1"/>
  <c r="AE194" i="23"/>
  <c r="AC194" i="23"/>
  <c r="AG194" i="23" s="1"/>
  <c r="AH194" i="23" s="1"/>
  <c r="AC539" i="23"/>
  <c r="AG539" i="23" s="1"/>
  <c r="AH539" i="23" s="1"/>
  <c r="AE539" i="23"/>
  <c r="AC224" i="23"/>
  <c r="AG224" i="23" s="1"/>
  <c r="AH224" i="23" s="1"/>
  <c r="AE224" i="23"/>
  <c r="AE522" i="23"/>
  <c r="AC522" i="23"/>
  <c r="AG522" i="23" s="1"/>
  <c r="AH522" i="23" s="1"/>
  <c r="AE471" i="23"/>
  <c r="AC471" i="23"/>
  <c r="AG471" i="23" s="1"/>
  <c r="AH471" i="23" s="1"/>
  <c r="AE548" i="23"/>
  <c r="AC548" i="23"/>
  <c r="AG548" i="23" s="1"/>
  <c r="AH548" i="23" s="1"/>
  <c r="AC496" i="23"/>
  <c r="AG496" i="23" s="1"/>
  <c r="AH496" i="23" s="1"/>
  <c r="AE496" i="23"/>
  <c r="AC184" i="23"/>
  <c r="AG184" i="23" s="1"/>
  <c r="AH184" i="23" s="1"/>
  <c r="AE184" i="23"/>
  <c r="AE445" i="23"/>
  <c r="AC445" i="23"/>
  <c r="AG445" i="23" s="1"/>
  <c r="AH445" i="23" s="1"/>
  <c r="AC266" i="23"/>
  <c r="AG266" i="23" s="1"/>
  <c r="AH266" i="23" s="1"/>
  <c r="AE266" i="23"/>
  <c r="AE355" i="23"/>
  <c r="AC355" i="23"/>
  <c r="AG355" i="23" s="1"/>
  <c r="AH355" i="23" s="1"/>
  <c r="AE441" i="23"/>
  <c r="AC441" i="23"/>
  <c r="AG441" i="23" s="1"/>
  <c r="AH441" i="23" s="1"/>
  <c r="AE474" i="23"/>
  <c r="AC474" i="23"/>
  <c r="AG474" i="23" s="1"/>
  <c r="AH474" i="23" s="1"/>
  <c r="AE460" i="23"/>
  <c r="AC460" i="23"/>
  <c r="AG460" i="23" s="1"/>
  <c r="AH460" i="23" s="1"/>
  <c r="AE456" i="23"/>
  <c r="AC456" i="23"/>
  <c r="AG456" i="23" s="1"/>
  <c r="AH456" i="23" s="1"/>
  <c r="AE448" i="23"/>
  <c r="AC448" i="23"/>
  <c r="AG448" i="23" s="1"/>
  <c r="AH448" i="23" s="1"/>
  <c r="AE440" i="23"/>
  <c r="AC440" i="23"/>
  <c r="AG440" i="23" s="1"/>
  <c r="AH440" i="23" s="1"/>
  <c r="AE559" i="23"/>
  <c r="AC559" i="23"/>
  <c r="AG559" i="23" s="1"/>
  <c r="AH559" i="23" s="1"/>
  <c r="AE505" i="23"/>
  <c r="AC505" i="23"/>
  <c r="AG505" i="23" s="1"/>
  <c r="AH505" i="23" s="1"/>
  <c r="AE358" i="23"/>
  <c r="AC358" i="23"/>
  <c r="AG358" i="23" s="1"/>
  <c r="AH358" i="23" s="1"/>
  <c r="AE567" i="23"/>
  <c r="AC567" i="23"/>
  <c r="AG567" i="23" s="1"/>
  <c r="AH567" i="23" s="1"/>
  <c r="AE475" i="23"/>
  <c r="AC475" i="23"/>
  <c r="AG475" i="23" s="1"/>
  <c r="AH475" i="23" s="1"/>
  <c r="AE446" i="23"/>
  <c r="AC446" i="23"/>
  <c r="AG446" i="23" s="1"/>
  <c r="AH446" i="23" s="1"/>
  <c r="AC552" i="23"/>
  <c r="AG552" i="23" s="1"/>
  <c r="AH552" i="23" s="1"/>
  <c r="AE552" i="23"/>
  <c r="AE495" i="23"/>
  <c r="AC495" i="23"/>
  <c r="AG495" i="23" s="1"/>
  <c r="AH495" i="23" s="1"/>
  <c r="AE543" i="23"/>
  <c r="AC543" i="23"/>
  <c r="AG543" i="23" s="1"/>
  <c r="AH543" i="23" s="1"/>
  <c r="AE214" i="23"/>
  <c r="AC214" i="23"/>
  <c r="AG214" i="23" s="1"/>
  <c r="AH214" i="23" s="1"/>
  <c r="AC236" i="23"/>
  <c r="AG236" i="23" s="1"/>
  <c r="AH236" i="23" s="1"/>
  <c r="AE236" i="23"/>
  <c r="AE180" i="23"/>
  <c r="AC180" i="23"/>
  <c r="AG180" i="23" s="1"/>
  <c r="AH180" i="23" s="1"/>
  <c r="AE176" i="23"/>
  <c r="AC176" i="23"/>
  <c r="AG176" i="23" s="1"/>
  <c r="AH176" i="23" s="1"/>
  <c r="AE331" i="23"/>
  <c r="AC331" i="23"/>
  <c r="AG331" i="23" s="1"/>
  <c r="AH331" i="23" s="1"/>
  <c r="AC457" i="23"/>
  <c r="AG457" i="23" s="1"/>
  <c r="AH457" i="23" s="1"/>
  <c r="AE457" i="23"/>
  <c r="AE324" i="23"/>
  <c r="AC324" i="23"/>
  <c r="AG324" i="23" s="1"/>
  <c r="AH324" i="23" s="1"/>
  <c r="AE385" i="23"/>
  <c r="AC385" i="23"/>
  <c r="AG385" i="23" s="1"/>
  <c r="AH385" i="23" s="1"/>
  <c r="AC420" i="23"/>
  <c r="AG420" i="23" s="1"/>
  <c r="AH420" i="23" s="1"/>
  <c r="AE420" i="23"/>
  <c r="AE242" i="23"/>
  <c r="AC242" i="23"/>
  <c r="AG242" i="23" s="1"/>
  <c r="AH242" i="23" s="1"/>
  <c r="AE541" i="23"/>
  <c r="AC541" i="23"/>
  <c r="AG541" i="23" s="1"/>
  <c r="AH541" i="23" s="1"/>
  <c r="AC511" i="23"/>
  <c r="AG511" i="23" s="1"/>
  <c r="AH511" i="23" s="1"/>
  <c r="AE511" i="23"/>
  <c r="AE497" i="23"/>
  <c r="AC497" i="23"/>
  <c r="AG497" i="23" s="1"/>
  <c r="AH497" i="23" s="1"/>
  <c r="AE489" i="23"/>
  <c r="AC489" i="23"/>
  <c r="AG489" i="23" s="1"/>
  <c r="AH489" i="23" s="1"/>
  <c r="AE469" i="23"/>
  <c r="AC469" i="23"/>
  <c r="AG469" i="23" s="1"/>
  <c r="AH469" i="23" s="1"/>
  <c r="AE463" i="23"/>
  <c r="AC463" i="23"/>
  <c r="AG463" i="23" s="1"/>
  <c r="AH463" i="23" s="1"/>
  <c r="AE439" i="23"/>
  <c r="AC439" i="23"/>
  <c r="AG439" i="23" s="1"/>
  <c r="AH439" i="23" s="1"/>
  <c r="AE417" i="23"/>
  <c r="AC417" i="23"/>
  <c r="AG417" i="23" s="1"/>
  <c r="AH417" i="23" s="1"/>
  <c r="AE413" i="23"/>
  <c r="AC413" i="23"/>
  <c r="AG413" i="23" s="1"/>
  <c r="AH413" i="23" s="1"/>
  <c r="AE401" i="23"/>
  <c r="AC401" i="23"/>
  <c r="AG401" i="23" s="1"/>
  <c r="AH401" i="23" s="1"/>
  <c r="AE260" i="23"/>
  <c r="AC260" i="23"/>
  <c r="AG260" i="23" s="1"/>
  <c r="AH260" i="23" s="1"/>
  <c r="AC304" i="23"/>
  <c r="AG304" i="23" s="1"/>
  <c r="AH304" i="23" s="1"/>
  <c r="AE304" i="23"/>
  <c r="AC248" i="23"/>
  <c r="AG248" i="23" s="1"/>
  <c r="AH248" i="23" s="1"/>
  <c r="AE248" i="23"/>
  <c r="AE407" i="23"/>
  <c r="AC407" i="23"/>
  <c r="AG407" i="23" s="1"/>
  <c r="AH407" i="23" s="1"/>
  <c r="AE244" i="23"/>
  <c r="AC244" i="23"/>
  <c r="AG244" i="23" s="1"/>
  <c r="AH244" i="23" s="1"/>
  <c r="AE487" i="23"/>
  <c r="AC487" i="23"/>
  <c r="AG487" i="23" s="1"/>
  <c r="AH487" i="23" s="1"/>
  <c r="AE252" i="23"/>
  <c r="AC252" i="23"/>
  <c r="AG252" i="23" s="1"/>
  <c r="AH252" i="23" s="1"/>
  <c r="AC465" i="23"/>
  <c r="AG465" i="23" s="1"/>
  <c r="AH465" i="23" s="1"/>
  <c r="AE465" i="23"/>
  <c r="AE316" i="23"/>
  <c r="AC316" i="23"/>
  <c r="AG316" i="23" s="1"/>
  <c r="AH316" i="23" s="1"/>
  <c r="AE274" i="23"/>
  <c r="AC274" i="23"/>
  <c r="AG274" i="23" s="1"/>
  <c r="AH274" i="23" s="1"/>
  <c r="AE278" i="23"/>
  <c r="AC278" i="23"/>
  <c r="AG278" i="23" s="1"/>
  <c r="AH278" i="23" s="1"/>
  <c r="AE534" i="23"/>
  <c r="AC534" i="23"/>
  <c r="AG534" i="23" s="1"/>
  <c r="AH534" i="23" s="1"/>
  <c r="AC182" i="23"/>
  <c r="AG182" i="23" s="1"/>
  <c r="AH182" i="23" s="1"/>
  <c r="AE182" i="23"/>
  <c r="AE144" i="23"/>
  <c r="AC144" i="23"/>
  <c r="AG144" i="23" s="1"/>
  <c r="AH144" i="23" s="1"/>
  <c r="AE410" i="23"/>
  <c r="AC410" i="23"/>
  <c r="AG410" i="23" s="1"/>
  <c r="AH410" i="23" s="1"/>
  <c r="AE290" i="23"/>
  <c r="AC290" i="23"/>
  <c r="AG290" i="23" s="1"/>
  <c r="AH290" i="23" s="1"/>
  <c r="AC540" i="23"/>
  <c r="AG540" i="23" s="1"/>
  <c r="AH540" i="23" s="1"/>
  <c r="AE540" i="23"/>
  <c r="AE174" i="23"/>
  <c r="AC174" i="23"/>
  <c r="AG174" i="23" s="1"/>
  <c r="AH174" i="23" s="1"/>
  <c r="AE178" i="23"/>
  <c r="AC178" i="23"/>
  <c r="AG178" i="23" s="1"/>
  <c r="AH178" i="23" s="1"/>
  <c r="AE140" i="23"/>
  <c r="AC140" i="23"/>
  <c r="AG140" i="23" s="1"/>
  <c r="AH140" i="23" s="1"/>
  <c r="AE562" i="23"/>
  <c r="AC562" i="23"/>
  <c r="AG562" i="23" s="1"/>
  <c r="AH562" i="23" s="1"/>
  <c r="AE536" i="23"/>
  <c r="AF536" i="23" s="1"/>
  <c r="AC536" i="23"/>
  <c r="AG536" i="23" s="1"/>
  <c r="AH536" i="23" s="1"/>
  <c r="AC190" i="23"/>
  <c r="AG190" i="23" s="1"/>
  <c r="AH190" i="23" s="1"/>
  <c r="AE190" i="23"/>
  <c r="AE172" i="23"/>
  <c r="AC172" i="23"/>
  <c r="AG172" i="23" s="1"/>
  <c r="AH172" i="23" s="1"/>
  <c r="AE510" i="23"/>
  <c r="AC510" i="23"/>
  <c r="AG510" i="23" s="1"/>
  <c r="AH510" i="23" s="1"/>
  <c r="AE462" i="23"/>
  <c r="AC462" i="23"/>
  <c r="AG462" i="23" s="1"/>
  <c r="AH462" i="23" s="1"/>
  <c r="AE336" i="23"/>
  <c r="AC336" i="23"/>
  <c r="AG336" i="23" s="1"/>
  <c r="AH336" i="23" s="1"/>
  <c r="AC250" i="23"/>
  <c r="AG250" i="23" s="1"/>
  <c r="AH250" i="23" s="1"/>
  <c r="AE250" i="23"/>
  <c r="AE357" i="23"/>
  <c r="AC357" i="23"/>
  <c r="AG357" i="23" s="1"/>
  <c r="AH357" i="23" s="1"/>
  <c r="AC387" i="23"/>
  <c r="AG387" i="23" s="1"/>
  <c r="AH387" i="23" s="1"/>
  <c r="AE387" i="23"/>
  <c r="AC341" i="23"/>
  <c r="AG341" i="23" s="1"/>
  <c r="AH341" i="23" s="1"/>
  <c r="AE341" i="23"/>
  <c r="AE400" i="23"/>
  <c r="AC400" i="23"/>
  <c r="AG400" i="23" s="1"/>
  <c r="AH400" i="23" s="1"/>
  <c r="AC370" i="23"/>
  <c r="AG370" i="23" s="1"/>
  <c r="AH370" i="23" s="1"/>
  <c r="AE370" i="23"/>
  <c r="AC379" i="23"/>
  <c r="AG379" i="23" s="1"/>
  <c r="AH379" i="23" s="1"/>
  <c r="AE379" i="23"/>
  <c r="AE129" i="23"/>
  <c r="AC129" i="23"/>
  <c r="AG129" i="23" s="1"/>
  <c r="AH129" i="23" s="1"/>
  <c r="AC488" i="23"/>
  <c r="AG488" i="23" s="1"/>
  <c r="AH488" i="23" s="1"/>
  <c r="AE488" i="23"/>
  <c r="AE269" i="23"/>
  <c r="AC269" i="23"/>
  <c r="AG269" i="23" s="1"/>
  <c r="AH269" i="23" s="1"/>
  <c r="AC535" i="23"/>
  <c r="AG535" i="23" s="1"/>
  <c r="AH535" i="23" s="1"/>
  <c r="AE535" i="23"/>
  <c r="AE372" i="23"/>
  <c r="AC372" i="23"/>
  <c r="AG372" i="23" s="1"/>
  <c r="AH372" i="23" s="1"/>
  <c r="AE565" i="23"/>
  <c r="AC565" i="23"/>
  <c r="AG565" i="23" s="1"/>
  <c r="AH565" i="23" s="1"/>
  <c r="AC566" i="23"/>
  <c r="AG566" i="23" s="1"/>
  <c r="AH566" i="23" s="1"/>
  <c r="AE566" i="23"/>
  <c r="AE315" i="23"/>
  <c r="AC315" i="23"/>
  <c r="AG315" i="23" s="1"/>
  <c r="AH315" i="23" s="1"/>
  <c r="AC455" i="23"/>
  <c r="AG455" i="23" s="1"/>
  <c r="AH455" i="23" s="1"/>
  <c r="AE455" i="23"/>
  <c r="AE212" i="23"/>
  <c r="AC212" i="23"/>
  <c r="AG212" i="23" s="1"/>
  <c r="AH212" i="23" s="1"/>
  <c r="AE549" i="23"/>
  <c r="AC549" i="23"/>
  <c r="AG549" i="23" s="1"/>
  <c r="AH549" i="23" s="1"/>
  <c r="AE200" i="23"/>
  <c r="AC200" i="23"/>
  <c r="AG200" i="23" s="1"/>
  <c r="AH200" i="23" s="1"/>
  <c r="AC14" i="23"/>
  <c r="AE14" i="23"/>
  <c r="AE206" i="23"/>
  <c r="AC206" i="23"/>
  <c r="AG206" i="23" s="1"/>
  <c r="AH206" i="23" s="1"/>
  <c r="AC444" i="23"/>
  <c r="AG444" i="23" s="1"/>
  <c r="AH444" i="23" s="1"/>
  <c r="AE444" i="23"/>
  <c r="AE478" i="23"/>
  <c r="AC478" i="23"/>
  <c r="AG478" i="23" s="1"/>
  <c r="AH478" i="23" s="1"/>
  <c r="AC192" i="23"/>
  <c r="AG192" i="23" s="1"/>
  <c r="AH192" i="23" s="1"/>
  <c r="AE192" i="23"/>
  <c r="AE137" i="23"/>
  <c r="AC137" i="23"/>
  <c r="AG137" i="23" s="1"/>
  <c r="AH137" i="23" s="1"/>
  <c r="AC125" i="23"/>
  <c r="AG125" i="23" s="1"/>
  <c r="AH125" i="23" s="1"/>
  <c r="AE125" i="23"/>
  <c r="AC216" i="23"/>
  <c r="AG216" i="23" s="1"/>
  <c r="AH216" i="23" s="1"/>
  <c r="AE216" i="23"/>
  <c r="AC405" i="23"/>
  <c r="AG405" i="23" s="1"/>
  <c r="AH405" i="23" s="1"/>
  <c r="AE405" i="23"/>
  <c r="AC265" i="23"/>
  <c r="AG265" i="23" s="1"/>
  <c r="AH265" i="23" s="1"/>
  <c r="AE265" i="23"/>
  <c r="AE466" i="23"/>
  <c r="AF466" i="23" s="1"/>
  <c r="AC466" i="23"/>
  <c r="AG466" i="23" s="1"/>
  <c r="AH466" i="23" s="1"/>
  <c r="AC459" i="23"/>
  <c r="AG459" i="23" s="1"/>
  <c r="AH459" i="23" s="1"/>
  <c r="AE459" i="23"/>
  <c r="AC353" i="23"/>
  <c r="AG353" i="23" s="1"/>
  <c r="AH353" i="23" s="1"/>
  <c r="AE353" i="23"/>
  <c r="AC322" i="23"/>
  <c r="AG322" i="23" s="1"/>
  <c r="AH322" i="23" s="1"/>
  <c r="AE322" i="23"/>
  <c r="AE360" i="23"/>
  <c r="AC360" i="23"/>
  <c r="AG360" i="23" s="1"/>
  <c r="AH360" i="23" s="1"/>
  <c r="AE23" i="23"/>
  <c r="AC23" i="23"/>
  <c r="AG23" i="23" s="1"/>
  <c r="AH23" i="23" s="1"/>
  <c r="AE198" i="23"/>
  <c r="AC198" i="23"/>
  <c r="AG198" i="23" s="1"/>
  <c r="AH198" i="23" s="1"/>
  <c r="AE227" i="23"/>
  <c r="AC227" i="23"/>
  <c r="AG227" i="23" s="1"/>
  <c r="AH227" i="23" s="1"/>
  <c r="AE345" i="23"/>
  <c r="AC345" i="23"/>
  <c r="AG345" i="23" s="1"/>
  <c r="AH345" i="23" s="1"/>
  <c r="AE159" i="23"/>
  <c r="AC159" i="23"/>
  <c r="AG159" i="23" s="1"/>
  <c r="AH159" i="23" s="1"/>
  <c r="AC356" i="23"/>
  <c r="AG356" i="23" s="1"/>
  <c r="AH356" i="23" s="1"/>
  <c r="AE356" i="23"/>
  <c r="AC201" i="23"/>
  <c r="AG201" i="23" s="1"/>
  <c r="AH201" i="23" s="1"/>
  <c r="AE201" i="23"/>
  <c r="AE319" i="23"/>
  <c r="AC319" i="23"/>
  <c r="AG319" i="23" s="1"/>
  <c r="AH319" i="23" s="1"/>
  <c r="AE273" i="23"/>
  <c r="AC273" i="23"/>
  <c r="AG273" i="23" s="1"/>
  <c r="AH273" i="23" s="1"/>
  <c r="AE332" i="23"/>
  <c r="AC332" i="23"/>
  <c r="AG332" i="23" s="1"/>
  <c r="AH332" i="23" s="1"/>
  <c r="AE378" i="23"/>
  <c r="AC378" i="23"/>
  <c r="AG378" i="23" s="1"/>
  <c r="AH378" i="23" s="1"/>
  <c r="AE29" i="23"/>
  <c r="AC29" i="23"/>
  <c r="AG29" i="23" s="1"/>
  <c r="AH29" i="23" s="1"/>
  <c r="AE561" i="23"/>
  <c r="AC561" i="23"/>
  <c r="AG561" i="23" s="1"/>
  <c r="AH561" i="23" s="1"/>
  <c r="AC276" i="23"/>
  <c r="AG276" i="23" s="1"/>
  <c r="AH276" i="23" s="1"/>
  <c r="AE276" i="23"/>
  <c r="AC268" i="23"/>
  <c r="AG268" i="23" s="1"/>
  <c r="AH268" i="23" s="1"/>
  <c r="AE268" i="23"/>
  <c r="AE277" i="23"/>
  <c r="AC277" i="23"/>
  <c r="AG277" i="23" s="1"/>
  <c r="AH277" i="23" s="1"/>
  <c r="AE374" i="23"/>
  <c r="AC374" i="23"/>
  <c r="AG374" i="23" s="1"/>
  <c r="AH374" i="23" s="1"/>
  <c r="AE310" i="23"/>
  <c r="AC310" i="23"/>
  <c r="AG310" i="23" s="1"/>
  <c r="AH310" i="23" s="1"/>
  <c r="AE325" i="23"/>
  <c r="AC325" i="23"/>
  <c r="AG325" i="23" s="1"/>
  <c r="AH325" i="23" s="1"/>
  <c r="AE321" i="23"/>
  <c r="AC321" i="23"/>
  <c r="AG321" i="23" s="1"/>
  <c r="AH321" i="23" s="1"/>
  <c r="AE317" i="23"/>
  <c r="AC317" i="23"/>
  <c r="AG317" i="23" s="1"/>
  <c r="AH317" i="23" s="1"/>
  <c r="AE313" i="23"/>
  <c r="AC313" i="23"/>
  <c r="AG313" i="23" s="1"/>
  <c r="AH313" i="23" s="1"/>
  <c r="AE309" i="23"/>
  <c r="AC309" i="23"/>
  <c r="AG309" i="23" s="1"/>
  <c r="AH309" i="23" s="1"/>
  <c r="AE305" i="23"/>
  <c r="AC305" i="23"/>
  <c r="AG305" i="23" s="1"/>
  <c r="AH305" i="23" s="1"/>
  <c r="AE301" i="23"/>
  <c r="AC301" i="23"/>
  <c r="AG301" i="23" s="1"/>
  <c r="AH301" i="23" s="1"/>
  <c r="AE297" i="23"/>
  <c r="AC297" i="23"/>
  <c r="AG297" i="23" s="1"/>
  <c r="AH297" i="23" s="1"/>
  <c r="AE291" i="23"/>
  <c r="AF291" i="23" s="1"/>
  <c r="AC291" i="23"/>
  <c r="AG291" i="23" s="1"/>
  <c r="AH291" i="23" s="1"/>
  <c r="AE287" i="23"/>
  <c r="AC287" i="23"/>
  <c r="AG287" i="23" s="1"/>
  <c r="AH287" i="23" s="1"/>
  <c r="AE283" i="23"/>
  <c r="AC283" i="23"/>
  <c r="AG283" i="23" s="1"/>
  <c r="AH283" i="23" s="1"/>
  <c r="AE279" i="23"/>
  <c r="AC279" i="23"/>
  <c r="AG279" i="23" s="1"/>
  <c r="AH279" i="23" s="1"/>
  <c r="AE275" i="23"/>
  <c r="AC275" i="23"/>
  <c r="AG275" i="23" s="1"/>
  <c r="AH275" i="23" s="1"/>
  <c r="AE271" i="23"/>
  <c r="AC271" i="23"/>
  <c r="AG271" i="23" s="1"/>
  <c r="AH271" i="23" s="1"/>
  <c r="AE267" i="23"/>
  <c r="AC267" i="23"/>
  <c r="AG267" i="23" s="1"/>
  <c r="AH267" i="23" s="1"/>
  <c r="AE263" i="23"/>
  <c r="AC263" i="23"/>
  <c r="AG263" i="23" s="1"/>
  <c r="AH263" i="23" s="1"/>
  <c r="AC259" i="23"/>
  <c r="AG259" i="23" s="1"/>
  <c r="AH259" i="23" s="1"/>
  <c r="AE259" i="23"/>
  <c r="AE253" i="23"/>
  <c r="AC253" i="23"/>
  <c r="AG253" i="23" s="1"/>
  <c r="AH253" i="23" s="1"/>
  <c r="AE249" i="23"/>
  <c r="AC249" i="23"/>
  <c r="AG249" i="23" s="1"/>
  <c r="AH249" i="23" s="1"/>
  <c r="AE245" i="23"/>
  <c r="AC245" i="23"/>
  <c r="AG245" i="23" s="1"/>
  <c r="AH245" i="23" s="1"/>
  <c r="AE241" i="23"/>
  <c r="AC241" i="23"/>
  <c r="AG241" i="23" s="1"/>
  <c r="AH241" i="23" s="1"/>
  <c r="AE237" i="23"/>
  <c r="AC237" i="23"/>
  <c r="AG237" i="23" s="1"/>
  <c r="AH237" i="23" s="1"/>
  <c r="AE233" i="23"/>
  <c r="AC233" i="23"/>
  <c r="AG233" i="23" s="1"/>
  <c r="AH233" i="23" s="1"/>
  <c r="AE229" i="23"/>
  <c r="AC229" i="23"/>
  <c r="AG229" i="23" s="1"/>
  <c r="AH229" i="23" s="1"/>
  <c r="AE225" i="23"/>
  <c r="AC225" i="23"/>
  <c r="AG225" i="23" s="1"/>
  <c r="AH225" i="23" s="1"/>
  <c r="AE219" i="23"/>
  <c r="AC219" i="23"/>
  <c r="AG219" i="23" s="1"/>
  <c r="AH219" i="23" s="1"/>
  <c r="AE215" i="23"/>
  <c r="AC215" i="23"/>
  <c r="AG215" i="23" s="1"/>
  <c r="AH215" i="23" s="1"/>
  <c r="AE146" i="23"/>
  <c r="AC146" i="23"/>
  <c r="AG146" i="23" s="1"/>
  <c r="AH146" i="23" s="1"/>
  <c r="AE160" i="23"/>
  <c r="AC160" i="23"/>
  <c r="AG160" i="23" s="1"/>
  <c r="AH160" i="23" s="1"/>
  <c r="AE197" i="23"/>
  <c r="AC197" i="23"/>
  <c r="AG197" i="23" s="1"/>
  <c r="AH197" i="23" s="1"/>
  <c r="AE205" i="23"/>
  <c r="AC205" i="23"/>
  <c r="AG205" i="23" s="1"/>
  <c r="AH205" i="23" s="1"/>
  <c r="AE211" i="23"/>
  <c r="AC211" i="23"/>
  <c r="AG211" i="23" s="1"/>
  <c r="AH211" i="23" s="1"/>
  <c r="AE207" i="23"/>
  <c r="AC207" i="23"/>
  <c r="AG207" i="23" s="1"/>
  <c r="AH207" i="23" s="1"/>
  <c r="AE203" i="23"/>
  <c r="AC203" i="23"/>
  <c r="AG203" i="23" s="1"/>
  <c r="AH203" i="23" s="1"/>
  <c r="AE199" i="23"/>
  <c r="AC199" i="23"/>
  <c r="AG199" i="23" s="1"/>
  <c r="AH199" i="23" s="1"/>
  <c r="AE195" i="23"/>
  <c r="AC195" i="23"/>
  <c r="AG195" i="23" s="1"/>
  <c r="AH195" i="23" s="1"/>
  <c r="AE191" i="23"/>
  <c r="AC191" i="23"/>
  <c r="AG191" i="23" s="1"/>
  <c r="AH191" i="23" s="1"/>
  <c r="AE185" i="23"/>
  <c r="AC185" i="23"/>
  <c r="AG185" i="23" s="1"/>
  <c r="AH185" i="23" s="1"/>
  <c r="AE181" i="23"/>
  <c r="AC181" i="23"/>
  <c r="AG181" i="23" s="1"/>
  <c r="AH181" i="23" s="1"/>
  <c r="AE177" i="23"/>
  <c r="AC177" i="23"/>
  <c r="AG177" i="23" s="1"/>
  <c r="AH177" i="23" s="1"/>
  <c r="AE173" i="23"/>
  <c r="AC173" i="23"/>
  <c r="AG173" i="23" s="1"/>
  <c r="AH173" i="23" s="1"/>
  <c r="AE169" i="23"/>
  <c r="AC169" i="23"/>
  <c r="AG169" i="23" s="1"/>
  <c r="AH169" i="23" s="1"/>
  <c r="AE165" i="23"/>
  <c r="AC165" i="23"/>
  <c r="AG165" i="23" s="1"/>
  <c r="AH165" i="23" s="1"/>
  <c r="AE161" i="23"/>
  <c r="AC161" i="23"/>
  <c r="AG161" i="23" s="1"/>
  <c r="AH161" i="23" s="1"/>
  <c r="AE157" i="23"/>
  <c r="AC157" i="23"/>
  <c r="AG157" i="23" s="1"/>
  <c r="AH157" i="23" s="1"/>
  <c r="AE151" i="23"/>
  <c r="AF151" i="23" s="1"/>
  <c r="AC151" i="23"/>
  <c r="AG151" i="23" s="1"/>
  <c r="AH151" i="23" s="1"/>
  <c r="AE147" i="23"/>
  <c r="AC147" i="23"/>
  <c r="AG147" i="23" s="1"/>
  <c r="AH147" i="23" s="1"/>
  <c r="AE143" i="23"/>
  <c r="AC143" i="23"/>
  <c r="AG143" i="23" s="1"/>
  <c r="AH143" i="23" s="1"/>
  <c r="AE139" i="23"/>
  <c r="AC139" i="23"/>
  <c r="AG139" i="23" s="1"/>
  <c r="AH139" i="23" s="1"/>
  <c r="AE135" i="23"/>
  <c r="AC135" i="23"/>
  <c r="AG135" i="23" s="1"/>
  <c r="AH135" i="23" s="1"/>
  <c r="AE131" i="23"/>
  <c r="AC131" i="23"/>
  <c r="AG131" i="23" s="1"/>
  <c r="AH131" i="23" s="1"/>
  <c r="AE127" i="23"/>
  <c r="AC127" i="23"/>
  <c r="AG127" i="23" s="1"/>
  <c r="AH127" i="23" s="1"/>
  <c r="AE123" i="23"/>
  <c r="AC123" i="23"/>
  <c r="AG123" i="23" s="1"/>
  <c r="AH123" i="23" s="1"/>
  <c r="AC119" i="23"/>
  <c r="AE119" i="23"/>
  <c r="AE113" i="23"/>
  <c r="AC113" i="23"/>
  <c r="AG113" i="23" s="1"/>
  <c r="AH113" i="23" s="1"/>
  <c r="AE109" i="23"/>
  <c r="AC109" i="23"/>
  <c r="AG109" i="23" s="1"/>
  <c r="AH109" i="23" s="1"/>
  <c r="AE105" i="23"/>
  <c r="AC105" i="23"/>
  <c r="AG105" i="23" s="1"/>
  <c r="AH105" i="23" s="1"/>
  <c r="AE101" i="23"/>
  <c r="AC101" i="23"/>
  <c r="AG101" i="23" s="1"/>
  <c r="AH101" i="23" s="1"/>
  <c r="AE97" i="23"/>
  <c r="AC97" i="23"/>
  <c r="AG97" i="23" s="1"/>
  <c r="AH97" i="23" s="1"/>
  <c r="AE93" i="23"/>
  <c r="AC93" i="23"/>
  <c r="AG93" i="23" s="1"/>
  <c r="AH93" i="23" s="1"/>
  <c r="AE89" i="23"/>
  <c r="AC89" i="23"/>
  <c r="AG89" i="23" s="1"/>
  <c r="AH89" i="23" s="1"/>
  <c r="AE85" i="23"/>
  <c r="AC85" i="23"/>
  <c r="AG85" i="23" s="1"/>
  <c r="AH85" i="23" s="1"/>
  <c r="AE571" i="23"/>
  <c r="AF571" i="23" s="1"/>
  <c r="AC571" i="23"/>
  <c r="AG571" i="23" s="1"/>
  <c r="AH571" i="23" s="1"/>
  <c r="AE563" i="23"/>
  <c r="AC563" i="23"/>
  <c r="AG563" i="23" s="1"/>
  <c r="AH563" i="23" s="1"/>
  <c r="AE551" i="23"/>
  <c r="AC551" i="23"/>
  <c r="AG551" i="23" s="1"/>
  <c r="AH551" i="23" s="1"/>
  <c r="AE204" i="23"/>
  <c r="AC204" i="23"/>
  <c r="AG204" i="23" s="1"/>
  <c r="AH204" i="23" s="1"/>
  <c r="AE246" i="23"/>
  <c r="AC246" i="23"/>
  <c r="AG246" i="23" s="1"/>
  <c r="AH246" i="23" s="1"/>
  <c r="AE264" i="23"/>
  <c r="AC264" i="23"/>
  <c r="AG264" i="23" s="1"/>
  <c r="AH264" i="23" s="1"/>
  <c r="AE88" i="23"/>
  <c r="AC88" i="23"/>
  <c r="AG88" i="23" s="1"/>
  <c r="AH88" i="23" s="1"/>
  <c r="AE92" i="23"/>
  <c r="AC92" i="23"/>
  <c r="AG92" i="23" s="1"/>
  <c r="AH92" i="23" s="1"/>
  <c r="AE96" i="23"/>
  <c r="AC96" i="23"/>
  <c r="AG96" i="23" s="1"/>
  <c r="AH96" i="23" s="1"/>
  <c r="AE100" i="23"/>
  <c r="AC100" i="23"/>
  <c r="AG100" i="23" s="1"/>
  <c r="AH100" i="23" s="1"/>
  <c r="AE104" i="23"/>
  <c r="AC104" i="23"/>
  <c r="AG104" i="23" s="1"/>
  <c r="AH104" i="23" s="1"/>
  <c r="AE108" i="23"/>
  <c r="AC108" i="23"/>
  <c r="AG108" i="23" s="1"/>
  <c r="AH108" i="23" s="1"/>
  <c r="AE112" i="23"/>
  <c r="AC112" i="23"/>
  <c r="AG112" i="23" s="1"/>
  <c r="AH112" i="23" s="1"/>
  <c r="AE116" i="23"/>
  <c r="AF116" i="23" s="1"/>
  <c r="AC116" i="23"/>
  <c r="AG116" i="23" s="1"/>
  <c r="AH116" i="23" s="1"/>
  <c r="AE122" i="23"/>
  <c r="AC122" i="23"/>
  <c r="AG122" i="23" s="1"/>
  <c r="AH122" i="23" s="1"/>
  <c r="AE126" i="23"/>
  <c r="AC126" i="23"/>
  <c r="AG126" i="23" s="1"/>
  <c r="AH126" i="23" s="1"/>
  <c r="AE130" i="23"/>
  <c r="AC130" i="23"/>
  <c r="AG130" i="23" s="1"/>
  <c r="AH130" i="23" s="1"/>
  <c r="AE134" i="23"/>
  <c r="AC134" i="23"/>
  <c r="AG134" i="23" s="1"/>
  <c r="AH134" i="23" s="1"/>
  <c r="AE138" i="23"/>
  <c r="AC138" i="23"/>
  <c r="AG138" i="23" s="1"/>
  <c r="AH138" i="23" s="1"/>
  <c r="AE142" i="23"/>
  <c r="AC142" i="23"/>
  <c r="AG142" i="23" s="1"/>
  <c r="AH142" i="23" s="1"/>
  <c r="AE150" i="23"/>
  <c r="AC150" i="23"/>
  <c r="AG150" i="23" s="1"/>
  <c r="AH150" i="23" s="1"/>
  <c r="AE156" i="23"/>
  <c r="AC156" i="23"/>
  <c r="AG156" i="23" s="1"/>
  <c r="AH156" i="23" s="1"/>
  <c r="AC294" i="23"/>
  <c r="AG294" i="23" s="1"/>
  <c r="AH294" i="23" s="1"/>
  <c r="AE294" i="23"/>
  <c r="AE555" i="23"/>
  <c r="AC555" i="23"/>
  <c r="AG555" i="23" s="1"/>
  <c r="AH555" i="23" s="1"/>
  <c r="AE196" i="23"/>
  <c r="AC196" i="23"/>
  <c r="AG196" i="23" s="1"/>
  <c r="AH196" i="23" s="1"/>
  <c r="AE220" i="23"/>
  <c r="AC220" i="23"/>
  <c r="AG220" i="23" s="1"/>
  <c r="AH220" i="23" s="1"/>
  <c r="AE226" i="23"/>
  <c r="AC226" i="23"/>
  <c r="AG226" i="23" s="1"/>
  <c r="AH226" i="23" s="1"/>
  <c r="AE238" i="23"/>
  <c r="AC238" i="23"/>
  <c r="AG238" i="23" s="1"/>
  <c r="AH238" i="23" s="1"/>
  <c r="AE254" i="23"/>
  <c r="AC254" i="23"/>
  <c r="AG254" i="23" s="1"/>
  <c r="AH254" i="23" s="1"/>
  <c r="AE284" i="23"/>
  <c r="AC284" i="23"/>
  <c r="AG284" i="23" s="1"/>
  <c r="AH284" i="23" s="1"/>
  <c r="AE302" i="23"/>
  <c r="AC302" i="23"/>
  <c r="AG302" i="23" s="1"/>
  <c r="AH302" i="23" s="1"/>
  <c r="AE306" i="23"/>
  <c r="AC306" i="23"/>
  <c r="AG306" i="23" s="1"/>
  <c r="AH306" i="23" s="1"/>
  <c r="AE326" i="23"/>
  <c r="AF326" i="23" s="1"/>
  <c r="AC326" i="23"/>
  <c r="AG326" i="23" s="1"/>
  <c r="AH326" i="23" s="1"/>
  <c r="AE390" i="23"/>
  <c r="AC390" i="23"/>
  <c r="AG390" i="23" s="1"/>
  <c r="AH390" i="23" s="1"/>
  <c r="AC84" i="23"/>
  <c r="AG84" i="23" s="1"/>
  <c r="AH84" i="23" s="1"/>
  <c r="AE84" i="23"/>
  <c r="AE272" i="23"/>
  <c r="AC272" i="23"/>
  <c r="AG272" i="23" s="1"/>
  <c r="AH272" i="23" s="1"/>
  <c r="AE298" i="23"/>
  <c r="AC298" i="23"/>
  <c r="AG298" i="23" s="1"/>
  <c r="AH298" i="23" s="1"/>
  <c r="AE506" i="23"/>
  <c r="AC506" i="23"/>
  <c r="AG506" i="23" s="1"/>
  <c r="AH506" i="23" s="1"/>
  <c r="AE16" i="23"/>
  <c r="AC16" i="23"/>
  <c r="AG16" i="23" s="1"/>
  <c r="AH16" i="23" s="1"/>
  <c r="AE431" i="23"/>
  <c r="AF431" i="23" s="1"/>
  <c r="AC431" i="23"/>
  <c r="AG431" i="23" s="1"/>
  <c r="AH431" i="23" s="1"/>
  <c r="AE415" i="23"/>
  <c r="AC415" i="23"/>
  <c r="AG415" i="23" s="1"/>
  <c r="AH415" i="23" s="1"/>
  <c r="AE377" i="23"/>
  <c r="AC377" i="23"/>
  <c r="AG377" i="23" s="1"/>
  <c r="AH377" i="23" s="1"/>
  <c r="AE348" i="23"/>
  <c r="AC348" i="23"/>
  <c r="AG348" i="23" s="1"/>
  <c r="AH348" i="23" s="1"/>
  <c r="AE491" i="23"/>
  <c r="AC491" i="23"/>
  <c r="AG491" i="23" s="1"/>
  <c r="AH491" i="23" s="1"/>
  <c r="AE427" i="23"/>
  <c r="AC427" i="23"/>
  <c r="AG427" i="23" s="1"/>
  <c r="AH427" i="23" s="1"/>
  <c r="AE403" i="23"/>
  <c r="AC403" i="23"/>
  <c r="AG403" i="23" s="1"/>
  <c r="AH403" i="23" s="1"/>
  <c r="AE343" i="23"/>
  <c r="AC343" i="23"/>
  <c r="AG343" i="23" s="1"/>
  <c r="AH343" i="23" s="1"/>
  <c r="AE335" i="23"/>
  <c r="AC335" i="23"/>
  <c r="AG335" i="23" s="1"/>
  <c r="AH335" i="23" s="1"/>
  <c r="AE547" i="23"/>
  <c r="AC547" i="23"/>
  <c r="AG547" i="23" s="1"/>
  <c r="AH547" i="23" s="1"/>
  <c r="AD424" i="23"/>
  <c r="AF424" i="23"/>
  <c r="AF342" i="23"/>
  <c r="AD342" i="23"/>
  <c r="AD338" i="23"/>
  <c r="AF338" i="23"/>
  <c r="AD419" i="23"/>
  <c r="AF419" i="23"/>
  <c r="AD486" i="23"/>
  <c r="AF486" i="23"/>
  <c r="AE454" i="23"/>
  <c r="AC454" i="23"/>
  <c r="AG454" i="23" s="1"/>
  <c r="AH454" i="23" s="1"/>
  <c r="AC476" i="23"/>
  <c r="AG476" i="23" s="1"/>
  <c r="AH476" i="23" s="1"/>
  <c r="AE476" i="23"/>
  <c r="AE500" i="23"/>
  <c r="AC500" i="23"/>
  <c r="AG500" i="23" s="1"/>
  <c r="AH500" i="23" s="1"/>
  <c r="AE560" i="23"/>
  <c r="AC560" i="23"/>
  <c r="AG560" i="23" s="1"/>
  <c r="AH560" i="23" s="1"/>
  <c r="AD94" i="23"/>
  <c r="AF94" i="23"/>
  <c r="AE484" i="23"/>
  <c r="AC484" i="23"/>
  <c r="AG484" i="23" s="1"/>
  <c r="AH484" i="23" s="1"/>
  <c r="AE518" i="23"/>
  <c r="AC518" i="23"/>
  <c r="AG518" i="23" s="1"/>
  <c r="AH518" i="23" s="1"/>
  <c r="AE526" i="23"/>
  <c r="AC526" i="23"/>
  <c r="AG526" i="23" s="1"/>
  <c r="AH526" i="23" s="1"/>
  <c r="AF334" i="23"/>
  <c r="AD334" i="23"/>
  <c r="AF449" i="23"/>
  <c r="AD449" i="23"/>
  <c r="AF255" i="23"/>
  <c r="AD255" i="23"/>
  <c r="AF347" i="23"/>
  <c r="AD347" i="23"/>
  <c r="AF307" i="23"/>
  <c r="AD307" i="23"/>
  <c r="AF436" i="23"/>
  <c r="AD436" i="23"/>
  <c r="AF231" i="23"/>
  <c r="AD231" i="23"/>
  <c r="AD404" i="23"/>
  <c r="AF389" i="23"/>
  <c r="AF499" i="23"/>
  <c r="AF404" i="23"/>
  <c r="AD499" i="23"/>
  <c r="AF320" i="23"/>
  <c r="AD295" i="23"/>
  <c r="AF303" i="23"/>
  <c r="AD523" i="23"/>
  <c r="AF230" i="23"/>
  <c r="AD230" i="23"/>
  <c r="AF349" i="23"/>
  <c r="AD349" i="23"/>
  <c r="AD425" i="23"/>
  <c r="AF133" i="23"/>
  <c r="AF557" i="23"/>
  <c r="AD557" i="23"/>
  <c r="AF183" i="23"/>
  <c r="AD183" i="23"/>
  <c r="AF421" i="23"/>
  <c r="AD421" i="23"/>
  <c r="AD235" i="23"/>
  <c r="AD320" i="23"/>
  <c r="AF295" i="23"/>
  <c r="AD303" i="23"/>
  <c r="AF523" i="23"/>
  <c r="AF425" i="23"/>
  <c r="AD133" i="23"/>
  <c r="AF235" i="23"/>
  <c r="AF411" i="23"/>
  <c r="AD411" i="23"/>
  <c r="AF323" i="23"/>
  <c r="AD323" i="23"/>
  <c r="AF189" i="23"/>
  <c r="AD189" i="23"/>
  <c r="AD472" i="23"/>
  <c r="AG189" i="23"/>
  <c r="AH189" i="23" s="1"/>
  <c r="AF472" i="23"/>
  <c r="AF87" i="23"/>
  <c r="AD87" i="23"/>
  <c r="AF337" i="23"/>
  <c r="AD337" i="23"/>
  <c r="AD209" i="23"/>
  <c r="AF209" i="23"/>
  <c r="AD402" i="23"/>
  <c r="AF402" i="23"/>
  <c r="AF546" i="23"/>
  <c r="AD546" i="23"/>
  <c r="AD392" i="23"/>
  <c r="AF392" i="23"/>
  <c r="AF300" i="23"/>
  <c r="AD300" i="23"/>
  <c r="AD168" i="23"/>
  <c r="AF168" i="23"/>
  <c r="AD389" i="23"/>
  <c r="AF558" i="23"/>
  <c r="AD558" i="23"/>
  <c r="AF280" i="23"/>
  <c r="AD280" i="23"/>
  <c r="AF286" i="23"/>
  <c r="AD286" i="23"/>
  <c r="X573" i="23"/>
  <c r="AD438" i="23"/>
  <c r="AF438" i="23"/>
  <c r="C91" i="2"/>
  <c r="C92" i="2" s="1"/>
  <c r="AF24" i="23"/>
  <c r="AD24" i="23"/>
  <c r="C105" i="2"/>
  <c r="C99" i="2"/>
  <c r="C106" i="2" s="1"/>
  <c r="C109" i="2" s="1"/>
  <c r="AF423" i="23" l="1"/>
  <c r="AD423" i="23"/>
  <c r="AF15" i="23"/>
  <c r="AD485" i="23"/>
  <c r="AD15" i="23"/>
  <c r="AF17" i="23"/>
  <c r="AF416" i="23"/>
  <c r="AF447" i="23"/>
  <c r="AD447" i="23"/>
  <c r="AG435" i="23"/>
  <c r="AH435" i="23" s="1"/>
  <c r="AD435" i="23"/>
  <c r="AF485" i="23"/>
  <c r="AD416" i="23"/>
  <c r="AD452" i="23"/>
  <c r="AF409" i="23"/>
  <c r="AF435" i="23"/>
  <c r="AD17" i="23"/>
  <c r="AF452" i="23"/>
  <c r="AD409" i="23"/>
  <c r="AD494" i="23"/>
  <c r="AF494" i="23"/>
  <c r="AF464" i="23"/>
  <c r="AD464" i="23"/>
  <c r="AD386" i="23"/>
  <c r="AF386" i="23"/>
  <c r="AD516" i="23"/>
  <c r="AF516" i="23"/>
  <c r="AF128" i="23"/>
  <c r="AD128" i="23"/>
  <c r="AF30" i="23"/>
  <c r="AD30" i="23"/>
  <c r="AF40" i="23"/>
  <c r="AD40" i="23"/>
  <c r="AD373" i="23"/>
  <c r="AF373" i="23"/>
  <c r="AD158" i="23"/>
  <c r="AF158" i="23"/>
  <c r="AF136" i="23"/>
  <c r="AD136" i="23"/>
  <c r="AD202" i="23"/>
  <c r="AF202" i="23"/>
  <c r="AD528" i="23"/>
  <c r="AF524" i="23"/>
  <c r="AF512" i="23"/>
  <c r="AD524" i="23"/>
  <c r="AF528" i="23"/>
  <c r="AF477" i="23"/>
  <c r="AD394" i="23"/>
  <c r="AF394" i="23"/>
  <c r="AD490" i="23"/>
  <c r="AF490" i="23"/>
  <c r="AD430" i="23"/>
  <c r="AF430" i="23"/>
  <c r="AD470" i="23"/>
  <c r="AF470" i="23"/>
  <c r="AF132" i="23"/>
  <c r="AD132" i="23"/>
  <c r="AF408" i="23"/>
  <c r="AD408" i="23"/>
  <c r="AF102" i="23"/>
  <c r="AD102" i="23"/>
  <c r="AF124" i="23"/>
  <c r="AD124" i="23"/>
  <c r="AD498" i="23"/>
  <c r="AF498" i="23"/>
  <c r="AF418" i="23"/>
  <c r="AD418" i="23"/>
  <c r="AF406" i="23"/>
  <c r="AD406" i="23"/>
  <c r="AD512" i="23"/>
  <c r="AG477" i="23"/>
  <c r="AH477" i="23" s="1"/>
  <c r="AD477" i="23"/>
  <c r="AD530" i="23"/>
  <c r="AF530" i="23"/>
  <c r="AD391" i="23"/>
  <c r="AF391" i="23"/>
  <c r="AD288" i="23"/>
  <c r="AF288" i="23"/>
  <c r="AD234" i="23"/>
  <c r="AF234" i="23"/>
  <c r="AD164" i="23"/>
  <c r="AF164" i="23"/>
  <c r="AD525" i="23"/>
  <c r="AF525" i="23"/>
  <c r="AD568" i="23"/>
  <c r="AF568" i="23"/>
  <c r="AF91" i="23"/>
  <c r="AD91" i="23"/>
  <c r="AF329" i="23"/>
  <c r="AD329" i="23"/>
  <c r="AF395" i="23"/>
  <c r="AD395" i="23"/>
  <c r="AF531" i="23"/>
  <c r="AD531" i="23"/>
  <c r="AF429" i="23"/>
  <c r="AD429" i="23"/>
  <c r="AF519" i="23"/>
  <c r="AD519" i="23"/>
  <c r="AF553" i="23"/>
  <c r="AD553" i="23"/>
  <c r="AC117" i="23" a="1"/>
  <c r="AC117" i="23" s="1"/>
  <c r="AG117" i="23" s="1"/>
  <c r="AF247" i="23"/>
  <c r="AD247" i="23"/>
  <c r="AF289" i="23"/>
  <c r="AD289" i="23"/>
  <c r="AF333" i="23"/>
  <c r="AD333" i="23"/>
  <c r="AG371" i="23"/>
  <c r="AH371" i="23" s="1"/>
  <c r="AF371" i="23"/>
  <c r="AD371" i="23"/>
  <c r="AF451" i="23"/>
  <c r="AD451" i="23"/>
  <c r="AF493" i="23"/>
  <c r="AD493" i="23"/>
  <c r="AF507" i="23"/>
  <c r="AD507" i="23"/>
  <c r="AF86" i="23"/>
  <c r="AD86" i="23"/>
  <c r="AF90" i="23"/>
  <c r="AD90" i="23"/>
  <c r="AF208" i="23"/>
  <c r="AD208" i="23"/>
  <c r="AF564" i="23"/>
  <c r="AD564" i="23"/>
  <c r="AF95" i="23"/>
  <c r="AD95" i="23"/>
  <c r="AF99" i="23"/>
  <c r="AD99" i="23"/>
  <c r="AF107" i="23"/>
  <c r="AD107" i="23"/>
  <c r="AF213" i="23"/>
  <c r="AD213" i="23"/>
  <c r="AF311" i="23"/>
  <c r="AD311" i="23"/>
  <c r="AG329" i="23"/>
  <c r="AH329" i="23" s="1"/>
  <c r="AC362" i="23" a="1"/>
  <c r="AC362" i="23" s="1"/>
  <c r="AG362" i="23" s="1"/>
  <c r="AC537" i="23" a="1"/>
  <c r="AC537" i="23" s="1"/>
  <c r="AG537" i="23" s="1"/>
  <c r="AC432" i="23" a="1"/>
  <c r="AC432" i="23" s="1"/>
  <c r="AG432" i="23" s="1"/>
  <c r="AC467" i="23" a="1"/>
  <c r="AC467" i="23" s="1"/>
  <c r="AG467" i="23" s="1"/>
  <c r="AC327" i="23" a="1"/>
  <c r="AC327" i="23" s="1"/>
  <c r="AG327" i="23" s="1"/>
  <c r="AC572" i="23" a="1"/>
  <c r="AC572" i="23" s="1"/>
  <c r="AC502" i="23" a="1"/>
  <c r="AC502" i="23" s="1"/>
  <c r="AG502" i="23" s="1"/>
  <c r="AC292" i="23" a="1"/>
  <c r="AC292" i="23" s="1"/>
  <c r="AG292" i="23" s="1"/>
  <c r="AC257" i="23" a="1"/>
  <c r="AC257" i="23" s="1"/>
  <c r="AG257" i="23" s="1"/>
  <c r="AC222" i="23" a="1"/>
  <c r="AC222" i="23" s="1"/>
  <c r="AG222" i="23" s="1"/>
  <c r="AC397" i="23" a="1"/>
  <c r="AC397" i="23" s="1"/>
  <c r="AG397" i="23" s="1"/>
  <c r="AF27" i="23"/>
  <c r="AD27" i="23"/>
  <c r="AD45" i="23"/>
  <c r="AF45" i="23"/>
  <c r="AD37" i="23"/>
  <c r="AF37" i="23"/>
  <c r="AF20" i="23"/>
  <c r="AD20" i="23"/>
  <c r="AD21" i="23"/>
  <c r="AF21" i="23"/>
  <c r="AF41" i="23"/>
  <c r="AD41" i="23"/>
  <c r="AF18" i="23"/>
  <c r="AD18" i="23"/>
  <c r="AD34" i="23"/>
  <c r="AF34" i="23"/>
  <c r="AF42" i="23"/>
  <c r="AD42" i="23"/>
  <c r="AD19" i="23"/>
  <c r="AF19" i="23"/>
  <c r="AD26" i="23"/>
  <c r="AF26" i="23"/>
  <c r="AF28" i="23"/>
  <c r="AD28" i="23"/>
  <c r="AD32" i="23"/>
  <c r="AF32" i="23"/>
  <c r="AD39" i="23"/>
  <c r="AF39" i="23"/>
  <c r="AD35" i="23"/>
  <c r="AF35" i="23"/>
  <c r="AF36" i="23"/>
  <c r="AD36" i="23"/>
  <c r="AD33" i="23"/>
  <c r="AF33" i="23"/>
  <c r="AF43" i="23"/>
  <c r="AD43" i="23"/>
  <c r="AD44" i="23"/>
  <c r="AF44" i="23"/>
  <c r="AF22" i="23"/>
  <c r="AD22" i="23"/>
  <c r="AF533" i="23"/>
  <c r="AD533" i="23"/>
  <c r="AF529" i="23"/>
  <c r="AD529" i="23"/>
  <c r="AD521" i="23"/>
  <c r="AF521" i="23"/>
  <c r="AF517" i="23"/>
  <c r="AD517" i="23"/>
  <c r="AD513" i="23"/>
  <c r="AF513" i="23"/>
  <c r="AF509" i="23"/>
  <c r="AD509" i="23"/>
  <c r="AD483" i="23"/>
  <c r="AF483" i="23"/>
  <c r="AD479" i="23"/>
  <c r="AF479" i="23"/>
  <c r="AD399" i="23"/>
  <c r="AF399" i="23"/>
  <c r="AF393" i="23"/>
  <c r="AD393" i="23"/>
  <c r="AD365" i="23"/>
  <c r="AF365" i="23"/>
  <c r="AD359" i="23"/>
  <c r="AF359" i="23"/>
  <c r="AD282" i="23"/>
  <c r="AF282" i="23"/>
  <c r="AD296" i="23"/>
  <c r="AF296" i="23"/>
  <c r="AD308" i="23"/>
  <c r="AF308" i="23"/>
  <c r="AF350" i="23"/>
  <c r="AD350" i="23"/>
  <c r="AD352" i="23"/>
  <c r="AF352" i="23"/>
  <c r="AD366" i="23"/>
  <c r="AF366" i="23"/>
  <c r="AF434" i="23"/>
  <c r="AD434" i="23"/>
  <c r="AD556" i="23"/>
  <c r="AF556" i="23"/>
  <c r="AD527" i="23"/>
  <c r="AF527" i="23"/>
  <c r="AD515" i="23"/>
  <c r="AF515" i="23"/>
  <c r="AD481" i="23"/>
  <c r="AF481" i="23"/>
  <c r="AD473" i="23"/>
  <c r="AF473" i="23"/>
  <c r="AD443" i="23"/>
  <c r="AF443" i="23"/>
  <c r="AD299" i="23"/>
  <c r="AF299" i="23"/>
  <c r="AD285" i="23"/>
  <c r="AF285" i="23"/>
  <c r="AD281" i="23"/>
  <c r="AF281" i="23"/>
  <c r="AD261" i="23"/>
  <c r="AF261" i="23"/>
  <c r="AD251" i="23"/>
  <c r="AF251" i="23"/>
  <c r="AD243" i="23"/>
  <c r="AF243" i="23"/>
  <c r="AD239" i="23"/>
  <c r="AF239" i="23"/>
  <c r="AD217" i="23"/>
  <c r="AF217" i="23"/>
  <c r="AD193" i="23"/>
  <c r="AF193" i="23"/>
  <c r="AD179" i="23"/>
  <c r="AF179" i="23"/>
  <c r="AD175" i="23"/>
  <c r="AF175" i="23"/>
  <c r="AD171" i="23"/>
  <c r="AF171" i="23"/>
  <c r="AD167" i="23"/>
  <c r="AF167" i="23"/>
  <c r="AD163" i="23"/>
  <c r="AF163" i="23"/>
  <c r="AD155" i="23"/>
  <c r="AF155" i="23"/>
  <c r="AC187" i="23" a="1"/>
  <c r="AC187" i="23" s="1"/>
  <c r="AG187" i="23" s="1"/>
  <c r="AG155" i="23"/>
  <c r="AH155" i="23" s="1"/>
  <c r="AD149" i="23"/>
  <c r="AF149" i="23"/>
  <c r="AD145" i="23"/>
  <c r="AF145" i="23"/>
  <c r="AD141" i="23"/>
  <c r="AF141" i="23"/>
  <c r="AD121" i="23"/>
  <c r="AF121" i="23"/>
  <c r="AD115" i="23"/>
  <c r="AF115" i="23"/>
  <c r="AD111" i="23"/>
  <c r="AF111" i="23"/>
  <c r="AD103" i="23"/>
  <c r="AF103" i="23"/>
  <c r="AC82" i="23" a="1"/>
  <c r="AC82" i="23" s="1"/>
  <c r="AG82" i="23" s="1"/>
  <c r="AG81" i="23"/>
  <c r="AH81" i="23" s="1"/>
  <c r="AD514" i="23"/>
  <c r="AF514" i="23"/>
  <c r="AD458" i="23"/>
  <c r="AF458" i="23"/>
  <c r="AD442" i="23"/>
  <c r="AF442" i="23"/>
  <c r="AD428" i="23"/>
  <c r="AF428" i="23"/>
  <c r="AD383" i="23"/>
  <c r="AF383" i="23"/>
  <c r="AD375" i="23"/>
  <c r="AF375" i="23"/>
  <c r="AD367" i="23"/>
  <c r="AF367" i="23"/>
  <c r="AD412" i="23"/>
  <c r="AF412" i="23"/>
  <c r="AD344" i="23"/>
  <c r="AF344" i="23"/>
  <c r="AD570" i="23"/>
  <c r="AF570" i="23"/>
  <c r="AD388" i="23"/>
  <c r="AF388" i="23"/>
  <c r="AD218" i="23"/>
  <c r="AF218" i="23"/>
  <c r="AD351" i="23"/>
  <c r="AF351" i="23"/>
  <c r="AD384" i="23"/>
  <c r="AF384" i="23"/>
  <c r="AD194" i="23"/>
  <c r="AF194" i="23"/>
  <c r="AD539" i="23"/>
  <c r="AF539" i="23"/>
  <c r="AD224" i="23"/>
  <c r="AF224" i="23"/>
  <c r="AD522" i="23"/>
  <c r="AF522" i="23"/>
  <c r="AF471" i="23"/>
  <c r="AD471" i="23"/>
  <c r="AD548" i="23"/>
  <c r="AF548" i="23"/>
  <c r="AD496" i="23"/>
  <c r="AF496" i="23"/>
  <c r="AD184" i="23"/>
  <c r="AF184" i="23"/>
  <c r="AD445" i="23"/>
  <c r="AF445" i="23"/>
  <c r="AF266" i="23"/>
  <c r="AD266" i="23"/>
  <c r="AD355" i="23"/>
  <c r="AF355" i="23"/>
  <c r="AF441" i="23"/>
  <c r="AD441" i="23"/>
  <c r="AF474" i="23"/>
  <c r="AD474" i="23"/>
  <c r="AD460" i="23"/>
  <c r="AF460" i="23"/>
  <c r="AD456" i="23"/>
  <c r="AF456" i="23"/>
  <c r="AD448" i="23"/>
  <c r="AF448" i="23"/>
  <c r="AD440" i="23"/>
  <c r="AF440" i="23"/>
  <c r="AD559" i="23"/>
  <c r="AF559" i="23"/>
  <c r="AF505" i="23"/>
  <c r="AD505" i="23"/>
  <c r="AD358" i="23"/>
  <c r="AF358" i="23"/>
  <c r="AD567" i="23"/>
  <c r="AF567" i="23"/>
  <c r="AF475" i="23"/>
  <c r="AD475" i="23"/>
  <c r="AF446" i="23"/>
  <c r="AD446" i="23"/>
  <c r="AD552" i="23"/>
  <c r="AF552" i="23"/>
  <c r="AF495" i="23"/>
  <c r="AD495" i="23"/>
  <c r="AF543" i="23"/>
  <c r="AD543" i="23"/>
  <c r="AD214" i="23"/>
  <c r="AF214" i="23"/>
  <c r="AD236" i="23"/>
  <c r="AF236" i="23"/>
  <c r="AD180" i="23"/>
  <c r="AF180" i="23"/>
  <c r="AF176" i="23"/>
  <c r="AD176" i="23"/>
  <c r="AD331" i="23"/>
  <c r="AF331" i="23"/>
  <c r="AD457" i="23"/>
  <c r="AF457" i="23"/>
  <c r="AD324" i="23"/>
  <c r="AF324" i="23"/>
  <c r="AD385" i="23"/>
  <c r="AF385" i="23"/>
  <c r="AD420" i="23"/>
  <c r="AF420" i="23"/>
  <c r="AD242" i="23"/>
  <c r="AF242" i="23"/>
  <c r="AD541" i="23"/>
  <c r="AF541" i="23"/>
  <c r="AD511" i="23"/>
  <c r="AF511" i="23"/>
  <c r="AD497" i="23"/>
  <c r="AF497" i="23"/>
  <c r="AD489" i="23"/>
  <c r="AF489" i="23"/>
  <c r="AD469" i="23"/>
  <c r="AF469" i="23"/>
  <c r="AD463" i="23"/>
  <c r="AF463" i="23"/>
  <c r="AD439" i="23"/>
  <c r="AF439" i="23"/>
  <c r="AD417" i="23"/>
  <c r="AF417" i="23"/>
  <c r="AD413" i="23"/>
  <c r="AF413" i="23"/>
  <c r="AF401" i="23"/>
  <c r="AD401" i="23"/>
  <c r="AD260" i="23"/>
  <c r="AF260" i="23"/>
  <c r="AD304" i="23"/>
  <c r="AF304" i="23"/>
  <c r="AD248" i="23"/>
  <c r="AF248" i="23"/>
  <c r="AD407" i="23"/>
  <c r="AF407" i="23"/>
  <c r="AD244" i="23"/>
  <c r="AF244" i="23"/>
  <c r="AD487" i="23"/>
  <c r="AF487" i="23"/>
  <c r="AD252" i="23"/>
  <c r="AF252" i="23"/>
  <c r="AD465" i="23"/>
  <c r="AF465" i="23"/>
  <c r="AD316" i="23"/>
  <c r="AF316" i="23"/>
  <c r="AD274" i="23"/>
  <c r="AF274" i="23"/>
  <c r="AD278" i="23"/>
  <c r="AF278" i="23"/>
  <c r="AD534" i="23"/>
  <c r="AF534" i="23"/>
  <c r="AD182" i="23"/>
  <c r="AF182" i="23"/>
  <c r="AD144" i="23"/>
  <c r="AF144" i="23"/>
  <c r="AD410" i="23"/>
  <c r="AF410" i="23"/>
  <c r="AD290" i="23"/>
  <c r="AF290" i="23"/>
  <c r="AD540" i="23"/>
  <c r="AF540" i="23"/>
  <c r="AF174" i="23"/>
  <c r="AD174" i="23"/>
  <c r="AD178" i="23"/>
  <c r="AF178" i="23"/>
  <c r="AD140" i="23"/>
  <c r="AF140" i="23"/>
  <c r="AD562" i="23"/>
  <c r="AF562" i="23"/>
  <c r="AD190" i="23"/>
  <c r="AF190" i="23"/>
  <c r="AD172" i="23"/>
  <c r="AF172" i="23"/>
  <c r="AD510" i="23"/>
  <c r="AF510" i="23"/>
  <c r="AD462" i="23"/>
  <c r="AF462" i="23"/>
  <c r="AD336" i="23"/>
  <c r="AF336" i="23"/>
  <c r="AD250" i="23"/>
  <c r="AF250" i="23"/>
  <c r="AF357" i="23"/>
  <c r="AD357" i="23"/>
  <c r="AD387" i="23"/>
  <c r="AF387" i="23"/>
  <c r="AD341" i="23"/>
  <c r="AF341" i="23"/>
  <c r="AF400" i="23"/>
  <c r="AD400" i="23"/>
  <c r="AD370" i="23"/>
  <c r="AF370" i="23"/>
  <c r="AD379" i="23"/>
  <c r="AF379" i="23"/>
  <c r="AF129" i="23"/>
  <c r="AD129" i="23"/>
  <c r="AF488" i="23"/>
  <c r="AD488" i="23"/>
  <c r="AD269" i="23"/>
  <c r="AF269" i="23"/>
  <c r="AF535" i="23"/>
  <c r="AD535" i="23"/>
  <c r="AF372" i="23"/>
  <c r="AD372" i="23"/>
  <c r="AD565" i="23"/>
  <c r="AF565" i="23"/>
  <c r="AD566" i="23"/>
  <c r="AF566" i="23"/>
  <c r="AD315" i="23"/>
  <c r="AF315" i="23"/>
  <c r="AF455" i="23"/>
  <c r="AD455" i="23"/>
  <c r="AD212" i="23"/>
  <c r="AF212" i="23"/>
  <c r="AD549" i="23"/>
  <c r="AF549" i="23"/>
  <c r="AD200" i="23"/>
  <c r="AF200" i="23"/>
  <c r="AC47" i="23" a="1"/>
  <c r="AC47" i="23" s="1"/>
  <c r="AG47" i="23" s="1"/>
  <c r="AG14" i="23"/>
  <c r="AH14" i="23" s="1"/>
  <c r="AF14" i="23"/>
  <c r="AD14" i="23"/>
  <c r="AF206" i="23"/>
  <c r="AD206" i="23"/>
  <c r="AF444" i="23"/>
  <c r="AD444" i="23"/>
  <c r="AF478" i="23"/>
  <c r="AD478" i="23"/>
  <c r="AF192" i="23"/>
  <c r="AD192" i="23"/>
  <c r="AF137" i="23"/>
  <c r="AD137" i="23"/>
  <c r="AF125" i="23"/>
  <c r="AD125" i="23"/>
  <c r="AD216" i="23"/>
  <c r="AF216" i="23"/>
  <c r="AD405" i="23"/>
  <c r="AF405" i="23"/>
  <c r="AD265" i="23"/>
  <c r="AF265" i="23"/>
  <c r="AD459" i="23"/>
  <c r="AF459" i="23"/>
  <c r="AD353" i="23"/>
  <c r="AF353" i="23"/>
  <c r="AD322" i="23"/>
  <c r="AF322" i="23"/>
  <c r="AF360" i="23"/>
  <c r="AD360" i="23"/>
  <c r="AF23" i="23"/>
  <c r="AD23" i="23"/>
  <c r="AD198" i="23"/>
  <c r="AF198" i="23"/>
  <c r="AD227" i="23"/>
  <c r="AF227" i="23"/>
  <c r="AD345" i="23"/>
  <c r="AF345" i="23"/>
  <c r="AF159" i="23"/>
  <c r="AD159" i="23"/>
  <c r="AD356" i="23"/>
  <c r="AF356" i="23"/>
  <c r="AD201" i="23"/>
  <c r="AF201" i="23"/>
  <c r="AF319" i="23"/>
  <c r="AD319" i="23"/>
  <c r="AF273" i="23"/>
  <c r="AD273" i="23"/>
  <c r="AD332" i="23"/>
  <c r="AF332" i="23"/>
  <c r="AD378" i="23"/>
  <c r="AF378" i="23"/>
  <c r="AF29" i="23"/>
  <c r="AD29" i="23"/>
  <c r="AF561" i="23"/>
  <c r="AD561" i="23"/>
  <c r="AD276" i="23"/>
  <c r="AF276" i="23"/>
  <c r="AD268" i="23"/>
  <c r="AF268" i="23"/>
  <c r="AF277" i="23"/>
  <c r="AD277" i="23"/>
  <c r="AD374" i="23"/>
  <c r="AF374" i="23"/>
  <c r="AD310" i="23"/>
  <c r="AF310" i="23"/>
  <c r="AD325" i="23"/>
  <c r="AF325" i="23"/>
  <c r="AD321" i="23"/>
  <c r="AF321" i="23"/>
  <c r="AD317" i="23"/>
  <c r="AF317" i="23"/>
  <c r="AD313" i="23"/>
  <c r="AF313" i="23"/>
  <c r="AD309" i="23"/>
  <c r="AF309" i="23"/>
  <c r="AD305" i="23"/>
  <c r="AF305" i="23"/>
  <c r="AD301" i="23"/>
  <c r="AF301" i="23"/>
  <c r="AD297" i="23"/>
  <c r="AF297" i="23"/>
  <c r="AD287" i="23"/>
  <c r="AF287" i="23"/>
  <c r="AD283" i="23"/>
  <c r="AF283" i="23"/>
  <c r="AD279" i="23"/>
  <c r="AF279" i="23"/>
  <c r="AD275" i="23"/>
  <c r="AF275" i="23"/>
  <c r="AD271" i="23"/>
  <c r="AF271" i="23"/>
  <c r="AD267" i="23"/>
  <c r="AF267" i="23"/>
  <c r="AD263" i="23"/>
  <c r="AF263" i="23"/>
  <c r="AD259" i="23"/>
  <c r="AF259" i="23"/>
  <c r="AD253" i="23"/>
  <c r="AF253" i="23"/>
  <c r="AD249" i="23"/>
  <c r="AF249" i="23"/>
  <c r="AD245" i="23"/>
  <c r="AF245" i="23"/>
  <c r="AD241" i="23"/>
  <c r="AF241" i="23"/>
  <c r="AD237" i="23"/>
  <c r="AF237" i="23"/>
  <c r="AD233" i="23"/>
  <c r="AF233" i="23"/>
  <c r="AD229" i="23"/>
  <c r="AF229" i="23"/>
  <c r="AD225" i="23"/>
  <c r="AF225" i="23"/>
  <c r="AD219" i="23"/>
  <c r="AF219" i="23"/>
  <c r="AD215" i="23"/>
  <c r="AF215" i="23"/>
  <c r="AD146" i="23"/>
  <c r="AF146" i="23"/>
  <c r="AD160" i="23"/>
  <c r="AF160" i="23"/>
  <c r="AD197" i="23"/>
  <c r="AF197" i="23"/>
  <c r="AD205" i="23"/>
  <c r="AF205" i="23"/>
  <c r="AD211" i="23"/>
  <c r="AF211" i="23"/>
  <c r="AD207" i="23"/>
  <c r="AF207" i="23"/>
  <c r="AD203" i="23"/>
  <c r="AF203" i="23"/>
  <c r="AD199" i="23"/>
  <c r="AF199" i="23"/>
  <c r="AD195" i="23"/>
  <c r="AF195" i="23"/>
  <c r="AD191" i="23"/>
  <c r="AF191" i="23"/>
  <c r="AD185" i="23"/>
  <c r="AF185" i="23"/>
  <c r="AD181" i="23"/>
  <c r="AF181" i="23"/>
  <c r="AD177" i="23"/>
  <c r="AF177" i="23"/>
  <c r="AD173" i="23"/>
  <c r="AF173" i="23"/>
  <c r="AD169" i="23"/>
  <c r="AF169" i="23"/>
  <c r="AD165" i="23"/>
  <c r="AF165" i="23"/>
  <c r="AD161" i="23"/>
  <c r="AF161" i="23"/>
  <c r="AD157" i="23"/>
  <c r="AF157" i="23"/>
  <c r="AD147" i="23"/>
  <c r="AF147" i="23"/>
  <c r="AD143" i="23"/>
  <c r="AF143" i="23"/>
  <c r="AD139" i="23"/>
  <c r="AF139" i="23"/>
  <c r="AD135" i="23"/>
  <c r="AF135" i="23"/>
  <c r="AD131" i="23"/>
  <c r="AF131" i="23"/>
  <c r="AD127" i="23"/>
  <c r="AF127" i="23"/>
  <c r="AD123" i="23"/>
  <c r="AF123" i="23"/>
  <c r="AG119" i="23"/>
  <c r="AH119" i="23" s="1"/>
  <c r="AC152" i="23" a="1"/>
  <c r="AC152" i="23" s="1"/>
  <c r="AG152" i="23" s="1"/>
  <c r="AD119" i="23"/>
  <c r="AF119" i="23"/>
  <c r="AD113" i="23"/>
  <c r="AF113" i="23"/>
  <c r="AD109" i="23"/>
  <c r="AF109" i="23"/>
  <c r="AD105" i="23"/>
  <c r="AF105" i="23"/>
  <c r="AD101" i="23"/>
  <c r="AF101" i="23"/>
  <c r="AD97" i="23"/>
  <c r="AF97" i="23"/>
  <c r="AD93" i="23"/>
  <c r="AF93" i="23"/>
  <c r="AD89" i="23"/>
  <c r="AF89" i="23"/>
  <c r="AD85" i="23"/>
  <c r="AF85" i="23"/>
  <c r="AD563" i="23"/>
  <c r="AF563" i="23"/>
  <c r="AD551" i="23"/>
  <c r="AF551" i="23"/>
  <c r="AD204" i="23"/>
  <c r="AF204" i="23"/>
  <c r="AD246" i="23"/>
  <c r="AF246" i="23"/>
  <c r="AD264" i="23"/>
  <c r="AF264" i="23"/>
  <c r="AD88" i="23"/>
  <c r="AF88" i="23"/>
  <c r="AD92" i="23"/>
  <c r="AF92" i="23"/>
  <c r="AD96" i="23"/>
  <c r="AF96" i="23"/>
  <c r="AD100" i="23"/>
  <c r="AF100" i="23"/>
  <c r="AD104" i="23"/>
  <c r="AF104" i="23"/>
  <c r="AD108" i="23"/>
  <c r="AF108" i="23"/>
  <c r="AD112" i="23"/>
  <c r="AF112" i="23"/>
  <c r="AD122" i="23"/>
  <c r="AF122" i="23"/>
  <c r="AD126" i="23"/>
  <c r="AF126" i="23"/>
  <c r="AD130" i="23"/>
  <c r="AF130" i="23"/>
  <c r="AD134" i="23"/>
  <c r="AF134" i="23"/>
  <c r="AD138" i="23"/>
  <c r="AF138" i="23"/>
  <c r="AD142" i="23"/>
  <c r="AF142" i="23"/>
  <c r="AD150" i="23"/>
  <c r="AF150" i="23"/>
  <c r="AD156" i="23"/>
  <c r="AF156" i="23"/>
  <c r="AD294" i="23"/>
  <c r="AF294" i="23"/>
  <c r="AD555" i="23"/>
  <c r="AF555" i="23"/>
  <c r="AD196" i="23"/>
  <c r="AF196" i="23"/>
  <c r="AD220" i="23"/>
  <c r="AF220" i="23"/>
  <c r="AD226" i="23"/>
  <c r="AF226" i="23"/>
  <c r="AD238" i="23"/>
  <c r="AF238" i="23"/>
  <c r="AD254" i="23"/>
  <c r="AF254" i="23"/>
  <c r="AD284" i="23"/>
  <c r="AF284" i="23"/>
  <c r="AD302" i="23"/>
  <c r="AF302" i="23"/>
  <c r="AD306" i="23"/>
  <c r="AF306" i="23"/>
  <c r="AD390" i="23"/>
  <c r="AF390" i="23"/>
  <c r="AD84" i="23"/>
  <c r="AF84" i="23"/>
  <c r="AD272" i="23"/>
  <c r="AF272" i="23"/>
  <c r="AD298" i="23"/>
  <c r="AF298" i="23"/>
  <c r="AD506" i="23"/>
  <c r="AF506" i="23"/>
  <c r="AD16" i="23"/>
  <c r="AF16" i="23"/>
  <c r="AD415" i="23"/>
  <c r="AF415" i="23"/>
  <c r="AD377" i="23"/>
  <c r="AF377" i="23"/>
  <c r="AD348" i="23"/>
  <c r="AF348" i="23"/>
  <c r="AD491" i="23"/>
  <c r="AF491" i="23"/>
  <c r="AD427" i="23"/>
  <c r="AF427" i="23"/>
  <c r="AD403" i="23"/>
  <c r="AF403" i="23"/>
  <c r="AD343" i="23"/>
  <c r="AF343" i="23"/>
  <c r="AD335" i="23"/>
  <c r="AF335" i="23"/>
  <c r="AD547" i="23"/>
  <c r="AF547" i="23"/>
  <c r="AD454" i="23"/>
  <c r="AF454" i="23"/>
  <c r="AD476" i="23"/>
  <c r="AF476" i="23"/>
  <c r="AD500" i="23"/>
  <c r="AF500" i="23"/>
  <c r="AD560" i="23"/>
  <c r="AF560" i="23"/>
  <c r="AF484" i="23"/>
  <c r="AD484" i="23"/>
  <c r="AD518" i="23"/>
  <c r="AF518" i="23"/>
  <c r="AF526" i="23"/>
  <c r="AD526" i="23"/>
  <c r="B109" i="2"/>
  <c r="B110" i="2"/>
  <c r="AF47" i="23" l="1" a="1"/>
  <c r="AF47" i="23" s="1"/>
  <c r="AG572" i="23"/>
  <c r="AF152" i="23" a="1"/>
  <c r="AF152" i="23" s="1"/>
  <c r="AF362" i="23" a="1"/>
  <c r="AF362" i="23" s="1"/>
  <c r="AF572" i="23" a="1"/>
  <c r="AF572" i="23" s="1"/>
  <c r="AF467" i="23" a="1"/>
  <c r="AF467" i="23" s="1"/>
  <c r="AF117" i="23" a="1"/>
  <c r="AF117" i="23" s="1"/>
  <c r="AF537" i="23" a="1"/>
  <c r="AF537" i="23" s="1"/>
  <c r="AC573" i="23"/>
  <c r="AF397" i="23" a="1"/>
  <c r="AF397" i="23" s="1"/>
  <c r="AF432" i="23" a="1"/>
  <c r="AF432" i="23" s="1"/>
  <c r="AF222" i="23" a="1"/>
  <c r="AF222" i="23" s="1"/>
  <c r="AF502" i="23" a="1"/>
  <c r="AF502" i="23" s="1"/>
  <c r="AF257" i="23" a="1"/>
  <c r="AF257" i="23" s="1"/>
  <c r="AF327" i="23" a="1"/>
  <c r="AF327" i="23" s="1"/>
  <c r="AF292" i="23" a="1"/>
  <c r="AF292" i="23" s="1"/>
  <c r="AF187" i="23" a="1"/>
  <c r="AF187" i="23" s="1"/>
  <c r="AD47" i="23" a="1"/>
  <c r="AD47" i="23" s="1"/>
  <c r="AG573" i="23" l="1"/>
  <c r="AS15" i="23"/>
  <c r="E4" i="23"/>
  <c r="E6" i="23" s="1"/>
  <c r="E8" i="23"/>
  <c r="AF573" i="23"/>
  <c r="AS16" i="23" s="1"/>
  <c r="AS18" i="23" l="1"/>
  <c r="AS17" i="23"/>
  <c r="AF586"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13"/>
        </ext>
      </extLst>
    </bk>
    <bk>
      <extLst>
        <ext uri="{3e2802c4-a4d2-4d8b-9148-e3be6c30e623}">
          <xlrd:rvb i="36"/>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<sst xmlns="http://schemas.openxmlformats.org/spreadsheetml/2006/main" count="6963" uniqueCount="2895">
  <si>
    <t xml:space="preserve">COTIZACION #  </t>
  </si>
  <si>
    <t>400-19383</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</si>
  <si>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</si>
  <si>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</si>
  <si>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</si>
  <si>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</si>
  <si>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</si>
  <si>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</si>
  <si>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</si>
  <si>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</si>
  <si>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</si>
  <si>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</si>
  <si>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</si>
  <si>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</si>
  <si>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</si>
  <si>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</si>
  <si>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</si>
  <si>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</si>
  <si>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</si>
  <si>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</si>
  <si>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</si>
  <si>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</si>
  <si>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</si>
  <si>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</si>
  <si>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</si>
  <si>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</si>
  <si>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</si>
  <si>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</si>
  <si>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</si>
  <si>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+ 20% Contra Aviso de Embarque + 20%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</si>
  <si>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</si>
  <si>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</si>
  <si>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</si>
  <si>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</si>
  <si>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</si>
  <si>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</si>
  <si>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</si>
  <si>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</si>
  <si>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</si>
  <si>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</si>
  <si>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</si>
  <si>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</si>
  <si>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</si>
  <si>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</si>
  <si>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</si>
  <si>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</si>
  <si>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</si>
  <si>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</si>
  <si>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</si>
  <si>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</si>
  <si>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</si>
  <si>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</si>
  <si>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</si>
  <si>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</si>
  <si>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</si>
  <si>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</si>
  <si>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</si>
  <si>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</si>
  <si>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</si>
  <si>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</si>
  <si>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</si>
  <si>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</si>
  <si>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</si>
  <si>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</si>
  <si>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</si>
  <si>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</si>
  <si>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</si>
  <si>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</si>
  <si>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</si>
  <si>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</si>
  <si>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</si>
  <si>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</si>
  <si>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</si>
  <si>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</si>
  <si>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</si>
  <si>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</si>
  <si>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</si>
  <si>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</si>
  <si>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</si>
  <si>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</si>
  <si>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</si>
  <si>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</si>
  <si>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</si>
  <si>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</si>
  <si>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</si>
  <si>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</si>
  <si>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</si>
  <si>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</si>
  <si>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</si>
  <si>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</si>
  <si>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</si>
  <si>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</si>
  <si>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</si>
  <si>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</si>
  <si>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</si>
  <si>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</si>
  <si>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</si>
  <si>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</si>
  <si>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</si>
  <si>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</si>
  <si>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</si>
  <si>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</si>
  <si>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</si>
  <si>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</si>
  <si>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</si>
  <si>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</si>
  <si>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NOTA: ESTE ES EL SUBTOTAL ANTES DE FLETE, INSTALACIÓN E IVA</t>
  </si>
  <si>
    <t>Dólares</t>
  </si>
  <si>
    <t>Sección 1 - NOMBRE</t>
  </si>
  <si>
    <t>TABLA DE ESQUEMA COMISION INTERMEDIARIO</t>
  </si>
  <si>
    <t>Precio de Venta Base</t>
  </si>
  <si>
    <t>Precio de Venta Final</t>
  </si>
  <si>
    <t>Monto Comisión</t>
  </si>
  <si>
    <t>% Resultante</t>
  </si>
  <si>
    <t>20% de comisión</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</si>
  <si>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</si>
  <si>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</si>
  <si>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</si>
  <si>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</si>
  <si>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</si>
  <si>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</si>
  <si>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</si>
  <si>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</si>
  <si>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</si>
  <si>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</si>
  <si>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</si>
  <si>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</si>
  <si>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</si>
  <si>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</si>
  <si>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</si>
  <si>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</si>
  <si>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</si>
  <si>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</si>
  <si>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</si>
  <si>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</si>
  <si>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</si>
  <si>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</si>
  <si>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</si>
  <si>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</si>
  <si>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</si>
  <si>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</si>
  <si>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</si>
  <si>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</si>
  <si>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</si>
  <si>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</si>
  <si>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</si>
  <si>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</si>
  <si>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</si>
  <si>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</si>
  <si>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</si>
  <si>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</si>
  <si>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</si>
  <si>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</si>
  <si>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</si>
  <si>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</si>
  <si>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</si>
  <si>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</si>
  <si>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</si>
  <si>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</si>
  <si>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</si>
  <si>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</si>
  <si>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</si>
  <si>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</si>
  <si>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</si>
  <si>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</si>
  <si>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</si>
  <si>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</si>
  <si>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</si>
  <si>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</si>
  <si>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</si>
  <si>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</si>
  <si>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</si>
  <si>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</si>
  <si>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</si>
  <si>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</si>
  <si>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</si>
  <si>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</si>
  <si>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</si>
  <si>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</si>
  <si>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</si>
  <si>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</si>
  <si>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</si>
  <si>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</si>
  <si>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</si>
  <si>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</si>
  <si>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</si>
  <si>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</si>
  <si>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</si>
  <si>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usd</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</si>
  <si>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</si>
  <si>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</si>
  <si>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</si>
  <si>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</si>
  <si>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</si>
  <si>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</si>
  <si>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</si>
  <si>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</si>
  <si>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</si>
  <si>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</si>
  <si>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</si>
  <si>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</si>
  <si>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</si>
  <si>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</si>
  <si>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</si>
  <si>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</si>
  <si>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</si>
  <si>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</si>
  <si>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</si>
  <si>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</si>
  <si>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</si>
  <si>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</si>
  <si>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DEFINIR COSTOS BIEN HECHOS</t>
  </si>
  <si>
    <t>CONCEPTOS SOFAS</t>
  </si>
  <si>
    <t>BUSCAR FACILIDAD CON VENTAS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</si>
  <si>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</si>
  <si>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</si>
  <si>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</si>
  <si>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</si>
  <si>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</si>
  <si>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</si>
  <si>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</si>
  <si>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</si>
  <si>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</si>
  <si>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</si>
  <si>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</si>
  <si>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</si>
  <si>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</si>
  <si>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</si>
  <si>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</si>
  <si>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</si>
  <si>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</si>
  <si>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</si>
  <si>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</si>
  <si>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</si>
  <si>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</si>
  <si>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</si>
  <si>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</si>
  <si>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Costo de Diseño (x Hora)</t>
  </si>
  <si>
    <t xml:space="preserve">Costo m3 Dylon / General </t>
  </si>
  <si>
    <t>Horas de Diseño</t>
  </si>
  <si>
    <t>Costo m3 AA / General</t>
  </si>
  <si>
    <t>Costo</t>
  </si>
  <si>
    <t>M3  Proyecto</t>
  </si>
  <si>
    <t>TOTAL COSTO DE PROYECTOS</t>
  </si>
  <si>
    <t>ENVÍO E INSTALACIÓN</t>
  </si>
  <si>
    <t>Precio Venta Con IVA:</t>
  </si>
  <si>
    <t>Para ingresar cantidad específica en $, dejar porcentaje en 0</t>
  </si>
  <si>
    <t>Producto Sunon</t>
  </si>
  <si>
    <t>Porcentaje Cliente</t>
  </si>
  <si>
    <t>Producto Jome</t>
  </si>
  <si>
    <t>Porcentaje Asignado</t>
  </si>
  <si>
    <t>Producto Lumbro</t>
  </si>
  <si>
    <t>Precio Cliente</t>
  </si>
  <si>
    <t>Producto Me-Work</t>
  </si>
  <si>
    <t>Precio Asignado</t>
  </si>
  <si>
    <t>Impuestos 25% IGI</t>
  </si>
  <si>
    <t>IVA 16%</t>
  </si>
  <si>
    <t>TOTALES EN COTIZACIÓN</t>
  </si>
  <si>
    <t>Imp 25% Valor Comercial 7%</t>
  </si>
  <si>
    <t>ENVÍO E INSTALACIÓN (EN COTI)</t>
  </si>
  <si>
    <t>Flete Maritimo Con IVA</t>
  </si>
  <si>
    <t>Variables UVA, Maniobras, Almacenajes</t>
  </si>
  <si>
    <t>IVA</t>
  </si>
  <si>
    <t>Forwarder 30%</t>
  </si>
  <si>
    <t>TOTAL</t>
  </si>
  <si>
    <t>Agente Aduanal 10%</t>
  </si>
  <si>
    <t>Costo 6%</t>
  </si>
  <si>
    <t>COSTO FINANCIERO</t>
  </si>
  <si>
    <t>Costo Meses Sin Intereses</t>
  </si>
  <si>
    <t>Fianza</t>
  </si>
  <si>
    <t xml:space="preserve">Costo Fijo </t>
  </si>
  <si>
    <t>¿Lleva fianza? (si/no)</t>
  </si>
  <si>
    <t>N0</t>
  </si>
  <si>
    <t>Utilidad</t>
  </si>
  <si>
    <t>Monto de fianza (calculado al monto de anticipo)</t>
  </si>
  <si>
    <t>Flete e Instalacion</t>
  </si>
  <si>
    <t>Semanas de fianza (calculado a último pago)</t>
  </si>
  <si>
    <t>Total Gastos</t>
  </si>
  <si>
    <t>Costo de Fianza</t>
  </si>
  <si>
    <t>Utilidad Con IVA</t>
  </si>
  <si>
    <t>Pagos Diferidos</t>
  </si>
  <si>
    <t>Utilidad Sin IVA</t>
  </si>
  <si>
    <t>Pago 1</t>
  </si>
  <si>
    <t>GOP</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</si>
  <si>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</si>
  <si>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</si>
  <si>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</si>
  <si>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</si>
  <si>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</si>
  <si>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</si>
  <si>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</si>
  <si>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</si>
  <si>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</si>
  <si>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</si>
  <si>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</si>
  <si>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</si>
  <si>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</si>
  <si>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</si>
  <si>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</si>
  <si>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</si>
  <si>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</si>
  <si>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</si>
  <si>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</si>
  <si>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</si>
  <si>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</si>
  <si>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</si>
  <si>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</si>
  <si>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</si>
  <si>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</si>
  <si>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</si>
  <si>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</si>
  <si>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</si>
  <si>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</si>
  <si>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</si>
  <si>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</si>
  <si>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</si>
  <si>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</si>
  <si>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</si>
  <si>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</si>
  <si>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</si>
  <si>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</si>
  <si>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</si>
  <si>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</si>
  <si>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</si>
  <si>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</si>
  <si>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</si>
  <si>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</si>
  <si>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</si>
  <si>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</si>
  <si>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</si>
  <si>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</si>
  <si>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</si>
  <si>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</si>
  <si>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</si>
  <si>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REGIONES</t>
  </si>
  <si>
    <t>SELECCIONAR EL FLETE A LA ZONA MÁS CERCANA / CANTIDAD DE MUEBLES</t>
  </si>
  <si>
    <t>MONEDA</t>
  </si>
  <si>
    <t>Pesos</t>
  </si>
  <si>
    <t>EMPRESA</t>
  </si>
  <si>
    <t>CLAVE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</si>
  <si>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</si>
  <si>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</si>
  <si>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</si>
  <si>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</si>
  <si>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</si>
  <si>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</si>
  <si>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</si>
  <si>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</si>
  <si>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</si>
  <si>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</si>
  <si>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</si>
  <si>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</si>
  <si>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</si>
  <si>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</si>
  <si>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</si>
  <si>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</si>
  <si>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</si>
  <si>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</si>
  <si>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</si>
  <si>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</si>
  <si>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</si>
  <si>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</si>
  <si>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</si>
  <si>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</si>
  <si>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</si>
  <si>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</si>
  <si>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</si>
  <si>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</si>
  <si>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</si>
  <si>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</si>
  <si>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</si>
  <si>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</si>
  <si>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</si>
  <si>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</si>
  <si>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</si>
  <si>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</si>
  <si>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</si>
  <si>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</si>
  <si>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</si>
  <si>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</si>
  <si>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</si>
  <si>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</si>
  <si>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</si>
  <si>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</si>
  <si>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</si>
  <si>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</si>
  <si>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</si>
  <si>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</si>
  <si>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</si>
  <si>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</si>
  <si>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</si>
  <si>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</si>
  <si>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</si>
  <si>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</si>
  <si>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</si>
  <si>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</si>
  <si>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</si>
  <si>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</si>
  <si>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</si>
  <si>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</si>
  <si>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</si>
  <si>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</si>
  <si>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</si>
  <si>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</si>
  <si>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</si>
  <si>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</si>
  <si>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</si>
  <si>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</si>
  <si>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</si>
  <si>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</si>
  <si>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</si>
  <si>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</si>
  <si>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</si>
  <si>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</si>
  <si>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</si>
  <si>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</si>
  <si>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</si>
  <si>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</si>
  <si>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</si>
  <si>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</si>
  <si>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</si>
  <si>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</si>
  <si>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</si>
  <si>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</si>
  <si>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</si>
  <si>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</si>
  <si>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</si>
  <si>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</si>
  <si>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</si>
  <si>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</si>
  <si>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</si>
  <si>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</si>
  <si>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</si>
  <si>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</si>
  <si>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</si>
  <si>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</si>
  <si>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</si>
  <si>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</si>
  <si>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</si>
  <si>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</si>
  <si>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</si>
  <si>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</si>
  <si>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</si>
  <si>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</si>
  <si>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</si>
  <si>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</si>
  <si>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</si>
  <si>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</si>
  <si>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</si>
  <si>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</si>
  <si>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</si>
  <si>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</si>
  <si>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</si>
  <si>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</si>
  <si>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</si>
  <si>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</si>
  <si>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</si>
  <si>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</si>
  <si>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</si>
  <si>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</si>
  <si>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</si>
  <si>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</si>
  <si>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</si>
  <si>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</si>
  <si>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</si>
  <si>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</si>
  <si>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</si>
  <si>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</si>
  <si>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</si>
  <si>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</si>
  <si>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</si>
  <si>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</si>
  <si>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</si>
  <si>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</si>
  <si>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</si>
  <si>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</si>
  <si>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</si>
  <si>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</si>
  <si>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</si>
  <si>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</si>
  <si>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</si>
  <si>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</si>
  <si>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</si>
  <si>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</si>
  <si>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</si>
  <si>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</si>
  <si>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</si>
  <si>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</si>
  <si>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</si>
  <si>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</si>
  <si>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</si>
  <si>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</si>
  <si>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</si>
  <si>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</si>
  <si>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</si>
  <si>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</si>
  <si>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</si>
  <si>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</si>
  <si>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</si>
  <si>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</si>
  <si>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</si>
  <si>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</si>
  <si>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</si>
  <si>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</si>
  <si>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</si>
  <si>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</si>
  <si>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</si>
  <si>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</si>
  <si>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</si>
  <si>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</si>
  <si>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</si>
  <si>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</si>
  <si>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</si>
  <si>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</si>
  <si>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</si>
  <si>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</si>
  <si>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</si>
  <si>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</si>
  <si>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</si>
  <si>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</si>
  <si>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</si>
  <si>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</si>
  <si>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</si>
  <si>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</si>
  <si>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</si>
  <si>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</si>
  <si>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</si>
  <si>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</si>
  <si>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</si>
  <si>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</si>
  <si>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</si>
  <si>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</si>
  <si>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</si>
  <si>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</si>
  <si>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</si>
  <si>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</si>
  <si>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</si>
  <si>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</si>
  <si>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</si>
  <si>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</si>
  <si>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</si>
  <si>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</si>
  <si>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</si>
  <si>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</si>
  <si>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</si>
  <si>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</si>
  <si>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</si>
  <si>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</si>
  <si>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</si>
  <si>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</si>
  <si>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</si>
  <si>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</si>
  <si>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</si>
  <si>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</si>
  <si>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</si>
  <si>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</si>
  <si>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</si>
  <si>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</si>
  <si>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</si>
  <si>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</si>
  <si>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</si>
  <si>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</si>
  <si>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</si>
  <si>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</si>
  <si>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</si>
  <si>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</si>
  <si>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</si>
  <si>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</si>
  <si>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</si>
  <si>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</si>
  <si>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</si>
  <si>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</si>
  <si>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</si>
  <si>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</si>
  <si>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</si>
  <si>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</si>
  <si>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</si>
  <si>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</si>
  <si>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</si>
  <si>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</si>
  <si>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</si>
  <si>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</si>
  <si>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</si>
  <si>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</si>
  <si>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</si>
  <si>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</si>
  <si>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</si>
  <si>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</si>
  <si>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</si>
  <si>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</si>
  <si>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</si>
  <si>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</si>
  <si>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</si>
  <si>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</si>
  <si>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</si>
  <si>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</si>
  <si>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</si>
  <si>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</si>
  <si>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</si>
  <si>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</si>
  <si>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</si>
  <si>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</si>
  <si>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</si>
  <si>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</si>
  <si>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</si>
  <si>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</si>
  <si>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</si>
  <si>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</si>
  <si>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</si>
  <si>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</si>
  <si>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</si>
  <si>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</si>
  <si>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</si>
  <si>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</si>
  <si>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</si>
  <si>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</si>
  <si>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</si>
  <si>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</si>
  <si>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</si>
  <si>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</si>
  <si>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</si>
  <si>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</si>
  <si>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</si>
  <si>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</si>
  <si>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</si>
  <si>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</si>
  <si>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</si>
  <si>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</si>
  <si>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</si>
  <si>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</si>
  <si>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</si>
  <si>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</si>
  <si>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</si>
  <si>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</si>
  <si>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</si>
  <si>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</si>
  <si>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</si>
  <si>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</si>
  <si>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</si>
  <si>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</si>
  <si>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</si>
  <si>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</si>
  <si>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</si>
  <si>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</si>
  <si>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</si>
  <si>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</si>
  <si>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</si>
  <si>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</si>
  <si>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</si>
  <si>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</si>
  <si>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</si>
  <si>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</si>
  <si>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</si>
  <si>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</si>
  <si>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</si>
  <si>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</si>
  <si>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</si>
  <si>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</si>
  <si>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</si>
  <si>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</si>
  <si>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</si>
  <si>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</si>
  <si>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</si>
  <si>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</si>
  <si>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</si>
  <si>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</si>
  <si>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</si>
  <si>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</si>
  <si>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</si>
  <si>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</si>
  <si>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</si>
  <si>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</si>
  <si>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</si>
  <si>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</si>
  <si>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</si>
  <si>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</si>
  <si>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</si>
  <si>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</si>
  <si>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</si>
  <si>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</si>
  <si>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</si>
  <si>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</si>
  <si>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</si>
  <si>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</si>
  <si>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</si>
  <si>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</si>
  <si>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</si>
  <si>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</si>
  <si>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</si>
  <si>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</si>
  <si>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</si>
  <si>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</si>
  <si>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</si>
  <si>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</si>
  <si>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</si>
  <si>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</si>
  <si>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</si>
  <si>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</si>
  <si>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</si>
  <si>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</si>
  <si>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</si>
  <si>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</si>
  <si>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</si>
  <si>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</si>
  <si>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</si>
  <si>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</si>
  <si>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</si>
  <si>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</si>
  <si>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</si>
  <si>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</si>
  <si>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</si>
  <si>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</si>
  <si>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</si>
  <si>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</si>
  <si>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</si>
  <si>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</si>
  <si>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</si>
  <si>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</si>
  <si>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</si>
  <si>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</si>
  <si>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</si>
  <si>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</si>
  <si>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</si>
  <si>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</si>
  <si>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</si>
  <si>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</si>
  <si>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</si>
  <si>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</si>
  <si>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</si>
  <si>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</si>
  <si>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</si>
  <si>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</si>
  <si>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</si>
  <si>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</si>
  <si>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</si>
  <si>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</si>
  <si>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</si>
  <si>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</si>
  <si>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</si>
  <si>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</si>
  <si>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</si>
  <si>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</si>
  <si>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</si>
  <si>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</si>
  <si>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</si>
  <si>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</si>
  <si>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</si>
  <si>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</si>
  <si>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</si>
  <si>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</si>
  <si>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</si>
  <si>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</si>
  <si>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</si>
  <si>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</si>
  <si>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</si>
  <si>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</si>
  <si>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</si>
  <si>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</si>
  <si>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</si>
  <si>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</si>
  <si>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</si>
  <si>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</si>
  <si>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</si>
  <si>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</si>
  <si>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</si>
  <si>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</si>
  <si>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</si>
  <si>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</si>
  <si>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</si>
  <si>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</si>
  <si>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</si>
  <si>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</si>
  <si>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</si>
  <si>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</si>
  <si>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</si>
  <si>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</si>
  <si>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</si>
  <si>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</si>
  <si>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</si>
  <si>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</si>
  <si>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</si>
  <si>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</si>
  <si>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</si>
  <si>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</si>
  <si>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</si>
  <si>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</si>
  <si>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</si>
  <si>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</si>
  <si>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</si>
  <si>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</si>
  <si>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</si>
  <si>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</si>
  <si>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</si>
  <si>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</si>
  <si>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</si>
  <si>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</si>
  <si>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</si>
  <si>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</si>
  <si>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</si>
  <si>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</si>
  <si>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</si>
  <si>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</si>
  <si>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</si>
  <si>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</si>
  <si>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</si>
  <si>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</si>
  <si>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</si>
  <si>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</si>
  <si>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</si>
  <si>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</si>
  <si>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</si>
  <si>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</si>
  <si>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</si>
  <si>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</si>
  <si>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</si>
  <si>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</si>
  <si>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</si>
  <si>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</si>
  <si>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</si>
  <si>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</si>
  <si>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</si>
  <si>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</si>
  <si>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</si>
  <si>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</si>
  <si>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</si>
  <si>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</si>
  <si>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</si>
  <si>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</si>
  <si>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</si>
  <si>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</si>
  <si>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</si>
  <si>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</si>
  <si>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</si>
  <si>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</si>
  <si>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</si>
  <si>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</si>
  <si>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</si>
  <si>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</si>
  <si>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</si>
  <si>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</si>
  <si>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</si>
  <si>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</si>
  <si>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</si>
  <si>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</si>
  <si>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</si>
  <si>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</si>
  <si>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</si>
  <si>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</si>
  <si>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</si>
  <si>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</si>
  <si>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</si>
  <si>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</si>
  <si>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</si>
  <si>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</si>
  <si>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</si>
  <si>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</si>
  <si>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</si>
  <si>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</si>
  <si>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</si>
  <si>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</si>
  <si>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</si>
  <si>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</si>
  <si>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</si>
  <si>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</si>
  <si>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</si>
  <si>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</si>
  <si>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</si>
  <si>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</si>
  <si>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</si>
  <si>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</si>
  <si>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</si>
  <si>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</si>
  <si>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</si>
  <si>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</si>
  <si>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</si>
  <si>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</si>
  <si>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</si>
  <si>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</si>
  <si>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</si>
  <si>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</si>
  <si>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</si>
  <si>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</si>
  <si>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</si>
  <si>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</si>
  <si>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</si>
  <si>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</si>
  <si>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</si>
  <si>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</si>
  <si>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</si>
  <si>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</si>
  <si>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</si>
  <si>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</si>
  <si>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</si>
  <si>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</si>
  <si>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</si>
  <si>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</si>
  <si>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</si>
  <si>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</si>
  <si>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</si>
  <si>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</si>
  <si>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</si>
  <si>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</si>
  <si>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</si>
  <si>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</si>
  <si>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</si>
  <si>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</si>
  <si>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</si>
  <si>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</si>
  <si>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</si>
  <si>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</si>
  <si>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</si>
  <si>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</si>
  <si>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</si>
  <si>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</si>
  <si>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</si>
  <si>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</si>
  <si>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</si>
  <si>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</si>
  <si>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</si>
  <si>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</si>
  <si>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</si>
  <si>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</si>
  <si>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</si>
  <si>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</si>
  <si>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</si>
  <si>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</si>
  <si>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</si>
  <si>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</si>
  <si>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</si>
  <si>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</si>
  <si>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</si>
  <si>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</si>
  <si>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</si>
  <si>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</si>
  <si>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</si>
  <si>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</si>
  <si>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</si>
  <si>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</si>
  <si>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</si>
  <si>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</si>
  <si>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</si>
  <si>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</si>
  <si>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</si>
  <si>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</si>
  <si>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</si>
  <si>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</si>
  <si>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</si>
  <si>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</si>
  <si>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</si>
  <si>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</si>
  <si>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</si>
  <si>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</si>
  <si>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</si>
  <si>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</si>
  <si>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</si>
  <si>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</si>
  <si>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</si>
  <si>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</si>
  <si>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</si>
  <si>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</si>
  <si>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</si>
  <si>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</si>
  <si>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</si>
  <si>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</si>
  <si>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</si>
  <si>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</si>
  <si>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</si>
  <si>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</si>
  <si>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</si>
  <si>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</si>
  <si>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</si>
  <si>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</si>
  <si>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</si>
  <si>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</si>
  <si>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</si>
  <si>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</si>
  <si>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</si>
  <si>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</si>
  <si>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</si>
  <si>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</si>
  <si>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</si>
  <si>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</si>
  <si>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</si>
  <si>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</si>
  <si>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</si>
  <si>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</si>
  <si>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</si>
  <si>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</si>
  <si>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</si>
  <si>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</si>
  <si>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</si>
  <si>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</si>
  <si>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</si>
  <si>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</si>
  <si>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</si>
  <si>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</si>
  <si>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</si>
  <si>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</si>
  <si>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</si>
  <si>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</si>
  <si>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</si>
  <si>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</si>
  <si>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</si>
  <si>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</si>
  <si>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</si>
  <si>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</si>
  <si>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</si>
  <si>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</si>
  <si>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</si>
  <si>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</si>
  <si>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</si>
  <si>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</si>
  <si>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</si>
  <si>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</si>
  <si>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</si>
  <si>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</si>
  <si>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</si>
  <si>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</si>
  <si>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</si>
  <si>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</si>
  <si>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</si>
  <si>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</si>
  <si>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</si>
  <si>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</si>
  <si>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</si>
  <si>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</si>
  <si>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</si>
  <si>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</si>
  <si>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</si>
  <si>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</si>
  <si>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</si>
  <si>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</si>
  <si>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</si>
  <si>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</si>
  <si>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</si>
  <si>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</si>
  <si>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</si>
  <si>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</si>
  <si>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</si>
  <si>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</si>
  <si>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</si>
  <si>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</si>
  <si>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</si>
  <si>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</si>
  <si>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</si>
  <si>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</si>
  <si>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</si>
  <si>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</si>
  <si>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</si>
  <si>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</si>
  <si>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</si>
  <si>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</si>
  <si>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</si>
  <si>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</si>
  <si>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</si>
  <si>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</si>
  <si>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</si>
  <si>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</si>
  <si>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</si>
  <si>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</si>
  <si>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</si>
  <si>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</si>
  <si>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</si>
  <si>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</si>
  <si>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</si>
  <si>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</si>
  <si>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</si>
  <si>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</si>
  <si>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</si>
  <si>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</si>
  <si>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</si>
  <si>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</si>
  <si>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</si>
  <si>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</si>
  <si>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</si>
  <si>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</si>
  <si>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</si>
  <si>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</si>
  <si>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</si>
  <si>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</si>
  <si>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</si>
  <si>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</si>
  <si>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</si>
  <si>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</si>
  <si>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</si>
  <si>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</si>
  <si>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</si>
  <si>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</si>
  <si>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</si>
  <si>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</si>
  <si>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</si>
  <si>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</si>
  <si>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</si>
  <si>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</si>
  <si>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</si>
  <si>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</si>
  <si>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</si>
  <si>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</si>
  <si>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</si>
  <si>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</si>
  <si>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</si>
  <si>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</si>
  <si>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</si>
  <si>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</si>
  <si>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</si>
  <si>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</si>
  <si>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</si>
  <si>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</si>
  <si>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</si>
  <si>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</si>
  <si>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</si>
  <si>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</si>
  <si>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</si>
  <si>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</si>
  <si>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</si>
  <si>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</si>
  <si>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</si>
  <si>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</si>
  <si>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</si>
  <si>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</si>
  <si>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</si>
  <si>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</si>
  <si>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</si>
  <si>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</si>
  <si>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</si>
  <si>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</si>
  <si>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</si>
  <si>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</si>
  <si>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</si>
  <si>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</si>
  <si>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</si>
  <si>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</si>
  <si>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</si>
  <si>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</si>
  <si>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</si>
  <si>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</si>
  <si>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</si>
  <si>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</si>
  <si>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</si>
  <si>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</si>
  <si>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</si>
  <si>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</si>
  <si>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</si>
  <si>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</si>
  <si>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</si>
  <si>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</si>
  <si>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</si>
  <si>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</si>
  <si>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</si>
  <si>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</si>
  <si>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</si>
  <si>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</si>
  <si>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</si>
  <si>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</si>
  <si>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</si>
  <si>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</si>
  <si>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</si>
  <si>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</si>
  <si>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</si>
  <si>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</si>
  <si>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</si>
  <si>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</si>
  <si>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</si>
  <si>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</si>
  <si>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</si>
  <si>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</si>
  <si>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</si>
  <si>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</si>
  <si>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</si>
  <si>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</si>
  <si>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</si>
  <si>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</si>
  <si>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</si>
  <si>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</si>
  <si>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</si>
  <si>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</si>
  <si>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</si>
  <si>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</si>
  <si>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</si>
  <si>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</si>
  <si>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</si>
  <si>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</si>
  <si>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</si>
  <si>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</si>
  <si>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</si>
  <si>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</si>
  <si>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</si>
  <si>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</si>
  <si>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</si>
  <si>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</si>
  <si>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</si>
  <si>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</si>
  <si>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</si>
  <si>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</si>
  <si>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</si>
  <si>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</si>
  <si>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</si>
  <si>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</si>
  <si>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</si>
  <si>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</si>
  <si>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</si>
  <si>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</si>
  <si>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</si>
  <si>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</si>
  <si>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</si>
  <si>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</si>
  <si>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</si>
  <si>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</si>
  <si>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</si>
  <si>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</si>
  <si>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</si>
  <si>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</si>
  <si>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</si>
  <si>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</si>
  <si>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</si>
  <si>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</si>
  <si>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</si>
  <si>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</si>
  <si>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</si>
  <si>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</si>
  <si>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</si>
  <si>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</si>
  <si>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</si>
  <si>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</si>
  <si>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</si>
  <si>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</si>
  <si>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</si>
  <si>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</si>
  <si>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</si>
  <si>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</si>
  <si>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</si>
  <si>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</si>
  <si>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</si>
  <si>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</si>
  <si>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</si>
  <si>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</si>
  <si>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</si>
  <si>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</si>
  <si>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</si>
  <si>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</si>
  <si>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</si>
  <si>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</si>
  <si>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</si>
  <si>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</si>
  <si>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</si>
  <si>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</si>
  <si>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</si>
  <si>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</si>
  <si>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</si>
  <si>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</si>
  <si>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</si>
  <si>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</si>
  <si>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</si>
  <si>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</si>
  <si>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</si>
  <si>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</si>
  <si>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</si>
  <si>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</si>
  <si>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</si>
  <si>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</si>
  <si>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</si>
  <si>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</si>
  <si>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</si>
  <si>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</si>
  <si>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</si>
  <si>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</si>
  <si>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</si>
  <si>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</si>
  <si>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</si>
  <si>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</si>
  <si>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</si>
  <si>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</si>
  <si>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</si>
  <si>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</si>
  <si>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</si>
  <si>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</si>
  <si>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</si>
  <si>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</si>
  <si>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</si>
  <si>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</si>
  <si>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</si>
  <si>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</si>
  <si>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</si>
  <si>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</si>
  <si>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</si>
  <si>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</si>
  <si>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</si>
  <si>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</si>
  <si>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</si>
  <si>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</si>
  <si>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</si>
  <si>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</si>
  <si>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</si>
  <si>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</si>
  <si>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</si>
  <si>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</si>
  <si>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</si>
  <si>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</si>
  <si>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</si>
  <si>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</si>
  <si>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</si>
  <si>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</si>
  <si>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</si>
  <si>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</si>
  <si>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</si>
  <si>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</si>
  <si>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</si>
  <si>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</si>
  <si>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</si>
  <si>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</si>
  <si>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</si>
  <si>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</si>
  <si>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</si>
  <si>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</si>
  <si>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</si>
  <si>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</si>
  <si>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</si>
  <si>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</si>
  <si>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</si>
  <si>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</si>
  <si>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</si>
  <si>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</si>
  <si>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</si>
  <si>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</si>
  <si>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</si>
  <si>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</si>
  <si>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</si>
  <si>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</si>
  <si>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</si>
  <si>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</si>
  <si>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</si>
  <si>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</si>
  <si>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</si>
  <si>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</si>
  <si>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</si>
  <si>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</si>
  <si>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</si>
  <si>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</si>
  <si>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</si>
  <si>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</si>
  <si>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</si>
  <si>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</si>
  <si>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</si>
  <si>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</si>
  <si>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</si>
  <si>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</si>
  <si>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</si>
  <si>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</si>
  <si>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</si>
  <si>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</si>
  <si>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</si>
  <si>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</si>
  <si>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</si>
  <si>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</si>
  <si>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</si>
  <si>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</si>
  <si>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</si>
  <si>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</si>
  <si>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</si>
  <si>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</si>
  <si>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</si>
  <si>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</si>
  <si>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</si>
  <si>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</si>
  <si>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</si>
  <si>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</si>
  <si>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</si>
  <si>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</si>
  <si>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</si>
  <si>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</si>
  <si>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</si>
  <si>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</si>
  <si>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</si>
  <si>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</si>
  <si>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</si>
  <si>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</si>
  <si>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</si>
  <si>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</si>
  <si>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</si>
  <si>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</si>
  <si>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</si>
  <si>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</si>
  <si>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</si>
  <si>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</si>
  <si>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</si>
  <si>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</si>
  <si>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</si>
  <si>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</si>
  <si>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</si>
  <si>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</si>
  <si>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</si>
  <si>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</si>
  <si>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</si>
  <si>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</si>
  <si>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</si>
  <si>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</si>
  <si>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</si>
  <si>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</si>
  <si>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</si>
  <si>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</si>
  <si>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</si>
  <si>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</si>
  <si>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</si>
  <si>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</si>
  <si>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</si>
  <si>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</si>
  <si>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</si>
  <si>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</si>
  <si>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</si>
  <si>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</si>
  <si>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</si>
  <si>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</si>
  <si>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</si>
  <si>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</si>
  <si>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</si>
  <si>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</si>
  <si>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</si>
  <si>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</si>
  <si>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</si>
  <si>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</si>
  <si>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</si>
  <si>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</si>
  <si>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</si>
  <si>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</si>
  <si>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</si>
  <si>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</si>
  <si>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</si>
  <si>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</si>
  <si>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</si>
  <si>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</si>
  <si>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</si>
  <si>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</si>
  <si>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</si>
  <si>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</si>
  <si>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</si>
  <si>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</si>
  <si>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</si>
  <si>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</si>
  <si>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</si>
  <si>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</si>
  <si>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</si>
  <si>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</si>
  <si>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</si>
  <si>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</si>
  <si>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</si>
  <si>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</si>
  <si>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</si>
  <si>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</si>
  <si>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</si>
  <si>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</si>
  <si>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</si>
  <si>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</si>
  <si>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</si>
  <si>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</si>
  <si>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</si>
  <si>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</si>
  <si>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</si>
  <si>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</si>
  <si>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</si>
  <si>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</si>
  <si>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</si>
  <si>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</si>
  <si>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</si>
  <si>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</si>
  <si>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</si>
  <si>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</si>
  <si>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</si>
  <si>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</si>
  <si>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</si>
  <si>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</si>
  <si>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</si>
  <si>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</si>
  <si>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</si>
  <si>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</si>
  <si>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</si>
  <si>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</si>
  <si>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</si>
  <si>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</si>
  <si>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</si>
  <si>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</si>
  <si>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</si>
  <si>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</si>
  <si>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</si>
  <si>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</si>
  <si>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</si>
  <si>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</si>
  <si>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</si>
  <si>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</si>
  <si>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</si>
  <si>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</si>
  <si>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</si>
  <si>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</si>
  <si>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</si>
  <si>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</si>
  <si>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</si>
  <si>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</si>
  <si>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</si>
  <si>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</si>
  <si>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</si>
  <si>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</si>
  <si>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</si>
  <si>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</si>
  <si>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</si>
  <si>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</si>
  <si>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</si>
  <si>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</si>
  <si>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</si>
  <si>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</si>
  <si>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</si>
  <si>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</si>
  <si>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</si>
  <si>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</si>
  <si>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</si>
  <si>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</si>
  <si>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</si>
  <si>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</si>
  <si>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</si>
  <si>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</si>
  <si>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</si>
  <si>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</si>
  <si>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</si>
  <si>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</si>
  <si>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</si>
  <si>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</si>
  <si>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</si>
  <si>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</si>
  <si>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</si>
  <si>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</si>
  <si>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</si>
  <si>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</si>
  <si>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</si>
  <si>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</si>
  <si>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</si>
  <si>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</si>
  <si>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</si>
  <si>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</si>
  <si>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</si>
  <si>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</si>
  <si>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</si>
  <si>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</si>
  <si>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</si>
  <si>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</si>
  <si>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</si>
  <si>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</si>
  <si>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</si>
  <si>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</si>
  <si>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</si>
  <si>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</si>
  <si>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</si>
  <si>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</si>
  <si>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</si>
  <si>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</si>
  <si>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</si>
  <si>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</si>
  <si>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</si>
  <si>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</si>
  <si>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</si>
  <si>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</si>
  <si>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</si>
  <si>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</si>
  <si>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</si>
  <si>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</si>
  <si>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</si>
  <si>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</si>
  <si>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</si>
  <si>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</si>
  <si>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</si>
  <si>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</si>
  <si>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</si>
  <si>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</si>
  <si>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</si>
  <si>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</si>
  <si>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</si>
  <si>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</si>
  <si>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</si>
  <si>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</si>
  <si>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</si>
  <si>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</si>
  <si>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</si>
  <si>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</si>
  <si>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</si>
  <si>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</si>
  <si>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</si>
  <si>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</si>
  <si>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</si>
  <si>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</si>
  <si>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</si>
  <si>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</si>
  <si>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</si>
  <si>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</si>
  <si>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</si>
  <si>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</si>
  <si>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</si>
  <si>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</si>
  <si>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</si>
  <si>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</si>
  <si>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</si>
  <si>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</si>
  <si>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</si>
  <si>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</si>
  <si>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</si>
  <si>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</si>
  <si>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</si>
  <si>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</si>
  <si>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</si>
  <si>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</si>
  <si>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</si>
  <si>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</si>
  <si>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</si>
  <si>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</si>
  <si>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</si>
  <si>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</si>
  <si>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</si>
  <si>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</si>
  <si>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</si>
  <si>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</si>
  <si>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</si>
  <si>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</si>
  <si>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</si>
  <si>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</si>
  <si>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</si>
  <si>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</si>
  <si>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</si>
  <si>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</si>
  <si>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</si>
  <si>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</si>
  <si>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</si>
  <si>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</si>
  <si>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</si>
  <si>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</si>
  <si>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</si>
  <si>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</si>
  <si>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</si>
  <si>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</si>
  <si>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</si>
  <si>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</si>
  <si>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</si>
  <si>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</si>
  <si>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</si>
  <si>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</si>
  <si>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</si>
  <si>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</si>
  <si>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</si>
  <si>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</si>
  <si>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</si>
  <si>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</si>
  <si>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</si>
  <si>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</si>
  <si>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</si>
  <si>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</si>
  <si>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</si>
  <si>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</si>
  <si>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</si>
  <si>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</si>
  <si>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</si>
  <si>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</si>
  <si>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</si>
  <si>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</si>
  <si>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</si>
  <si>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</si>
  <si>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</si>
  <si>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</si>
  <si>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</si>
  <si>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</si>
  <si>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</si>
  <si>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</si>
  <si>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</si>
  <si>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</si>
  <si>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</si>
  <si>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</si>
  <si>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</si>
  <si>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</si>
  <si>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</si>
  <si>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</si>
  <si>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</si>
  <si>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</si>
  <si>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</si>
  <si>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</si>
  <si>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</si>
  <si>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</si>
  <si>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</si>
  <si>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</si>
  <si>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</si>
  <si>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</si>
  <si>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</si>
  <si>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</si>
  <si>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</si>
  <si>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</si>
  <si>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</si>
  <si>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</si>
  <si>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</si>
  <si>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</si>
  <si>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</si>
  <si>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</si>
  <si>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</si>
  <si>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</si>
  <si>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</si>
  <si>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</si>
  <si>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</si>
  <si>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</si>
  <si>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</si>
  <si>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</si>
  <si>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</si>
  <si>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</si>
  <si>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</si>
  <si>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</si>
  <si>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</si>
  <si>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</si>
  <si>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</si>
  <si>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</si>
  <si>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</si>
  <si>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</si>
  <si>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</si>
  <si>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</si>
  <si>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</si>
  <si>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</si>
  <si>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</si>
  <si>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</si>
  <si>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</si>
  <si>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</si>
  <si>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</si>
  <si>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</si>
  <si>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</si>
  <si>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</si>
  <si>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</si>
  <si>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</si>
  <si>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</si>
  <si>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</si>
  <si>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</si>
  <si>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</si>
  <si>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</si>
  <si>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</si>
  <si>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</si>
  <si>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</si>
  <si>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</si>
  <si>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</si>
  <si>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</si>
  <si>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</si>
  <si>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</si>
  <si>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</si>
  <si>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</si>
  <si>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</si>
  <si>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</si>
  <si>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</si>
  <si>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</si>
  <si>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</si>
  <si>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</si>
  <si>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</si>
  <si>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</si>
  <si>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</si>
  <si>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</si>
  <si>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</si>
  <si>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</si>
  <si>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</si>
  <si>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</si>
  <si>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</si>
  <si>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</si>
  <si>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</si>
  <si>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</si>
  <si>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</si>
  <si>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</si>
  <si>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</si>
  <si>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</si>
  <si>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</si>
  <si>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</si>
  <si>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</si>
  <si>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</si>
  <si>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</si>
  <si>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</si>
  <si>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</si>
  <si>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</si>
  <si>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</si>
  <si>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</si>
  <si>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</si>
  <si>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</si>
  <si>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</si>
  <si>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</si>
  <si>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</si>
  <si>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</si>
  <si>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</si>
  <si>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</si>
  <si>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</si>
  <si>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</si>
  <si>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</si>
  <si>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</si>
  <si>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</si>
  <si>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</si>
  <si>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</si>
  <si>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</si>
  <si>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</si>
  <si>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</si>
  <si>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</si>
  <si>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</si>
  <si>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</si>
  <si>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</si>
  <si>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</si>
  <si>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</si>
  <si>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</si>
  <si>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</si>
  <si>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</si>
  <si>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</si>
  <si>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</si>
  <si>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</si>
  <si>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</si>
  <si>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</si>
  <si>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</si>
  <si>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</si>
  <si>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</si>
  <si>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</si>
  <si>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</si>
  <si>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</si>
  <si>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</si>
  <si>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</si>
  <si>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</si>
  <si>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</si>
  <si>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</si>
  <si>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</si>
  <si>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</si>
  <si>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</si>
  <si>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</si>
  <si>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</si>
  <si>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</si>
  <si>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</si>
  <si>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</si>
  <si>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</si>
  <si>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</si>
  <si>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</si>
  <si>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</si>
  <si>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</si>
  <si>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</si>
  <si>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</si>
  <si>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</si>
  <si>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</si>
  <si>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</si>
  <si>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</si>
  <si>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</si>
  <si>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</si>
  <si>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</si>
  <si>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</si>
  <si>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</si>
  <si>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</si>
  <si>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</si>
  <si>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</si>
  <si>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</si>
  <si>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</si>
  <si>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</si>
  <si>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</si>
  <si>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</si>
  <si>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</si>
  <si>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</si>
  <si>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</si>
  <si>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</si>
  <si>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</si>
  <si>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</si>
  <si>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</si>
  <si>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</si>
  <si>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</si>
  <si>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</si>
  <si>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</si>
  <si>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</si>
  <si>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</si>
  <si>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</si>
  <si>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</si>
  <si>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</si>
  <si>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</si>
  <si>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</si>
  <si>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</si>
  <si>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</si>
  <si>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</si>
  <si>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</si>
  <si>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</si>
  <si>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</si>
  <si>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</si>
  <si>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</si>
  <si>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</si>
  <si>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</si>
  <si>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</si>
  <si>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</si>
  <si>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</si>
  <si>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</si>
  <si>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</si>
  <si>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</si>
  <si>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</si>
  <si>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</si>
  <si>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</si>
  <si>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</si>
  <si>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</si>
  <si>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</si>
  <si>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</si>
  <si>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</si>
  <si>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</si>
  <si>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</si>
  <si>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</si>
  <si>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</si>
  <si>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</si>
  <si>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</si>
  <si>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</si>
  <si>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</si>
  <si>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</si>
  <si>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</si>
  <si>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</si>
  <si>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</si>
  <si>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</si>
  <si>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</si>
  <si>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</si>
  <si>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</si>
  <si>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</si>
  <si>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</si>
  <si>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</si>
  <si>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</si>
  <si>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</si>
  <si>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</si>
  <si>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</si>
  <si>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</si>
  <si>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</si>
  <si>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</si>
  <si>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</si>
  <si>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</si>
  <si>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</si>
  <si>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</si>
  <si>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</si>
  <si>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</si>
  <si>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</si>
  <si>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</si>
  <si>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</si>
  <si>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</si>
  <si>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</si>
  <si>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</si>
  <si>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</si>
  <si>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</si>
  <si>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</si>
  <si>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</si>
  <si>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</si>
  <si>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</si>
  <si>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</si>
  <si>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</si>
  <si>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</si>
  <si>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</si>
  <si>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</si>
  <si>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</si>
  <si>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</si>
  <si>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</si>
  <si>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</si>
  <si>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</si>
  <si>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</si>
  <si>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</si>
  <si>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</si>
  <si>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</si>
  <si>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</si>
  <si>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</si>
  <si>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</si>
  <si>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</si>
  <si>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</si>
  <si>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</si>
  <si>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</si>
  <si>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</si>
  <si>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</si>
  <si>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</si>
  <si>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</si>
  <si>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</si>
  <si>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</si>
  <si>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</si>
  <si>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</si>
  <si>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</si>
  <si>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</si>
  <si>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</si>
  <si>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</si>
  <si>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</si>
  <si>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</si>
  <si>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</si>
  <si>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</si>
  <si>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</si>
  <si>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</si>
  <si>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</si>
  <si>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</si>
  <si>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</si>
  <si>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</si>
  <si>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</si>
  <si>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</si>
  <si>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</si>
  <si>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</si>
  <si>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</si>
  <si>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</si>
  <si>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</si>
  <si>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</si>
  <si>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</si>
  <si>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</si>
  <si>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</si>
  <si>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</si>
  <si>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</si>
  <si>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</si>
  <si>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</si>
  <si>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</si>
  <si>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</si>
  <si>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</si>
  <si>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</si>
  <si>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</si>
  <si>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</si>
  <si>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</si>
  <si>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</si>
  <si>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</si>
  <si>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</si>
  <si>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</si>
  <si>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</si>
  <si>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</si>
  <si>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</si>
  <si>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</si>
  <si>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</si>
  <si>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</si>
  <si>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</si>
  <si>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</si>
  <si>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</si>
  <si>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</si>
  <si>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</si>
  <si>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</si>
  <si>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</si>
  <si>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</si>
  <si>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</si>
  <si>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</si>
  <si>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</si>
  <si>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</si>
  <si>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</si>
  <si>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</si>
  <si>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</si>
  <si>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</si>
  <si>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</si>
  <si>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</si>
  <si>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</si>
  <si>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</si>
  <si>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</si>
  <si>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</si>
  <si>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</si>
  <si>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</si>
  <si>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</si>
  <si>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</si>
  <si>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</si>
  <si>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</si>
  <si>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</si>
  <si>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</si>
  <si>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</si>
  <si>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</si>
  <si>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</si>
  <si>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</si>
  <si>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</si>
  <si>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</si>
  <si>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</si>
  <si>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</si>
  <si>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</si>
  <si>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</si>
  <si>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</si>
  <si>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</si>
  <si>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</si>
  <si>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</si>
  <si>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</si>
  <si>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</si>
  <si>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</si>
  <si>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</si>
  <si>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</si>
  <si>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</si>
  <si>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</si>
  <si>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</si>
  <si>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</si>
  <si>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</si>
  <si>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</si>
  <si>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</si>
  <si>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</si>
  <si>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</si>
  <si>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</si>
  <si>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</si>
  <si>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</si>
  <si>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</si>
  <si>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</si>
  <si>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</si>
  <si>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</si>
  <si>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</si>
  <si>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</si>
  <si>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</si>
  <si>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</si>
  <si>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</si>
  <si>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</si>
  <si>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</si>
  <si>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</si>
  <si>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</si>
  <si>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</si>
  <si>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</si>
  <si>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</si>
  <si>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</si>
  <si>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</si>
  <si>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</si>
  <si>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</si>
  <si>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</si>
  <si>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</si>
  <si>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</si>
  <si>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</si>
  <si>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</si>
  <si>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</si>
  <si>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</si>
  <si>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</si>
  <si>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</si>
  <si>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</si>
  <si>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</si>
  <si>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</si>
  <si>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</si>
  <si>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</si>
  <si>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</si>
  <si>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</si>
  <si>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</si>
  <si>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</si>
  <si>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</si>
  <si>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</si>
  <si>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</si>
  <si>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</si>
  <si>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</si>
  <si>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</si>
  <si>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</si>
  <si>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</si>
  <si>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</si>
  <si>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</si>
  <si>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</si>
  <si>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</si>
  <si>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</si>
  <si>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</si>
  <si>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</si>
  <si>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</si>
  <si>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</si>
  <si>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</si>
  <si>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</si>
  <si>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</si>
  <si>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</si>
  <si>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</si>
  <si>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</si>
  <si>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</si>
  <si>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</si>
  <si>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</si>
  <si>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</si>
  <si>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</si>
  <si>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</si>
  <si>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</si>
  <si>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</si>
  <si>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</si>
  <si>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</si>
  <si>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</si>
  <si>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</si>
  <si>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</si>
  <si>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</si>
  <si>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</si>
  <si>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</si>
  <si>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</si>
  <si>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</si>
  <si>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</si>
  <si>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</si>
  <si>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</si>
  <si>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</si>
  <si>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</si>
  <si>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</si>
  <si>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</si>
  <si>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</si>
  <si>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</si>
  <si>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</si>
  <si>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</si>
  <si>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</si>
  <si>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</si>
  <si>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</si>
  <si>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</si>
  <si>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</si>
  <si>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</si>
  <si>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</si>
  <si>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</si>
  <si>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</si>
  <si>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</si>
  <si>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</si>
  <si>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</si>
  <si>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</si>
  <si>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</si>
  <si>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</si>
  <si>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</si>
  <si>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</si>
  <si>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</si>
  <si>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</si>
  <si>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</si>
  <si>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</si>
  <si>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</si>
  <si>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</si>
  <si>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</si>
  <si>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</si>
  <si>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</si>
  <si>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</si>
  <si>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</si>
  <si>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</si>
  <si>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</si>
  <si>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</si>
  <si>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</si>
  <si>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</si>
  <si>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</si>
  <si>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</si>
  <si>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</si>
  <si>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</si>
  <si>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</si>
  <si>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</si>
  <si>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</si>
  <si>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</si>
  <si>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</si>
  <si>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</si>
  <si>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</si>
  <si>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</si>
  <si>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</si>
  <si>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</si>
  <si>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</si>
  <si>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</si>
  <si>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</si>
  <si>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</si>
  <si>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</si>
  <si>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</si>
  <si>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</si>
  <si>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</si>
  <si>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</si>
  <si>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</si>
  <si>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</si>
  <si>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</si>
  <si>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</si>
  <si>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</si>
  <si>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</si>
  <si>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</si>
  <si>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</si>
  <si>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</si>
  <si>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</si>
  <si>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</si>
  <si>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</si>
  <si>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</si>
  <si>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</si>
  <si>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</si>
  <si>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</si>
  <si>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</si>
  <si>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</si>
  <si>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</si>
  <si>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</si>
  <si>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</si>
  <si>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</si>
  <si>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</si>
  <si>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</si>
  <si>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</si>
  <si>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</si>
  <si>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</si>
  <si>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</si>
  <si>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</si>
  <si>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</si>
  <si>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</si>
  <si>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</si>
  <si>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</si>
  <si>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</si>
  <si>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</si>
  <si>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</si>
  <si>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</si>
  <si>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</si>
  <si>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</si>
  <si>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</si>
  <si>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</si>
  <si>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</si>
  <si>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</si>
  <si>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</si>
  <si>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</si>
  <si>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</si>
  <si>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</si>
  <si>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</si>
  <si>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</si>
  <si>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</si>
  <si>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</si>
  <si>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</si>
  <si>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</si>
  <si>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</si>
  <si>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</si>
  <si>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</si>
  <si>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</si>
  <si>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</si>
  <si>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</si>
  <si>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</si>
  <si>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</si>
  <si>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</si>
  <si>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</si>
  <si>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</si>
  <si>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</si>
  <si>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</si>
  <si>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</si>
  <si>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</si>
  <si>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</si>
  <si>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</si>
  <si>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</si>
  <si>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</si>
  <si>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</si>
  <si>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</si>
  <si>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</si>
  <si>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</si>
  <si>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</si>
  <si>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</si>
  <si>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</si>
  <si>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</si>
  <si>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</si>
  <si>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</si>
  <si>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</si>
  <si>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</si>
  <si>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</si>
  <si>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</si>
  <si>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</si>
  <si>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</si>
  <si>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</si>
  <si>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</si>
  <si>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</si>
  <si>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</si>
  <si>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</si>
  <si>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</si>
  <si>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</si>
  <si>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</si>
  <si>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</si>
  <si>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</si>
  <si>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</si>
  <si>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</si>
  <si>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</si>
  <si>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</si>
  <si>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</si>
  <si>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</si>
  <si>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</si>
  <si>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</si>
  <si>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</si>
  <si>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</si>
  <si>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</si>
  <si>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</si>
  <si>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</si>
  <si>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</si>
  <si>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</si>
  <si>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</si>
  <si>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</si>
  <si>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</si>
  <si>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</si>
  <si>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</si>
  <si>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</si>
  <si>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</si>
  <si>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</si>
  <si>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</si>
  <si>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</si>
  <si>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</si>
  <si>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</si>
  <si>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</si>
  <si>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</si>
  <si>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</si>
  <si>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</si>
  <si>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</si>
  <si>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</si>
  <si>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</si>
  <si>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</si>
  <si>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</si>
  <si>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</si>
  <si>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</si>
  <si>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</si>
  <si>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</si>
  <si>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</si>
  <si>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</si>
  <si>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</si>
  <si>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</si>
  <si>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</si>
  <si>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</si>
  <si>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</si>
  <si>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</si>
  <si>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</si>
  <si>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</si>
  <si>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</si>
  <si>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</si>
  <si>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</si>
  <si>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</si>
  <si>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</si>
  <si>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</si>
  <si>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</si>
  <si>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</si>
  <si>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</si>
  <si>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</si>
  <si>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</si>
  <si>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</si>
  <si>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</si>
  <si>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</si>
  <si>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</si>
  <si>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</si>
  <si>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</si>
  <si>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</si>
  <si>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</si>
  <si>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</si>
  <si>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</si>
  <si>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</si>
  <si>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</si>
  <si>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</si>
  <si>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</si>
  <si>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</si>
  <si>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</si>
  <si>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</si>
  <si>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</si>
  <si>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</si>
  <si>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</si>
  <si>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</si>
  <si>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</si>
  <si>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</si>
  <si>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</si>
  <si>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</si>
  <si>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</si>
  <si>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</si>
  <si>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</si>
  <si>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</si>
  <si>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</si>
  <si>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</si>
  <si>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</si>
  <si>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</si>
  <si>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</si>
  <si>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</si>
  <si>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</si>
  <si>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</si>
  <si>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</si>
  <si>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</si>
  <si>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</si>
  <si>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</si>
  <si>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</si>
  <si>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</si>
  <si>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</si>
  <si>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</si>
  <si>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</si>
  <si>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</si>
  <si>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</si>
  <si>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</si>
  <si>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</si>
  <si>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</si>
  <si>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</si>
  <si>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</si>
  <si>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</si>
  <si>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</si>
  <si>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</si>
  <si>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</si>
  <si>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</si>
  <si>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</si>
  <si>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</si>
  <si>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</si>
  <si>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</si>
  <si>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</si>
  <si>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</si>
  <si>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</si>
  <si>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</si>
  <si>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</si>
  <si>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</si>
  <si>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</si>
  <si>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</si>
  <si>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</si>
  <si>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</si>
  <si>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</si>
  <si>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</si>
  <si>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</si>
  <si>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</si>
  <si>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</si>
  <si>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</si>
  <si>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</si>
  <si>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</si>
  <si>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</si>
  <si>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</si>
  <si>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</si>
  <si>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</si>
  <si>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</si>
  <si>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</si>
  <si>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</si>
  <si>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</si>
  <si>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</si>
  <si>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</si>
  <si>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</si>
  <si>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</si>
  <si>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</si>
  <si>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</si>
  <si>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</si>
  <si>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</si>
  <si>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</si>
  <si>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</si>
  <si>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</si>
  <si>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</si>
  <si>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</si>
  <si>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</si>
  <si>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</si>
  <si>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</si>
  <si>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</si>
  <si>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</si>
  <si>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</si>
  <si>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</si>
  <si>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</si>
  <si>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</si>
  <si>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</si>
  <si>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</si>
  <si>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</si>
  <si>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</si>
  <si>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</si>
  <si>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</si>
  <si>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</si>
  <si>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</si>
  <si>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</si>
  <si>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</si>
  <si>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</si>
  <si>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</si>
  <si>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</si>
  <si>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</si>
  <si>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</si>
  <si>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</si>
  <si>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</si>
  <si>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</si>
  <si>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</si>
  <si>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</si>
  <si>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</si>
  <si>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</si>
  <si>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</si>
  <si>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</si>
  <si>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</si>
  <si>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</si>
  <si>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</si>
  <si>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</si>
  <si>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</si>
  <si>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</si>
  <si>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</si>
  <si>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</si>
  <si>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</si>
  <si>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</si>
  <si>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</si>
  <si>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</si>
  <si>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</si>
  <si>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</si>
  <si>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</si>
  <si>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</si>
  <si>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</si>
  <si>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</si>
  <si>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</si>
  <si>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</si>
  <si>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</si>
  <si>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</si>
  <si>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</si>
  <si>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</si>
  <si>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</si>
  <si>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</si>
  <si>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</si>
  <si>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</si>
  <si>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</si>
  <si>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</si>
  <si>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</si>
  <si>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</si>
  <si>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</si>
  <si>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</si>
  <si>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</si>
  <si>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</si>
  <si>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</si>
  <si>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</si>
  <si>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</si>
  <si>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</si>
  <si>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</si>
  <si>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</si>
  <si>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</si>
  <si>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</si>
  <si>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</si>
  <si>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</si>
  <si>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</si>
  <si>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</si>
  <si>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</si>
  <si>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</si>
  <si>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</si>
  <si>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</si>
  <si>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</si>
  <si>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</si>
  <si>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</si>
  <si>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</si>
  <si>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</si>
  <si>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</si>
  <si>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</si>
  <si>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</si>
  <si>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</si>
  <si>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</si>
  <si>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</si>
  <si>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</si>
  <si>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</si>
  <si>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</si>
  <si>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</si>
  <si>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</si>
  <si>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</si>
  <si>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</si>
  <si>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</si>
  <si>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</si>
  <si>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</si>
  <si>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</si>
  <si>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</si>
  <si>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</si>
  <si>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</si>
  <si>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</si>
  <si>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</si>
  <si>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</si>
  <si>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</si>
  <si>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</si>
  <si>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</si>
  <si>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</si>
  <si>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</si>
  <si>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</si>
  <si>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</si>
  <si>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</si>
  <si>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</si>
  <si>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</si>
  <si>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</si>
  <si>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</si>
  <si>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</si>
  <si>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</si>
  <si>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</si>
  <si>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</si>
  <si>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</si>
  <si>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</si>
  <si>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</si>
  <si>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</si>
  <si>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</si>
  <si>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</si>
  <si>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</si>
  <si>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</si>
  <si>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</si>
  <si>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</si>
  <si>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</si>
  <si>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</si>
  <si>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</si>
  <si>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</si>
  <si>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</si>
  <si>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</si>
  <si>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</si>
  <si>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</si>
  <si>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</si>
  <si>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</si>
  <si>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</si>
  <si>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</si>
  <si>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</si>
  <si>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</si>
  <si>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</si>
  <si>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</si>
  <si>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</si>
  <si>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</si>
  <si>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</si>
  <si>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</si>
  <si>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</si>
  <si>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</si>
  <si>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</si>
  <si>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</si>
  <si>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</si>
  <si>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</si>
  <si>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</si>
  <si>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</si>
  <si>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</si>
  <si>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</si>
  <si>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</si>
  <si>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</si>
  <si>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</si>
  <si>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</si>
  <si>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</si>
  <si>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</si>
  <si>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</si>
  <si>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</si>
  <si>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</si>
  <si>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</si>
  <si>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</si>
  <si>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</si>
  <si>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</si>
  <si>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</si>
  <si>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</si>
  <si>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</si>
  <si>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</si>
  <si>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</si>
  <si>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</si>
  <si>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</si>
  <si>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</si>
  <si>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</si>
  <si>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</si>
  <si>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</si>
  <si>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</si>
  <si>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</si>
  <si>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</si>
  <si>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</si>
  <si>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</si>
  <si>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</si>
  <si>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</si>
  <si>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</si>
  <si>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</si>
  <si>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</si>
  <si>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</si>
  <si>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</si>
  <si>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</si>
  <si>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</si>
  <si>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</si>
  <si>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</si>
  <si>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</si>
  <si>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</si>
  <si>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</si>
  <si>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</si>
  <si>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</si>
  <si>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</si>
  <si>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</si>
  <si>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</si>
  <si>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</si>
  <si>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</si>
  <si>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</si>
  <si>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</si>
  <si>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</si>
  <si>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</si>
  <si>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</si>
  <si>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</si>
  <si>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</si>
  <si>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</si>
  <si>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</si>
  <si>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</si>
  <si>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</si>
  <si>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</si>
  <si>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</si>
  <si>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</si>
  <si>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</si>
  <si>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</si>
  <si>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</si>
  <si>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</si>
  <si>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</si>
  <si>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</si>
  <si>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</si>
  <si>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</si>
  <si>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</si>
  <si>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</si>
  <si>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</si>
  <si>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</si>
  <si>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</si>
  <si>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</si>
  <si>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</si>
  <si>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</si>
  <si>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</si>
  <si>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</si>
  <si>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</si>
  <si>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</si>
  <si>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</si>
  <si>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</si>
  <si>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</si>
  <si>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</si>
  <si>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</si>
  <si>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</si>
  <si>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</si>
  <si>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</si>
  <si>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</si>
  <si>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</si>
  <si>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</si>
  <si>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</si>
  <si>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</si>
  <si>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</si>
  <si>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</si>
  <si>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</si>
  <si>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</si>
  <si>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</si>
  <si>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</si>
  <si>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</si>
  <si>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</si>
  <si>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</si>
  <si>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</si>
  <si>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</si>
  <si>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</si>
  <si>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</si>
  <si>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</si>
  <si>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</si>
  <si>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</si>
  <si>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</si>
  <si>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</si>
  <si>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</si>
  <si>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</si>
  <si>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</si>
  <si>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</si>
  <si>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</si>
  <si>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</si>
  <si>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</si>
  <si>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</si>
  <si>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</si>
  <si>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</si>
  <si>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</si>
  <si>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</si>
  <si>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</si>
  <si>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</si>
  <si>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</si>
  <si>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</si>
  <si>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</si>
  <si>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</si>
  <si>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</si>
  <si>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</si>
  <si>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</si>
  <si>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</si>
  <si>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</si>
  <si>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</si>
  <si>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</si>
  <si>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</si>
  <si>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</si>
  <si>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</si>
  <si>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</si>
  <si>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</si>
  <si>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</si>
  <si>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</si>
  <si>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</si>
  <si>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</si>
  <si>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</si>
  <si>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</si>
  <si>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</si>
  <si>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</si>
  <si>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</si>
  <si>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</si>
  <si>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</si>
  <si>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</si>
  <si>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</si>
  <si>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</si>
  <si>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</si>
  <si>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</si>
  <si>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</si>
  <si>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</si>
  <si>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</si>
  <si>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</si>
  <si>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</si>
  <si>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</si>
  <si>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</si>
  <si>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</si>
  <si>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</si>
  <si>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</si>
  <si>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</si>
  <si>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</si>
  <si>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</si>
  <si>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</si>
  <si>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</si>
  <si>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</si>
  <si>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</si>
  <si>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</si>
  <si>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</si>
  <si>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</si>
  <si>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</si>
  <si>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</si>
  <si>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</si>
  <si>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</si>
  <si>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</si>
  <si>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</si>
  <si>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</si>
  <si>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</si>
  <si>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</si>
  <si>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</si>
  <si>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</si>
  <si>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</si>
  <si>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</si>
  <si>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</si>
  <si>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</si>
  <si>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</si>
  <si>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</si>
  <si>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</si>
  <si>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</si>
  <si>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</si>
  <si>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</si>
  <si>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</si>
  <si>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</si>
  <si>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</si>
  <si>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</si>
  <si>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</si>
  <si>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</si>
  <si>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</si>
  <si>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</si>
  <si>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meter</t>
  </si>
  <si>
    <t>10 centimeter pointed yang angle
Thickness around 0.5</t>
  </si>
  <si>
    <t>perfil aluminum</t>
  </si>
  <si>
    <t>10cm I-shaped light strip (including lampshade)
Thickness around 0.6</t>
  </si>
  <si>
    <t>10cm shape duplex
Thickness around 0.9</t>
  </si>
  <si>
    <t>10cm shape closure
Thickness around 0.6</t>
  </si>
  <si>
    <t>10cm shape I-beam
Thickness around 0.6</t>
  </si>
  <si>
    <t>sqm</t>
  </si>
  <si>
    <t>160*22*2900</t>
  </si>
  <si>
    <t>160 slat panel</t>
  </si>
  <si>
    <t>wpc</t>
  </si>
  <si>
    <t>600*9*2950</t>
  </si>
  <si>
    <t>600V slot Bpanel</t>
  </si>
  <si>
    <t>9 centimeter pointed yang angle
Thickness around 0.85</t>
  </si>
  <si>
    <t>9cm I-shaped light strip (including lampshade)
Thickness around 0.6</t>
  </si>
  <si>
    <t>9cm shape duplex
Thickness around 0.9</t>
  </si>
  <si>
    <t>9cm shape closure
Thickness around 0.6</t>
  </si>
  <si>
    <t>ramon price with 10% commision</t>
  </si>
  <si>
    <t>Note</t>
  </si>
  <si>
    <t>Total money</t>
  </si>
  <si>
    <t>Price</t>
  </si>
  <si>
    <t>Unit</t>
  </si>
  <si>
    <t>Length/m</t>
  </si>
  <si>
    <t>Photo</t>
  </si>
  <si>
    <t>Name</t>
  </si>
  <si>
    <t>Series</t>
  </si>
  <si>
    <t>No.</t>
  </si>
  <si>
    <t>lynnli@mexytech.com</t>
  </si>
  <si>
    <t>Email</t>
  </si>
  <si>
    <r>
      <rPr>
        <sz val="14"/>
        <rFont val="Calibri"/>
        <family val="2"/>
      </rPr>
      <t>address</t>
    </r>
    <r>
      <rPr>
        <sz val="14"/>
        <rFont val="思源黑体 CN Bold"/>
        <charset val="134"/>
      </rPr>
      <t>：</t>
    </r>
  </si>
  <si>
    <r>
      <rPr>
        <sz val="14"/>
        <rFont val="Calibri"/>
        <family val="2"/>
      </rPr>
      <t>Submitted date</t>
    </r>
    <r>
      <rPr>
        <sz val="14"/>
        <rFont val="思源黑体 CN Bold"/>
        <charset val="134"/>
      </rPr>
      <t>：</t>
    </r>
  </si>
  <si>
    <t>FOB GUANGZHOU PORT</t>
  </si>
  <si>
    <t>Trade term:</t>
  </si>
  <si>
    <t>Lynn li</t>
  </si>
  <si>
    <r>
      <rPr>
        <sz val="14"/>
        <rFont val="Calibri"/>
        <family val="2"/>
      </rPr>
      <t>contact</t>
    </r>
    <r>
      <rPr>
        <sz val="14"/>
        <rFont val="思源黑体 CN Bold"/>
        <charset val="134"/>
      </rPr>
      <t>：</t>
    </r>
  </si>
  <si>
    <r>
      <rPr>
        <sz val="14"/>
        <rFont val="Calibri"/>
        <family val="2"/>
      </rPr>
      <t>Price to</t>
    </r>
    <r>
      <rPr>
        <sz val="14"/>
        <rFont val="思源黑体 CN Bold"/>
        <charset val="134"/>
      </rPr>
      <t>：</t>
    </r>
  </si>
  <si>
    <t>Price List</t>
  </si>
  <si>
    <t>Bancos</t>
  </si>
  <si>
    <t>Cocineta</t>
  </si>
  <si>
    <t>Pizarrones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</si>
</sst>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0_);\(\$#,##0.00\)"/>
    <numFmt numFmtId="181" formatCode="&quot;￥&quot;#,##0.00;&quot;￥&quot;\-#,##0.00"/>
    <numFmt numFmtId="182" formatCode="\$#,##0.00;\-\$#,##0.00"/>
  </numFmts>
  <fonts count="19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2"/>
      <color rgb="FF082600"/>
      <name val="Calibri"/>
      <family val="2"/>
      <scheme val="minor"/>
    </font>
    <font>
      <b/>
      <sz val="14"/>
      <color theme="1"/>
      <name val="Calibri (Body)"/>
    </font>
    <font>
      <b/>
      <sz val="16"/>
      <color rgb="FF474747"/>
      <name val="Calibri"/>
      <family val="2"/>
      <scheme val="minor"/>
    </font>
    <font>
      <sz val="10"/>
      <name val="思源黑体 CN Bold"/>
      <charset val="134"/>
    </font>
    <font>
      <b/>
      <sz val="12"/>
      <name val="思源黑体 CN Bold"/>
      <charset val="134"/>
    </font>
    <font>
      <sz val="14"/>
      <color rgb="FFFF0000"/>
      <name val="Calibri"/>
      <family val="2"/>
    </font>
    <font>
      <sz val="12"/>
      <name val="思源黑体 CN Bold"/>
      <charset val="134"/>
    </font>
    <font>
      <sz val="11"/>
      <name val="Calibri"/>
      <family val="2"/>
    </font>
    <font>
      <sz val="11"/>
      <name val="思源黑体 CN Bold"/>
      <charset val="134"/>
    </font>
    <font>
      <b/>
      <sz val="12"/>
      <color rgb="FFFF0000"/>
      <name val="思源黑体 CN Bold"/>
      <charset val="134"/>
    </font>
    <font>
      <sz val="12"/>
      <color rgb="FFFF0000"/>
      <name val="思源黑体 CN Bold"/>
      <charset val="134"/>
    </font>
    <font>
      <b/>
      <sz val="12"/>
      <color theme="1" tint="4.9989318521683403E-2"/>
      <name val="思源黑体 CN Bold"/>
      <charset val="134"/>
    </font>
    <font>
      <b/>
      <sz val="14"/>
      <color theme="0"/>
      <name val="Calibri"/>
      <family val="2"/>
    </font>
    <font>
      <sz val="14"/>
      <name val="Calibri"/>
      <family val="2"/>
    </font>
    <font>
      <u/>
      <sz val="11"/>
      <color rgb="FF0000FF"/>
      <name val="Calibri"/>
      <family val="2"/>
      <scheme val="minor"/>
    </font>
    <font>
      <u/>
      <sz val="14"/>
      <color rgb="FF0000FF"/>
      <name val="Calibri"/>
      <family val="2"/>
    </font>
    <font>
      <sz val="14"/>
      <name val="思源黑体 CN Bold"/>
      <charset val="134"/>
    </font>
    <font>
      <b/>
      <sz val="28"/>
      <name val="Calibri"/>
      <family val="2"/>
    </font>
  </fonts>
  <fills count="50">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style="thin">
        <color auto="1"/>
      </right>
      <top style="thin">
        <color theme="0"/>
      </top>
      <bottom style="thin">
        <color auto="1"/>
      </bottom>
      <diagonal/>
    </border>
    <border>
      <left style="thin">
        <color auto="1"/>
      </left>
      <right/>
      <top style="thin">
        <color theme="0"/>
      </top>
      <bottom style="thin">
        <color auto="1"/>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07">
    <xf numFmtId="0" fontId="0" fillId="0" borderId="0"/>
    <xf numFmtId="44"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43"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165"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165" fontId="9" fillId="0" borderId="0" applyFont="0" applyFill="0" applyBorder="0" applyAlignment="0" applyProtection="0"/>
    <xf numFmtId="0" fontId="1" fillId="0" borderId="0">
      <alignment horizontal="left" vertical="center"/>
    </xf>
    <xf numFmtId="0" fontId="117" fillId="0" borderId="0">
      <alignment vertical="center"/>
    </xf>
    <xf numFmtId="0" fontId="195" fillId="0" borderId="0" applyNumberFormat="0" applyFill="0" applyBorder="0" applyAlignment="0" applyProtection="0">
      <alignmen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44"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44" fontId="33" fillId="4" borderId="0" xfId="1" applyFont="1" applyFill="1" applyBorder="1" applyAlignment="1" applyProtection="1">
      <alignment horizontal="center"/>
    </xf>
    <xf numFmtId="0" fontId="34" fillId="4" borderId="0" xfId="0" applyFont="1" applyFill="1" applyAlignment="1">
      <alignment vertical="center"/>
    </xf>
    <xf numFmtId="44" fontId="0" fillId="8" borderId="0" xfId="1" applyFont="1" applyFill="1" applyBorder="1" applyProtection="1"/>
    <xf numFmtId="44" fontId="45" fillId="18" borderId="9" xfId="1" applyFont="1" applyFill="1" applyBorder="1" applyAlignment="1" applyProtection="1">
      <alignment horizontal="left"/>
    </xf>
    <xf numFmtId="44" fontId="45" fillId="18" borderId="9" xfId="0" applyNumberFormat="1" applyFont="1" applyFill="1" applyBorder="1"/>
    <xf numFmtId="44" fontId="44" fillId="18" borderId="10" xfId="0" applyNumberFormat="1" applyFont="1" applyFill="1" applyBorder="1"/>
    <xf numFmtId="0" fontId="45" fillId="16" borderId="9" xfId="0" applyFont="1" applyFill="1" applyBorder="1" applyAlignment="1">
      <alignment horizontal="right"/>
    </xf>
    <xf numFmtId="44" fontId="45" fillId="16" borderId="11" xfId="1" applyFont="1" applyFill="1" applyBorder="1" applyAlignment="1" applyProtection="1">
      <alignment horizontal="center"/>
    </xf>
    <xf numFmtId="0" fontId="31" fillId="8" borderId="9" xfId="0" applyFont="1" applyFill="1" applyBorder="1"/>
    <xf numFmtId="44" fontId="31" fillId="8" borderId="9" xfId="1" applyFont="1" applyFill="1" applyBorder="1" applyProtection="1"/>
    <xf numFmtId="0" fontId="28" fillId="8" borderId="9" xfId="0" applyFont="1" applyFill="1" applyBorder="1"/>
    <xf numFmtId="44" fontId="31" fillId="8" borderId="8" xfId="1" applyFont="1" applyFill="1" applyBorder="1" applyProtection="1"/>
    <xf numFmtId="44"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44" fontId="58" fillId="2" borderId="0" xfId="1" applyFont="1" applyFill="1"/>
    <xf numFmtId="44" fontId="57" fillId="2" borderId="0" xfId="1" applyFont="1" applyFill="1"/>
    <xf numFmtId="44" fontId="59" fillId="19" borderId="0" xfId="1" applyFont="1" applyFill="1" applyBorder="1" applyAlignment="1">
      <alignment horizontal="right" vertical="center"/>
    </xf>
    <xf numFmtId="44" fontId="64" fillId="19" borderId="0" xfId="1" applyFont="1" applyFill="1" applyBorder="1" applyAlignment="1">
      <alignment horizontal="right" vertical="center"/>
    </xf>
    <xf numFmtId="44"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44" fontId="64" fillId="3" borderId="0" xfId="1" applyFont="1" applyFill="1" applyAlignment="1">
      <alignment vertical="center"/>
    </xf>
    <xf numFmtId="44"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44" fontId="77" fillId="2" borderId="0" xfId="1" applyFont="1" applyFill="1"/>
    <xf numFmtId="44"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44" fontId="79" fillId="19" borderId="0" xfId="1" applyFont="1" applyFill="1" applyBorder="1" applyAlignment="1">
      <alignment horizontal="right" vertical="center"/>
    </xf>
    <xf numFmtId="44"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44" fontId="66" fillId="4" borderId="0" xfId="1" applyFont="1" applyFill="1" applyBorder="1" applyAlignment="1">
      <alignment horizontal="right"/>
    </xf>
    <xf numFmtId="0" fontId="67" fillId="4" borderId="0" xfId="2" applyFont="1" applyFill="1" applyBorder="1" applyAlignment="1">
      <alignment horizontal="right" vertical="top"/>
    </xf>
    <xf numFmtId="44"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44"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44"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44"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164" fontId="57" fillId="2" borderId="0" xfId="0" applyNumberFormat="1" applyFont="1" applyFill="1"/>
    <xf numFmtId="164" fontId="76" fillId="2" borderId="0" xfId="0" applyNumberFormat="1" applyFont="1" applyFill="1"/>
    <xf numFmtId="164" fontId="78" fillId="19" borderId="0" xfId="0" applyNumberFormat="1" applyFont="1" applyFill="1" applyAlignment="1">
      <alignment horizontal="right" vertical="center"/>
    </xf>
    <xf numFmtId="164" fontId="63" fillId="19" borderId="0" xfId="0" applyNumberFormat="1" applyFont="1" applyFill="1" applyAlignment="1">
      <alignment horizontal="right" vertical="center"/>
    </xf>
    <xf numFmtId="16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44"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44" fontId="28" fillId="4" borderId="0" xfId="1" applyFont="1" applyFill="1" applyAlignment="1">
      <alignment horizontal="left"/>
    </xf>
    <xf numFmtId="44" fontId="28" fillId="4" borderId="9" xfId="1" applyFont="1" applyFill="1" applyBorder="1" applyAlignment="1">
      <alignment horizontal="left"/>
    </xf>
    <xf numFmtId="44" fontId="28" fillId="4" borderId="4" xfId="1" applyFont="1" applyFill="1" applyBorder="1" applyAlignment="1">
      <alignment horizontal="left"/>
    </xf>
    <xf numFmtId="44" fontId="0" fillId="4" borderId="0" xfId="1" applyFont="1" applyFill="1" applyAlignment="1">
      <alignment horizontal="left"/>
    </xf>
    <xf numFmtId="44"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44"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44"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44" fontId="0" fillId="8" borderId="9" xfId="1" applyFont="1" applyFill="1" applyBorder="1" applyProtection="1"/>
    <xf numFmtId="44" fontId="0" fillId="8" borderId="9" xfId="12" applyNumberFormat="1" applyFont="1" applyFill="1" applyBorder="1" applyAlignment="1" applyProtection="1">
      <alignment horizontal="right"/>
    </xf>
    <xf numFmtId="0" fontId="0" fillId="8" borderId="9" xfId="0" applyFill="1" applyBorder="1" applyAlignment="1">
      <alignment horizontal="left"/>
    </xf>
    <xf numFmtId="44"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44" fontId="0" fillId="6" borderId="9" xfId="0" applyNumberFormat="1" applyFill="1" applyBorder="1"/>
    <xf numFmtId="1" fontId="0" fillId="27" borderId="9" xfId="0" applyNumberFormat="1" applyFill="1" applyBorder="1" applyProtection="1">
      <protection locked="0"/>
    </xf>
    <xf numFmtId="44" fontId="0" fillId="8" borderId="9" xfId="0" applyNumberFormat="1" applyFill="1" applyBorder="1"/>
    <xf numFmtId="44" fontId="31" fillId="6" borderId="10" xfId="0" applyNumberFormat="1" applyFont="1" applyFill="1" applyBorder="1"/>
    <xf numFmtId="44"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44"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44" fontId="28" fillId="24" borderId="2" xfId="1" applyFont="1" applyFill="1" applyBorder="1" applyAlignment="1">
      <alignment horizontal="left"/>
    </xf>
    <xf numFmtId="0" fontId="28" fillId="24" borderId="2" xfId="0" applyFont="1" applyFill="1" applyBorder="1" applyAlignment="1">
      <alignment horizontal="center"/>
    </xf>
    <xf numFmtId="44"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44"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8" fillId="0" borderId="0" xfId="1" applyFont="1" applyAlignment="1">
      <alignment vertical="center"/>
    </xf>
    <xf numFmtId="44"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8" fillId="0" borderId="9" xfId="12" applyNumberFormat="1" applyFont="1" applyBorder="1" applyAlignment="1">
      <alignment horizontal="right" vertical="center"/>
    </xf>
    <xf numFmtId="44"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16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44" fontId="101" fillId="4" borderId="0" xfId="1" applyFont="1" applyFill="1" applyBorder="1" applyAlignment="1">
      <alignment horizontal="left" vertical="center" wrapText="1"/>
    </xf>
    <xf numFmtId="44" fontId="96" fillId="4" borderId="0" xfId="1" applyFont="1" applyFill="1" applyBorder="1" applyAlignment="1">
      <alignment horizontal="left" vertical="center" wrapText="1"/>
    </xf>
    <xf numFmtId="44" fontId="28" fillId="4" borderId="0" xfId="0" applyNumberFormat="1" applyFont="1" applyFill="1" applyAlignment="1">
      <alignment horizontal="left"/>
    </xf>
    <xf numFmtId="44"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16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44"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16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44"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44"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44" fontId="130" fillId="32" borderId="29" xfId="1" applyFont="1" applyFill="1" applyBorder="1" applyAlignment="1">
      <alignment horizontal="center" vertical="center"/>
    </xf>
    <xf numFmtId="44"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44" fontId="133" fillId="33" borderId="9" xfId="1" applyFont="1" applyFill="1" applyBorder="1" applyAlignment="1">
      <alignment horizontal="left" vertical="center" shrinkToFit="1"/>
    </xf>
    <xf numFmtId="44"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44" fontId="120" fillId="0" borderId="30" xfId="1" applyFont="1" applyFill="1" applyBorder="1" applyAlignment="1">
      <alignment horizontal="left" vertical="center" shrinkToFit="1"/>
    </xf>
    <xf numFmtId="44"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44" fontId="133" fillId="0" borderId="30" xfId="1" applyFont="1" applyFill="1" applyBorder="1" applyAlignment="1">
      <alignment horizontal="left" vertical="center" shrinkToFit="1"/>
    </xf>
    <xf numFmtId="44"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44" fontId="133" fillId="4" borderId="30" xfId="1" applyFont="1" applyFill="1" applyBorder="1" applyAlignment="1">
      <alignment horizontal="left" vertical="center" shrinkToFit="1"/>
    </xf>
    <xf numFmtId="44"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44" fontId="120" fillId="0" borderId="5" xfId="1" applyFont="1" applyFill="1" applyBorder="1"/>
    <xf numFmtId="44"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44" fontId="133" fillId="34" borderId="4" xfId="1" applyFont="1" applyFill="1" applyBorder="1" applyAlignment="1">
      <alignment horizontal="left" vertical="center"/>
    </xf>
    <xf numFmtId="44"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44" fontId="133" fillId="34" borderId="1" xfId="1" applyFont="1" applyFill="1" applyBorder="1" applyAlignment="1">
      <alignment horizontal="left" vertical="center"/>
    </xf>
    <xf numFmtId="44"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44"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44" fontId="133" fillId="35" borderId="9" xfId="1" applyFont="1" applyFill="1" applyBorder="1" applyAlignment="1">
      <alignment horizontal="left" vertical="center" shrinkToFit="1"/>
    </xf>
    <xf numFmtId="44"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44"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44"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44" fontId="133" fillId="4" borderId="30" xfId="1" applyFont="1" applyFill="1" applyBorder="1" applyAlignment="1">
      <alignment horizontal="left" vertical="center" wrapText="1"/>
    </xf>
    <xf numFmtId="44"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44"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44"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44" fontId="120" fillId="4" borderId="30" xfId="1" applyFont="1" applyFill="1" applyBorder="1" applyAlignment="1">
      <alignment horizontal="left"/>
    </xf>
    <xf numFmtId="168" fontId="120" fillId="0" borderId="30" xfId="69" applyFont="1" applyBorder="1" applyAlignment="1">
      <alignment horizontal="center" vertical="top" wrapText="1"/>
    </xf>
    <xf numFmtId="44" fontId="133" fillId="0" borderId="30" xfId="1" applyFont="1" applyFill="1" applyBorder="1" applyAlignment="1">
      <alignment horizontal="left"/>
    </xf>
    <xf numFmtId="44" fontId="138" fillId="0" borderId="30" xfId="1" applyFont="1" applyFill="1" applyBorder="1" applyAlignment="1">
      <alignment horizontal="left"/>
    </xf>
    <xf numFmtId="44" fontId="140" fillId="0" borderId="5" xfId="1" applyFont="1" applyFill="1" applyBorder="1" applyAlignment="1">
      <alignment horizontal="left"/>
    </xf>
    <xf numFmtId="44" fontId="138" fillId="4" borderId="30" xfId="1" applyFont="1" applyFill="1" applyBorder="1" applyAlignment="1">
      <alignment horizontal="left"/>
    </xf>
    <xf numFmtId="168" fontId="120" fillId="0" borderId="30" xfId="69" applyFont="1" applyBorder="1" applyAlignment="1">
      <alignment vertical="top" wrapText="1"/>
    </xf>
    <xf numFmtId="44" fontId="120" fillId="0" borderId="30" xfId="1" applyFont="1" applyFill="1" applyBorder="1" applyAlignment="1">
      <alignment vertical="center"/>
    </xf>
    <xf numFmtId="44" fontId="120" fillId="0" borderId="6" xfId="1" applyFont="1" applyFill="1" applyBorder="1" applyAlignment="1">
      <alignment vertical="center"/>
    </xf>
    <xf numFmtId="44" fontId="134" fillId="4" borderId="30" xfId="1" applyFont="1" applyFill="1" applyBorder="1" applyAlignment="1">
      <alignment horizontal="left"/>
    </xf>
    <xf numFmtId="168" fontId="128" fillId="36" borderId="29" xfId="69" applyFont="1" applyFill="1" applyBorder="1" applyAlignment="1">
      <alignment vertical="center"/>
    </xf>
    <xf numFmtId="44" fontId="133" fillId="36" borderId="1" xfId="1" applyFont="1" applyFill="1" applyBorder="1" applyAlignment="1">
      <alignment horizontal="left" vertical="center"/>
    </xf>
    <xf numFmtId="44"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44"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44"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44" fontId="138" fillId="4" borderId="30" xfId="1" applyFont="1" applyFill="1" applyBorder="1" applyAlignment="1">
      <alignment horizontal="left" vertical="center" shrinkToFit="1"/>
    </xf>
    <xf numFmtId="168" fontId="120" fillId="0" borderId="0" xfId="69" applyFont="1" applyAlignment="1">
      <alignment vertical="top"/>
    </xf>
    <xf numFmtId="44"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44" fontId="133" fillId="4" borderId="6" xfId="1" applyFont="1" applyFill="1" applyBorder="1" applyAlignment="1">
      <alignment horizontal="left" vertical="center" shrinkToFit="1"/>
    </xf>
    <xf numFmtId="44"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44" fontId="142" fillId="4" borderId="30" xfId="1" applyFont="1" applyFill="1" applyBorder="1" applyAlignment="1">
      <alignment horizontal="left" vertical="center" shrinkToFit="1"/>
    </xf>
    <xf numFmtId="44" fontId="133" fillId="34" borderId="3" xfId="1" applyFont="1" applyFill="1" applyBorder="1" applyAlignment="1">
      <alignment horizontal="left" vertical="center"/>
    </xf>
    <xf numFmtId="44" fontId="138" fillId="34" borderId="3" xfId="1" applyFont="1" applyFill="1" applyBorder="1" applyAlignment="1">
      <alignment horizontal="left" vertical="center"/>
    </xf>
    <xf numFmtId="44" fontId="133" fillId="36" borderId="7" xfId="1" applyFont="1" applyFill="1" applyBorder="1" applyAlignment="1">
      <alignment horizontal="left" vertical="center"/>
    </xf>
    <xf numFmtId="44"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44"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44"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44" fontId="133" fillId="33" borderId="2" xfId="1" applyFont="1" applyFill="1" applyBorder="1" applyAlignment="1">
      <alignment horizontal="left" vertical="center" shrinkToFit="1"/>
    </xf>
    <xf numFmtId="44" fontId="133" fillId="0" borderId="30" xfId="1" applyFont="1" applyBorder="1" applyAlignment="1">
      <alignment horizontal="left"/>
    </xf>
    <xf numFmtId="44" fontId="138" fillId="4" borderId="13" xfId="1" applyFont="1" applyFill="1" applyBorder="1" applyAlignment="1">
      <alignment horizontal="left" vertical="center" shrinkToFit="1"/>
    </xf>
    <xf numFmtId="44"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44" fontId="133" fillId="0" borderId="0" xfId="1" applyFont="1" applyAlignment="1">
      <alignment horizontal="left"/>
    </xf>
    <xf numFmtId="168" fontId="120" fillId="0" borderId="2" xfId="69" applyFont="1" applyBorder="1" applyAlignment="1">
      <alignment horizontal="center" vertical="center" shrinkToFit="1"/>
    </xf>
    <xf numFmtId="44"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44" fontId="133" fillId="4" borderId="4" xfId="1" applyFont="1" applyFill="1" applyBorder="1" applyAlignment="1">
      <alignment horizontal="left"/>
    </xf>
    <xf numFmtId="44"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44" fontId="133" fillId="4" borderId="0" xfId="1" applyFont="1" applyFill="1" applyBorder="1" applyAlignment="1">
      <alignment horizontal="left"/>
    </xf>
    <xf numFmtId="44"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44" fontId="133" fillId="4" borderId="1" xfId="1" applyFont="1" applyFill="1" applyBorder="1" applyAlignment="1">
      <alignment horizontal="left"/>
    </xf>
    <xf numFmtId="44" fontId="134" fillId="4" borderId="7" xfId="1" applyFont="1" applyFill="1" applyBorder="1" applyAlignment="1">
      <alignment horizontal="left"/>
    </xf>
    <xf numFmtId="44"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44" fontId="120" fillId="4" borderId="30" xfId="1" applyFont="1" applyFill="1" applyBorder="1" applyAlignment="1">
      <alignment vertical="center" wrapText="1"/>
    </xf>
    <xf numFmtId="44"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44"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44"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44"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44" fontId="120" fillId="0" borderId="5" xfId="1" applyFont="1" applyFill="1" applyBorder="1" applyAlignment="1">
      <alignment horizontal="left" vertical="center" shrinkToFit="1"/>
    </xf>
    <xf numFmtId="44" fontId="134" fillId="33" borderId="9" xfId="1" applyFont="1" applyFill="1" applyBorder="1" applyAlignment="1">
      <alignment horizontal="center" vertical="center" shrinkToFit="1"/>
    </xf>
    <xf numFmtId="44"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44" fontId="133" fillId="33" borderId="6" xfId="1" applyFont="1" applyFill="1" applyBorder="1" applyAlignment="1">
      <alignment horizontal="left" vertical="center" shrinkToFit="1"/>
    </xf>
    <xf numFmtId="44" fontId="134" fillId="33" borderId="6" xfId="1" applyFont="1" applyFill="1" applyBorder="1" applyAlignment="1">
      <alignment horizontal="left" vertical="center" shrinkToFit="1"/>
    </xf>
    <xf numFmtId="44" fontId="120" fillId="4" borderId="5" xfId="1" applyFont="1" applyFill="1" applyBorder="1" applyAlignment="1">
      <alignment horizontal="left"/>
    </xf>
    <xf numFmtId="44" fontId="133" fillId="4" borderId="5" xfId="1" applyFont="1" applyFill="1" applyBorder="1" applyAlignment="1">
      <alignment horizontal="left"/>
    </xf>
    <xf numFmtId="44" fontId="133" fillId="4" borderId="5" xfId="1" applyFont="1" applyFill="1" applyBorder="1" applyAlignment="1">
      <alignment horizontal="left" vertical="center" shrinkToFit="1"/>
    </xf>
    <xf numFmtId="168" fontId="120" fillId="4" borderId="6" xfId="69" applyFont="1" applyFill="1" applyBorder="1" applyAlignment="1">
      <alignment vertical="top"/>
    </xf>
    <xf numFmtId="44" fontId="134" fillId="34" borderId="2" xfId="1" applyFont="1" applyFill="1" applyBorder="1" applyAlignment="1">
      <alignment horizontal="left" vertical="center"/>
    </xf>
    <xf numFmtId="44" fontId="134" fillId="36" borderId="6" xfId="1" applyFont="1" applyFill="1" applyBorder="1" applyAlignment="1">
      <alignment horizontal="left" vertical="center"/>
    </xf>
    <xf numFmtId="44"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44"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44" fontId="120" fillId="4" borderId="5" xfId="1" applyFont="1" applyFill="1" applyBorder="1" applyAlignment="1">
      <alignment horizontal="left" vertical="center" wrapText="1"/>
    </xf>
    <xf numFmtId="44" fontId="138" fillId="4" borderId="30" xfId="72" applyNumberFormat="1" applyFont="1" applyFill="1" applyBorder="1" applyAlignment="1">
      <alignment horizontal="left"/>
    </xf>
    <xf numFmtId="44" fontId="138" fillId="4" borderId="30" xfId="1" applyFont="1" applyFill="1" applyBorder="1" applyAlignment="1">
      <alignment horizontal="left" vertical="center" wrapText="1"/>
    </xf>
    <xf numFmtId="44" fontId="138" fillId="4" borderId="30" xfId="71" applyNumberFormat="1" applyFont="1" applyFill="1" applyBorder="1" applyAlignment="1">
      <alignment horizontal="left" vertical="center" wrapText="1"/>
    </xf>
    <xf numFmtId="44"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44"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44"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44"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44"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44" fontId="140" fillId="4" borderId="5" xfId="1" applyFont="1" applyFill="1" applyBorder="1" applyAlignment="1">
      <alignment horizontal="left" vertical="center" shrinkToFit="1"/>
    </xf>
    <xf numFmtId="44" fontId="120" fillId="0" borderId="30" xfId="1" applyFont="1" applyFill="1" applyBorder="1" applyAlignment="1">
      <alignment vertical="center" shrinkToFit="1"/>
    </xf>
    <xf numFmtId="44" fontId="140" fillId="4" borderId="5" xfId="1" applyFont="1" applyFill="1" applyBorder="1" applyAlignment="1">
      <alignment horizontal="left"/>
    </xf>
    <xf numFmtId="44" fontId="133" fillId="4" borderId="29" xfId="1" applyFont="1" applyFill="1" applyBorder="1" applyAlignment="1">
      <alignment horizontal="left"/>
    </xf>
    <xf numFmtId="44"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44" fontId="128" fillId="34" borderId="2" xfId="1" applyFont="1" applyFill="1" applyBorder="1" applyAlignment="1">
      <alignment horizontal="left" vertical="center"/>
    </xf>
    <xf numFmtId="44" fontId="128" fillId="36" borderId="6" xfId="1" applyFont="1" applyFill="1" applyBorder="1" applyAlignment="1">
      <alignment horizontal="left" vertical="center"/>
    </xf>
    <xf numFmtId="44"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44"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44"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44" fontId="120" fillId="0" borderId="6" xfId="1" applyFont="1" applyFill="1" applyBorder="1" applyAlignment="1">
      <alignment vertical="center" shrinkToFit="1"/>
    </xf>
    <xf numFmtId="44" fontId="120" fillId="4" borderId="12" xfId="1" applyFont="1" applyFill="1" applyBorder="1" applyAlignment="1">
      <alignment horizontal="left" vertical="center" shrinkToFit="1"/>
    </xf>
    <xf numFmtId="44" fontId="137" fillId="4" borderId="30" xfId="1" applyFont="1" applyFill="1" applyBorder="1" applyAlignment="1">
      <alignment horizontal="left"/>
    </xf>
    <xf numFmtId="44" fontId="120" fillId="4" borderId="29" xfId="1" applyFont="1" applyFill="1" applyBorder="1" applyAlignment="1">
      <alignment horizontal="left"/>
    </xf>
    <xf numFmtId="44" fontId="137" fillId="4" borderId="6" xfId="1" applyFont="1" applyFill="1" applyBorder="1" applyAlignment="1">
      <alignment horizontal="left"/>
    </xf>
    <xf numFmtId="168" fontId="120" fillId="4" borderId="0" xfId="69" applyFont="1" applyFill="1" applyAlignment="1">
      <alignment horizontal="center" shrinkToFit="1"/>
    </xf>
    <xf numFmtId="44" fontId="133" fillId="4" borderId="0" xfId="1" applyFont="1" applyFill="1" applyAlignment="1">
      <alignment horizontal="left"/>
    </xf>
    <xf numFmtId="44" fontId="134" fillId="4" borderId="0" xfId="1" applyFont="1" applyFill="1" applyAlignment="1">
      <alignment horizontal="left"/>
    </xf>
    <xf numFmtId="168" fontId="120" fillId="0" borderId="0" xfId="69" applyFont="1" applyAlignment="1">
      <alignment horizontal="center" shrinkToFit="1"/>
    </xf>
    <xf numFmtId="44"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44" fontId="122" fillId="2" borderId="4" xfId="1" applyFont="1" applyFill="1" applyBorder="1" applyAlignment="1">
      <alignment horizontal="left"/>
    </xf>
    <xf numFmtId="44"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44"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44"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44" fontId="131" fillId="4" borderId="30" xfId="1" applyFont="1" applyFill="1" applyBorder="1" applyAlignment="1">
      <alignment horizontal="center" vertical="center"/>
    </xf>
    <xf numFmtId="44"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44"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44"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44"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44"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44"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44" fontId="131" fillId="4" borderId="13" xfId="1" applyFont="1" applyFill="1" applyBorder="1" applyAlignment="1">
      <alignment vertical="center" shrinkToFit="1"/>
    </xf>
    <xf numFmtId="44"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44"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44"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44"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44"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44"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44"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44"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44"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44"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44"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44"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44"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44"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44"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44"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44" fontId="131" fillId="39" borderId="10" xfId="1" applyFont="1" applyFill="1" applyBorder="1" applyAlignment="1">
      <alignment vertical="center" shrinkToFit="1"/>
    </xf>
    <xf numFmtId="0" fontId="120" fillId="4" borderId="0" xfId="0" applyFont="1" applyFill="1" applyAlignment="1">
      <alignment horizontal="center" vertical="center"/>
    </xf>
    <xf numFmtId="44"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44"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44"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44" fontId="160" fillId="37" borderId="30" xfId="0" applyNumberFormat="1" applyFont="1" applyFill="1" applyBorder="1" applyAlignment="1">
      <alignment horizontal="center"/>
    </xf>
    <xf numFmtId="44"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44"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44"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44"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44" fontId="104" fillId="19" borderId="1" xfId="1" applyFont="1" applyFill="1" applyBorder="1" applyAlignment="1">
      <alignment horizontal="center" vertical="center"/>
    </xf>
    <xf numFmtId="164" fontId="104" fillId="19" borderId="7" xfId="0" applyNumberFormat="1" applyFont="1" applyFill="1" applyBorder="1" applyAlignment="1">
      <alignment horizontal="center" vertical="center"/>
    </xf>
    <xf numFmtId="44" fontId="166" fillId="0" borderId="9" xfId="0" applyNumberFormat="1" applyFont="1" applyBorder="1" applyAlignment="1">
      <alignment vertical="center"/>
    </xf>
    <xf numFmtId="44"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44" fontId="27" fillId="7" borderId="9" xfId="1" applyFont="1" applyFill="1" applyBorder="1" applyAlignment="1" applyProtection="1">
      <alignment horizontal="center" vertical="center"/>
      <protection locked="0"/>
    </xf>
    <xf numFmtId="44"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44"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44"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44"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44"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44"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44"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44"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44"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44" fontId="134" fillId="4" borderId="13" xfId="1" applyFont="1" applyFill="1" applyBorder="1" applyAlignment="1">
      <alignment horizontal="left" vertical="center" shrinkToFit="1"/>
    </xf>
    <xf numFmtId="44"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44" fontId="120" fillId="0" borderId="6" xfId="1" applyFont="1" applyFill="1" applyBorder="1"/>
    <xf numFmtId="44" fontId="120" fillId="0" borderId="7" xfId="1" applyFont="1" applyFill="1" applyBorder="1" applyAlignment="1">
      <alignment horizontal="center" vertical="center" shrinkToFit="1"/>
    </xf>
    <xf numFmtId="168" fontId="9" fillId="0" borderId="0" xfId="83"/>
    <xf numFmtId="44" fontId="120" fillId="0" borderId="2" xfId="1" applyFont="1" applyFill="1" applyBorder="1" applyAlignment="1">
      <alignment horizontal="center" vertical="center" shrinkToFit="1"/>
    </xf>
    <xf numFmtId="44" fontId="134" fillId="4" borderId="6" xfId="1" applyFont="1" applyFill="1" applyBorder="1" applyAlignment="1">
      <alignment horizontal="left" vertical="center" shrinkToFit="1"/>
    </xf>
    <xf numFmtId="168" fontId="120" fillId="0" borderId="0" xfId="83" applyFont="1" applyAlignment="1">
      <alignment horizontal="center" shrinkToFit="1"/>
    </xf>
    <xf numFmtId="44" fontId="134" fillId="0" borderId="0" xfId="1" applyFont="1" applyBorder="1" applyAlignment="1">
      <alignment horizontal="left"/>
    </xf>
    <xf numFmtId="44" fontId="121" fillId="0" borderId="13" xfId="1" applyFont="1" applyBorder="1" applyAlignment="1">
      <alignment horizontal="right"/>
    </xf>
    <xf numFmtId="168" fontId="122" fillId="2" borderId="13" xfId="83" applyFont="1" applyFill="1" applyBorder="1"/>
    <xf numFmtId="44" fontId="124" fillId="3" borderId="13" xfId="1" applyFont="1" applyFill="1" applyBorder="1" applyAlignment="1">
      <alignment vertical="center"/>
    </xf>
    <xf numFmtId="44"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44" fontId="133" fillId="34" borderId="2" xfId="1" applyFont="1" applyFill="1" applyBorder="1" applyAlignment="1">
      <alignment horizontal="left" vertical="center"/>
    </xf>
    <xf numFmtId="44" fontId="138" fillId="34" borderId="0" xfId="1" applyFont="1" applyFill="1" applyBorder="1" applyAlignment="1">
      <alignment horizontal="left" vertical="center"/>
    </xf>
    <xf numFmtId="44"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44" fontId="133" fillId="36" borderId="6" xfId="1" applyFont="1" applyFill="1" applyBorder="1" applyAlignment="1">
      <alignment horizontal="left" vertical="center"/>
    </xf>
    <xf numFmtId="44" fontId="138" fillId="36" borderId="0" xfId="1" applyFont="1" applyFill="1" applyBorder="1" applyAlignment="1">
      <alignment horizontal="left" vertical="center"/>
    </xf>
    <xf numFmtId="44"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44" fontId="134" fillId="34" borderId="0" xfId="1" applyFont="1" applyFill="1" applyBorder="1" applyAlignment="1">
      <alignment horizontal="left" vertical="center"/>
    </xf>
    <xf numFmtId="44" fontId="134" fillId="34" borderId="30" xfId="1" applyFont="1" applyFill="1" applyBorder="1" applyAlignment="1">
      <alignment horizontal="left" vertical="center"/>
    </xf>
    <xf numFmtId="44" fontId="134" fillId="36" borderId="0" xfId="1" applyFont="1" applyFill="1" applyBorder="1" applyAlignment="1">
      <alignment horizontal="left" vertical="center"/>
    </xf>
    <xf numFmtId="44"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44" fontId="127" fillId="3" borderId="1" xfId="85" applyNumberFormat="1" applyFont="1" applyFill="1" applyBorder="1" applyAlignment="1" applyProtection="1">
      <alignment horizontal="right" vertical="top"/>
    </xf>
    <xf numFmtId="44"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44"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44" fontId="133" fillId="0" borderId="5" xfId="1" applyFont="1" applyBorder="1" applyAlignment="1">
      <alignment horizontal="left"/>
    </xf>
    <xf numFmtId="44" fontId="134" fillId="0" borderId="30" xfId="1" applyFont="1" applyBorder="1" applyAlignment="1">
      <alignment horizontal="left"/>
    </xf>
    <xf numFmtId="44" fontId="133" fillId="0" borderId="29" xfId="1" applyFont="1" applyBorder="1" applyAlignment="1">
      <alignment horizontal="left"/>
    </xf>
    <xf numFmtId="44"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44"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44" fontId="47" fillId="9" borderId="9" xfId="1" applyFont="1" applyFill="1" applyBorder="1" applyAlignment="1" applyProtection="1">
      <alignment horizontal="center" vertical="center"/>
    </xf>
    <xf numFmtId="164" fontId="0" fillId="4" borderId="0" xfId="0" applyNumberFormat="1" applyFill="1" applyAlignment="1">
      <alignment horizontal="left"/>
    </xf>
    <xf numFmtId="164" fontId="29" fillId="4" borderId="0" xfId="0" applyNumberFormat="1" applyFont="1" applyFill="1"/>
    <xf numFmtId="9" fontId="29" fillId="6" borderId="6" xfId="12" applyFont="1" applyFill="1" applyBorder="1" applyAlignment="1" applyProtection="1">
      <alignment horizontal="right" vertical="center"/>
    </xf>
    <xf numFmtId="0" fontId="100" fillId="19" borderId="1" xfId="1" applyNumberFormat="1" applyFont="1" applyFill="1" applyBorder="1" applyAlignment="1">
      <alignment horizontal="center" vertical="center"/>
    </xf>
    <xf numFmtId="164" fontId="100" fillId="19" borderId="1" xfId="1" applyNumberFormat="1" applyFont="1" applyFill="1" applyBorder="1" applyAlignment="1">
      <alignment horizontal="center"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93" fillId="0" borderId="9" xfId="0" applyFont="1" applyBorder="1" applyAlignment="1">
      <alignment horizontal="center" vertical="center"/>
    </xf>
    <xf numFmtId="0" fontId="93" fillId="0" borderId="44" xfId="0" applyFont="1" applyBorder="1" applyAlignment="1">
      <alignment horizontal="center" vertical="center"/>
    </xf>
    <xf numFmtId="0" fontId="93" fillId="0" borderId="45" xfId="0" applyFont="1" applyBorder="1" applyAlignment="1">
      <alignment horizontal="center" vertical="center"/>
    </xf>
    <xf numFmtId="0" fontId="0" fillId="0" borderId="46" xfId="0" applyBorder="1"/>
    <xf numFmtId="0" fontId="0" fillId="0" borderId="48" xfId="0" applyBorder="1"/>
    <xf numFmtId="0" fontId="28" fillId="0" borderId="0" xfId="0" applyFont="1" applyAlignment="1">
      <alignment horizontal="right"/>
    </xf>
    <xf numFmtId="0" fontId="93" fillId="0" borderId="49" xfId="0" applyFont="1" applyBorder="1" applyAlignment="1">
      <alignment horizontal="center" vertical="center"/>
    </xf>
    <xf numFmtId="0" fontId="93" fillId="0" borderId="50" xfId="0" applyFont="1" applyBorder="1" applyAlignment="1">
      <alignment horizontal="center" vertical="center"/>
    </xf>
    <xf numFmtId="44" fontId="0" fillId="0" borderId="43" xfId="1" applyFont="1" applyBorder="1"/>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44" fontId="47" fillId="4" borderId="33" xfId="1" applyFont="1" applyFill="1" applyBorder="1" applyAlignment="1" applyProtection="1">
      <alignment horizontal="center" vertical="center"/>
    </xf>
    <xf numFmtId="44" fontId="47" fillId="4" borderId="34" xfId="1" applyFont="1" applyFill="1" applyBorder="1" applyAlignment="1" applyProtection="1">
      <alignment horizontal="center" vertical="center"/>
    </xf>
    <xf numFmtId="44" fontId="47" fillId="4" borderId="36" xfId="1" applyFont="1" applyFill="1" applyBorder="1" applyAlignment="1" applyProtection="1">
      <alignment horizontal="center" vertical="center"/>
    </xf>
    <xf numFmtId="44"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44" fontId="47" fillId="4" borderId="6" xfId="1" applyFont="1" applyFill="1" applyBorder="1" applyAlignment="1" applyProtection="1">
      <alignment horizontal="center" vertical="center"/>
    </xf>
    <xf numFmtId="44" fontId="47" fillId="4" borderId="9" xfId="1" applyFont="1" applyFill="1" applyBorder="1" applyAlignment="1" applyProtection="1">
      <alignment horizontal="center" vertical="center"/>
    </xf>
    <xf numFmtId="9" fontId="178" fillId="4" borderId="9" xfId="12" applyFont="1" applyFill="1" applyBorder="1" applyAlignment="1" applyProtection="1">
      <alignment horizontal="center" vertical="center"/>
    </xf>
    <xf numFmtId="44" fontId="11" fillId="4" borderId="36" xfId="1" applyFont="1" applyFill="1" applyBorder="1" applyAlignment="1" applyProtection="1">
      <alignment vertical="center"/>
    </xf>
    <xf numFmtId="44" fontId="11" fillId="4" borderId="0" xfId="1" applyFont="1" applyFill="1" applyBorder="1" applyAlignment="1" applyProtection="1">
      <alignment vertical="center"/>
    </xf>
    <xf numFmtId="44" fontId="180" fillId="4" borderId="38" xfId="1" applyFont="1" applyFill="1" applyBorder="1" applyAlignment="1" applyProtection="1">
      <alignment vertical="center"/>
    </xf>
    <xf numFmtId="44" fontId="11" fillId="4" borderId="39" xfId="1" applyFont="1" applyFill="1" applyBorder="1" applyAlignment="1" applyProtection="1">
      <alignment vertical="center"/>
    </xf>
    <xf numFmtId="9" fontId="21" fillId="4" borderId="48" xfId="12" applyFont="1" applyFill="1" applyBorder="1" applyAlignment="1" applyProtection="1">
      <alignment horizontal="center" wrapText="1"/>
    </xf>
    <xf numFmtId="10" fontId="47" fillId="4" borderId="35" xfId="12" applyNumberFormat="1" applyFont="1" applyFill="1" applyBorder="1" applyAlignment="1" applyProtection="1">
      <alignment horizontal="center" vertical="center"/>
    </xf>
    <xf numFmtId="10" fontId="47" fillId="4" borderId="37" xfId="12" applyNumberFormat="1" applyFont="1" applyFill="1" applyBorder="1" applyAlignment="1" applyProtection="1">
      <alignment horizontal="center" vertical="center"/>
    </xf>
    <xf numFmtId="44" fontId="47" fillId="4" borderId="54" xfId="1" applyFont="1" applyFill="1" applyBorder="1" applyAlignment="1" applyProtection="1">
      <alignment horizontal="center" vertical="center"/>
    </xf>
    <xf numFmtId="44" fontId="47" fillId="4" borderId="44" xfId="1" applyFont="1" applyFill="1" applyBorder="1" applyAlignment="1" applyProtection="1">
      <alignment horizontal="center" vertical="center"/>
    </xf>
    <xf numFmtId="10" fontId="47" fillId="4" borderId="45" xfId="12" applyNumberFormat="1" applyFont="1" applyFill="1" applyBorder="1" applyAlignment="1" applyProtection="1">
      <alignment horizontal="center" vertical="center"/>
    </xf>
    <xf numFmtId="44" fontId="11" fillId="4" borderId="38" xfId="1" applyFont="1" applyFill="1" applyBorder="1" applyAlignment="1" applyProtection="1">
      <alignment vertical="center"/>
    </xf>
    <xf numFmtId="0" fontId="178" fillId="0" borderId="0" xfId="0" applyFont="1"/>
    <xf numFmtId="0" fontId="178" fillId="46" borderId="0" xfId="0" applyFont="1" applyFill="1"/>
    <xf numFmtId="0" fontId="0" fillId="46" borderId="56" xfId="0" applyFill="1" applyBorder="1" applyProtection="1">
      <protection locked="0"/>
      <extLst>
        <ext xmlns:xfpb="http://schemas.microsoft.com/office/spreadsheetml/2022/featurepropertybag" uri="{C7286773-470A-42A8-94C5-96B5CB345126}">
          <xfpb:xfComplement i="0"/>
        </ext>
      </extLst>
    </xf>
    <xf numFmtId="44" fontId="11" fillId="4" borderId="0" xfId="1" applyFont="1" applyFill="1" applyProtection="1"/>
    <xf numFmtId="16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44"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44" fontId="11" fillId="4" borderId="0" xfId="1" applyFont="1" applyFill="1" applyAlignment="1" applyProtection="1">
      <alignment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164" fontId="39" fillId="4" borderId="0" xfId="0" applyNumberFormat="1" applyFont="1" applyFill="1"/>
    <xf numFmtId="44"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44" fontId="27" fillId="6" borderId="9" xfId="0" applyNumberFormat="1" applyFont="1" applyFill="1" applyBorder="1" applyAlignment="1">
      <alignment horizontal="left" vertical="center"/>
    </xf>
    <xf numFmtId="164" fontId="39" fillId="4" borderId="0" xfId="0" applyNumberFormat="1" applyFont="1" applyFill="1" applyAlignment="1">
      <alignment wrapText="1"/>
    </xf>
    <xf numFmtId="44" fontId="31" fillId="4" borderId="0" xfId="0" applyNumberFormat="1" applyFont="1" applyFill="1" applyAlignment="1">
      <alignment horizontal="center" vertical="center" wrapText="1"/>
    </xf>
    <xf numFmtId="44" fontId="36" fillId="4" borderId="0" xfId="0" applyNumberFormat="1" applyFont="1" applyFill="1" applyAlignment="1">
      <alignment horizontal="left" vertical="center"/>
    </xf>
    <xf numFmtId="44"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44"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44" fontId="47" fillId="9" borderId="9" xfId="0" applyNumberFormat="1" applyFont="1" applyFill="1" applyBorder="1" applyAlignment="1">
      <alignment horizontal="left" vertical="center"/>
    </xf>
    <xf numFmtId="44"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37" xfId="0" applyFont="1" applyFill="1" applyBorder="1" applyAlignment="1">
      <alignment vertical="center"/>
    </xf>
    <xf numFmtId="0" fontId="11" fillId="4" borderId="36" xfId="0" applyFont="1" applyFill="1" applyBorder="1" applyAlignment="1">
      <alignment horizontal="left" vertical="center"/>
    </xf>
    <xf numFmtId="0" fontId="11" fillId="4" borderId="40" xfId="0" applyFont="1" applyFill="1" applyBorder="1" applyAlignment="1">
      <alignmen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44"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44"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165"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44" fontId="36" fillId="7" borderId="8" xfId="0" applyNumberFormat="1" applyFont="1" applyFill="1" applyBorder="1" applyAlignment="1">
      <alignment horizontal="left" vertical="center"/>
    </xf>
    <xf numFmtId="177" fontId="11" fillId="4" borderId="0" xfId="0" applyNumberFormat="1" applyFont="1" applyFill="1"/>
    <xf numFmtId="44"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44"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5"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44"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3" fillId="4" borderId="0" xfId="0" applyFont="1" applyFill="1" applyAlignment="1">
      <alignment horizontal="left"/>
    </xf>
    <xf numFmtId="0" fontId="183" fillId="24" borderId="0" xfId="0" applyFont="1" applyFill="1" applyAlignment="1" applyProtection="1">
      <alignment horizontal="center" vertical="center" wrapText="1"/>
      <protection locked="0"/>
    </xf>
    <xf numFmtId="0" fontId="11" fillId="4" borderId="60" xfId="0" applyFont="1" applyFill="1" applyBorder="1"/>
    <xf numFmtId="0" fontId="164" fillId="2" borderId="29" xfId="0" applyFont="1" applyFill="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7"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44" xfId="0" applyFont="1" applyBorder="1"/>
    <xf numFmtId="0" fontId="1" fillId="0" borderId="9" xfId="0" applyFont="1" applyBorder="1"/>
    <xf numFmtId="164" fontId="1" fillId="0" borderId="45"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84" fillId="0" borderId="0" xfId="105" applyFont="1" applyAlignment="1">
      <alignment horizontal="center" vertical="center"/>
    </xf>
    <xf numFmtId="180" fontId="184" fillId="0" borderId="0" xfId="105" applyNumberFormat="1" applyFont="1" applyAlignment="1">
      <alignment horizontal="center" vertical="center"/>
    </xf>
    <xf numFmtId="180" fontId="185" fillId="49" borderId="9" xfId="105" applyNumberFormat="1" applyFont="1" applyFill="1" applyBorder="1" applyAlignment="1">
      <alignment horizontal="center" vertical="center"/>
    </xf>
    <xf numFmtId="0" fontId="186" fillId="0" borderId="9" xfId="105" applyFont="1" applyBorder="1" applyAlignment="1">
      <alignment horizontal="center" vertical="center" wrapText="1"/>
    </xf>
    <xf numFmtId="181" fontId="187" fillId="0" borderId="61" xfId="105" applyNumberFormat="1" applyFont="1" applyBorder="1" applyAlignment="1">
      <alignment horizontal="center" vertical="center"/>
    </xf>
    <xf numFmtId="182" fontId="188" fillId="0" borderId="9" xfId="105" applyNumberFormat="1" applyFont="1" applyBorder="1" applyAlignment="1">
      <alignment horizontal="center" vertical="center"/>
    </xf>
    <xf numFmtId="0" fontId="189" fillId="0" borderId="61" xfId="105" applyFont="1" applyBorder="1" applyAlignment="1">
      <alignment horizontal="center" vertical="center"/>
    </xf>
    <xf numFmtId="0" fontId="188" fillId="0" borderId="9" xfId="105" applyFont="1" applyBorder="1" applyAlignment="1">
      <alignment horizontal="center" vertical="center"/>
    </xf>
    <xf numFmtId="0" fontId="189" fillId="0" borderId="9" xfId="105" applyFont="1" applyBorder="1" applyAlignment="1">
      <alignment horizontal="center" vertical="center" wrapText="1"/>
    </xf>
    <xf numFmtId="0" fontId="186" fillId="0" borderId="8" xfId="105" applyFont="1" applyBorder="1" applyAlignment="1">
      <alignment horizontal="center" vertical="center" wrapText="1"/>
    </xf>
    <xf numFmtId="181" fontId="187" fillId="0" borderId="8" xfId="105" applyNumberFormat="1" applyFont="1" applyBorder="1" applyAlignment="1">
      <alignment horizontal="center" vertical="center"/>
    </xf>
    <xf numFmtId="181" fontId="190" fillId="0" borderId="9" xfId="105" applyNumberFormat="1" applyFont="1" applyBorder="1" applyAlignment="1">
      <alignment horizontal="center" vertical="center"/>
    </xf>
    <xf numFmtId="181" fontId="189" fillId="0" borderId="9" xfId="105" applyNumberFormat="1" applyFont="1" applyBorder="1" applyAlignment="1">
      <alignment horizontal="center" vertical="center"/>
    </xf>
    <xf numFmtId="0" fontId="189" fillId="0" borderId="9" xfId="105" applyFont="1" applyBorder="1" applyAlignment="1">
      <alignment horizontal="center" vertical="center"/>
    </xf>
    <xf numFmtId="0" fontId="117" fillId="0" borderId="0" xfId="105">
      <alignment vertical="center"/>
    </xf>
    <xf numFmtId="0" fontId="191" fillId="0" borderId="8" xfId="105" applyFont="1" applyBorder="1" applyAlignment="1">
      <alignment horizontal="center" vertical="center" wrapText="1"/>
    </xf>
    <xf numFmtId="0" fontId="189" fillId="0" borderId="61" xfId="105" applyFont="1" applyBorder="1" applyAlignment="1">
      <alignment horizontal="center" vertical="center" wrapText="1"/>
    </xf>
    <xf numFmtId="0" fontId="191" fillId="0" borderId="62" xfId="105" applyFont="1" applyBorder="1" applyAlignment="1">
      <alignment horizontal="center" vertical="center" wrapText="1"/>
    </xf>
    <xf numFmtId="182" fontId="188" fillId="0" borderId="61" xfId="105" applyNumberFormat="1" applyFont="1" applyBorder="1" applyAlignment="1">
      <alignment horizontal="center" vertical="center"/>
    </xf>
    <xf numFmtId="0" fontId="187" fillId="0" borderId="0" xfId="105" applyFont="1" applyAlignment="1">
      <alignment horizontal="center" vertical="center" wrapText="1"/>
    </xf>
    <xf numFmtId="180" fontId="192" fillId="49" borderId="9" xfId="105" applyNumberFormat="1" applyFont="1" applyFill="1" applyBorder="1" applyAlignment="1">
      <alignment horizontal="center" vertical="center" wrapText="1"/>
    </xf>
    <xf numFmtId="0" fontId="193" fillId="17" borderId="63" xfId="105" applyFont="1" applyFill="1" applyBorder="1" applyAlignment="1">
      <alignment horizontal="center" vertical="center" wrapText="1"/>
    </xf>
    <xf numFmtId="0" fontId="193" fillId="17" borderId="64" xfId="105" applyFont="1" applyFill="1" applyBorder="1" applyAlignment="1">
      <alignment horizontal="center" vertical="center" wrapText="1"/>
    </xf>
    <xf numFmtId="0" fontId="189" fillId="0" borderId="0" xfId="105" applyFont="1" applyAlignment="1">
      <alignment horizontal="center" vertical="center"/>
    </xf>
    <xf numFmtId="180" fontId="189" fillId="0" borderId="0" xfId="105" applyNumberFormat="1" applyFont="1" applyAlignment="1">
      <alignment horizontal="center" vertical="center"/>
    </xf>
    <xf numFmtId="0" fontId="194" fillId="0" borderId="0" xfId="105" applyFont="1" applyAlignment="1">
      <alignment horizontal="center" vertical="center"/>
    </xf>
    <xf numFmtId="0" fontId="196" fillId="0" borderId="37" xfId="106" applyFont="1" applyFill="1" applyBorder="1" applyAlignment="1">
      <alignment horizontal="center" vertical="center"/>
    </xf>
    <xf numFmtId="0" fontId="194" fillId="0" borderId="0" xfId="105" applyFont="1" applyAlignment="1">
      <alignment horizontal="left" vertical="center"/>
    </xf>
    <xf numFmtId="0" fontId="194" fillId="0" borderId="36" xfId="105" applyFont="1" applyBorder="1" applyAlignment="1">
      <alignment horizontal="left" vertical="center"/>
    </xf>
    <xf numFmtId="14" fontId="194" fillId="0" borderId="37" xfId="105" applyNumberFormat="1" applyFont="1" applyBorder="1" applyAlignment="1">
      <alignment horizontal="center" vertical="center"/>
    </xf>
    <xf numFmtId="0" fontId="186" fillId="0" borderId="0" xfId="105" applyFont="1" applyAlignment="1">
      <alignment horizontal="left" vertical="center" wrapText="1"/>
    </xf>
    <xf numFmtId="0" fontId="194" fillId="0" borderId="37" xfId="105" applyFont="1" applyBorder="1" applyAlignment="1">
      <alignment horizontal="center" vertic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44"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16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44" fontId="110" fillId="29" borderId="1" xfId="1" applyFont="1" applyFill="1" applyBorder="1" applyAlignment="1" applyProtection="1">
      <alignment horizontal="center" vertical="center"/>
    </xf>
    <xf numFmtId="44"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44" fontId="109" fillId="3" borderId="4" xfId="1" applyFont="1" applyFill="1" applyBorder="1" applyAlignment="1" applyProtection="1">
      <alignment horizontal="center" vertical="center"/>
    </xf>
    <xf numFmtId="44"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44" fontId="100" fillId="3" borderId="0" xfId="1" applyFont="1" applyFill="1" applyBorder="1" applyAlignment="1" applyProtection="1">
      <alignment horizontal="center" vertical="center"/>
    </xf>
    <xf numFmtId="44" fontId="100" fillId="3" borderId="13" xfId="1" applyFont="1" applyFill="1" applyBorder="1" applyAlignment="1" applyProtection="1">
      <alignment horizontal="center" vertical="center"/>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44" fontId="109" fillId="3" borderId="0" xfId="1" applyFont="1" applyFill="1" applyBorder="1" applyAlignment="1" applyProtection="1">
      <alignment horizontal="center" vertical="center"/>
    </xf>
    <xf numFmtId="44" fontId="109" fillId="3" borderId="13" xfId="1" applyFont="1" applyFill="1" applyBorder="1" applyAlignment="1" applyProtection="1">
      <alignment horizontal="center" vertical="center"/>
    </xf>
    <xf numFmtId="0" fontId="198" fillId="0" borderId="0" xfId="105" applyFont="1" applyAlignment="1">
      <alignment horizontal="center" vertical="center"/>
    </xf>
    <xf numFmtId="0" fontId="186" fillId="0" borderId="0" xfId="105" applyFont="1" applyAlignment="1">
      <alignment horizontal="left" vertical="center" wrapText="1"/>
    </xf>
    <xf numFmtId="44" fontId="176" fillId="9" borderId="51" xfId="0" applyNumberFormat="1" applyFont="1" applyFill="1" applyBorder="1" applyAlignment="1">
      <alignment horizontal="center" vertical="center" wrapText="1"/>
    </xf>
    <xf numFmtId="44" fontId="176" fillId="9" borderId="52" xfId="0" applyNumberFormat="1" applyFont="1" applyFill="1" applyBorder="1" applyAlignment="1">
      <alignment horizontal="center" vertical="center" wrapText="1"/>
    </xf>
    <xf numFmtId="44" fontId="176" fillId="9" borderId="53" xfId="0" applyNumberFormat="1" applyFont="1" applyFill="1" applyBorder="1" applyAlignment="1">
      <alignment horizontal="center" vertical="center" wrapText="1"/>
    </xf>
    <xf numFmtId="10" fontId="181" fillId="9" borderId="44" xfId="12" applyNumberFormat="1" applyFont="1" applyFill="1" applyBorder="1" applyAlignment="1" applyProtection="1">
      <alignment horizontal="center" vertical="center" wrapText="1"/>
    </xf>
    <xf numFmtId="10" fontId="181" fillId="9" borderId="9" xfId="12" applyNumberFormat="1" applyFont="1" applyFill="1" applyBorder="1" applyAlignment="1" applyProtection="1">
      <alignment horizontal="center" vertical="center" wrapText="1"/>
    </xf>
    <xf numFmtId="10" fontId="181" fillId="9" borderId="45" xfId="12" applyNumberFormat="1" applyFont="1" applyFill="1" applyBorder="1" applyAlignment="1" applyProtection="1">
      <alignment horizontal="center" vertical="center" wrapText="1"/>
    </xf>
    <xf numFmtId="0" fontId="180" fillId="24" borderId="51" xfId="0" applyFont="1" applyFill="1" applyBorder="1" applyAlignment="1">
      <alignment horizontal="center" vertical="center" wrapText="1"/>
    </xf>
    <xf numFmtId="0" fontId="180" fillId="24" borderId="52" xfId="0" applyFont="1" applyFill="1" applyBorder="1" applyAlignment="1">
      <alignment horizontal="center" vertical="center" wrapText="1"/>
    </xf>
    <xf numFmtId="0" fontId="180" fillId="24" borderId="53" xfId="0" applyFont="1" applyFill="1" applyBorder="1" applyAlignment="1">
      <alignment horizontal="center" vertical="center" wrapText="1"/>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0" fontId="46" fillId="14" borderId="12" xfId="0" applyFont="1" applyFill="1" applyBorder="1" applyAlignment="1" applyProtection="1">
      <alignment horizontal="left" vertical="center" wrapText="1"/>
      <protection locked="0"/>
    </xf>
    <xf numFmtId="0" fontId="44" fillId="12" borderId="11" xfId="0" applyFont="1" applyFill="1" applyBorder="1" applyAlignment="1">
      <alignment horizontal="left"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182" fillId="24" borderId="55" xfId="0" applyFont="1" applyFill="1" applyBorder="1" applyAlignment="1">
      <alignment horizontal="center" vertical="center" wrapText="1"/>
    </xf>
    <xf numFmtId="0" fontId="182" fillId="24" borderId="57" xfId="0" applyFont="1" applyFill="1" applyBorder="1" applyAlignment="1">
      <alignment horizontal="center" vertical="center" wrapText="1"/>
    </xf>
    <xf numFmtId="0" fontId="182" fillId="24" borderId="56"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8" xfId="0" applyFont="1" applyFill="1" applyBorder="1" applyAlignment="1">
      <alignment horizontal="center" vertical="center"/>
    </xf>
    <xf numFmtId="0" fontId="21" fillId="24" borderId="59" xfId="0" applyFont="1" applyFill="1" applyBorder="1" applyAlignment="1">
      <alignment horizontal="center" vertical="center"/>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1"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44" fontId="0" fillId="4" borderId="1" xfId="0" applyNumberFormat="1" applyFill="1" applyBorder="1" applyAlignment="1">
      <alignment horizontal="center"/>
    </xf>
    <xf numFmtId="44" fontId="45" fillId="18" borderId="8" xfId="0" applyNumberFormat="1" applyFont="1" applyFill="1" applyBorder="1" applyAlignment="1">
      <alignment horizontal="left"/>
    </xf>
    <xf numFmtId="44" fontId="45" fillId="18" borderId="10" xfId="0" applyNumberFormat="1"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9" xfId="0"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44" fontId="124" fillId="3" borderId="0" xfId="1" applyFont="1" applyFill="1" applyBorder="1" applyAlignment="1">
      <alignment horizontal="right" vertical="top"/>
    </xf>
    <xf numFmtId="44"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29" xfId="0" applyFont="1" applyFill="1" applyBorder="1" applyAlignment="1">
      <alignment horizontal="center" vertical="center"/>
    </xf>
    <xf numFmtId="0" fontId="128" fillId="34" borderId="7" xfId="0" applyFont="1" applyFill="1" applyBorder="1" applyAlignment="1">
      <alignment horizontal="center" vertical="center"/>
    </xf>
    <xf numFmtId="14" fontId="128" fillId="34" borderId="12" xfId="1" applyNumberFormat="1" applyFont="1" applyFill="1" applyBorder="1" applyAlignment="1">
      <alignment horizontal="center" vertical="center"/>
    </xf>
    <xf numFmtId="44" fontId="128" fillId="34" borderId="3" xfId="1" applyFont="1" applyFill="1" applyBorder="1" applyAlignment="1">
      <alignment horizontal="center" vertical="center"/>
    </xf>
    <xf numFmtId="44" fontId="128" fillId="34" borderId="29" xfId="1" applyFont="1" applyFill="1" applyBorder="1" applyAlignment="1">
      <alignment horizontal="center" vertical="center"/>
    </xf>
    <xf numFmtId="44"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44" fontId="121" fillId="0" borderId="4" xfId="1" applyFont="1" applyBorder="1" applyAlignment="1">
      <alignment horizontal="right"/>
    </xf>
    <xf numFmtId="44"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44" fontId="124" fillId="3" borderId="0" xfId="1" applyFont="1" applyFill="1" applyBorder="1" applyAlignment="1">
      <alignment horizontal="right" vertical="center"/>
    </xf>
    <xf numFmtId="44" fontId="124" fillId="3" borderId="13" xfId="1" applyFont="1" applyFill="1" applyBorder="1" applyAlignment="1">
      <alignment horizontal="right" vertical="center"/>
    </xf>
    <xf numFmtId="44" fontId="127" fillId="3" borderId="1" xfId="84" applyNumberFormat="1" applyFont="1" applyFill="1" applyBorder="1" applyAlignment="1" applyProtection="1">
      <alignment horizontal="right"/>
    </xf>
    <xf numFmtId="44" fontId="127" fillId="3" borderId="7" xfId="84" applyNumberFormat="1" applyFont="1" applyFill="1" applyBorder="1" applyAlignment="1" applyProtection="1">
      <alignment horizontal="right"/>
    </xf>
    <xf numFmtId="168" fontId="120" fillId="4" borderId="30" xfId="30" applyFont="1" applyFill="1"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44" fontId="127" fillId="3" borderId="1" xfId="29" applyNumberFormat="1" applyFont="1" applyFill="1" applyBorder="1" applyAlignment="1" applyProtection="1">
      <alignment horizontal="right"/>
    </xf>
    <xf numFmtId="44"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0" fillId="4" borderId="2" xfId="69" applyFont="1" applyFill="1" applyBorder="1" applyAlignment="1">
      <alignment horizontal="center" vertical="top" wrapTex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4" xfId="101" applyFont="1" applyFill="1" applyBorder="1" applyAlignment="1">
      <alignment horizontal="center" vertical="center"/>
    </xf>
    <xf numFmtId="168" fontId="129" fillId="34" borderId="1"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cellXfs>
  <cellStyles count="107">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6" xr:uid="{CB3A05CD-3D3D-8843-AE77-7D516BA8ED4F}"/>
    <cellStyle name="Hipervínculo visitado" xfId="11" builtinId="9" hidden="1"/>
    <cellStyle name="Hipervínculo visitado" xfId="9" builtinId="9" hidden="1"/>
    <cellStyle name="Hipervínculo visitado" xfId="8" builtinId="9" hidden="1"/>
    <cellStyle name="Hipervínculo visitado" xfId="10" builtinId="9" hidden="1"/>
    <cellStyle name="Hipervínculo visitado" xfId="5" builtinId="9" hidden="1"/>
    <cellStyle name="Hipervínculo visitado" xfId="3" builtinId="9" hidden="1"/>
    <cellStyle name="Hipervínculo visitado" xfId="6" builtinId="9" hidden="1"/>
    <cellStyle name="Hipervínculo visitado" xfId="7"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13" xfId="105" xr:uid="{B9950521-6F27-CA49-BFE2-46E8D065B5DE}"/>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C91CD2A1-7326-7541-8782-1979E9B7C85C}"/>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09">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08"/>
      <tableStyleElement type="headerRow" dxfId="107"/>
    </tableStyle>
  </tableStyles>
  <colors>
    <mruColors>
      <color rgb="FF80D381"/>
      <color rgb="FF73A9DB"/>
      <color rgb="FFFFC000"/>
      <color rgb="FFFF4C00"/>
      <color rgb="FF119FFF"/>
      <color rgb="FFFF0000"/>
      <color rgb="FF0432FF"/>
      <color rgb="FF9A1A4B"/>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26" Type="http://schemas.openxmlformats.org/officeDocument/2006/relationships/image" Target="../media/image40.jpeg"/><Relationship Id="rId117" Type="http://schemas.openxmlformats.org/officeDocument/2006/relationships/image" Target="../media/image131.png"/><Relationship Id="rId21" Type="http://schemas.openxmlformats.org/officeDocument/2006/relationships/image" Target="../media/image35.jpeg"/><Relationship Id="rId42" Type="http://schemas.openxmlformats.org/officeDocument/2006/relationships/image" Target="../media/image56.jpeg"/><Relationship Id="rId47" Type="http://schemas.openxmlformats.org/officeDocument/2006/relationships/image" Target="../media/image61.jpeg"/><Relationship Id="rId63" Type="http://schemas.openxmlformats.org/officeDocument/2006/relationships/image" Target="../media/image77.jpeg"/><Relationship Id="rId68" Type="http://schemas.openxmlformats.org/officeDocument/2006/relationships/image" Target="../media/image82.jpeg"/><Relationship Id="rId84" Type="http://schemas.openxmlformats.org/officeDocument/2006/relationships/image" Target="../media/image98.png"/><Relationship Id="rId89" Type="http://schemas.openxmlformats.org/officeDocument/2006/relationships/image" Target="../media/image103.png"/><Relationship Id="rId112" Type="http://schemas.openxmlformats.org/officeDocument/2006/relationships/image" Target="../media/image126.png"/><Relationship Id="rId16" Type="http://schemas.openxmlformats.org/officeDocument/2006/relationships/image" Target="../media/image30.png"/><Relationship Id="rId107" Type="http://schemas.openxmlformats.org/officeDocument/2006/relationships/image" Target="../media/image121.png"/><Relationship Id="rId11" Type="http://schemas.openxmlformats.org/officeDocument/2006/relationships/image" Target="../media/image25.jpeg"/><Relationship Id="rId32" Type="http://schemas.openxmlformats.org/officeDocument/2006/relationships/image" Target="../media/image46.jpeg"/><Relationship Id="rId37" Type="http://schemas.openxmlformats.org/officeDocument/2006/relationships/image" Target="../media/image51.jpeg"/><Relationship Id="rId53" Type="http://schemas.openxmlformats.org/officeDocument/2006/relationships/image" Target="../media/image67.jpeg"/><Relationship Id="rId58" Type="http://schemas.openxmlformats.org/officeDocument/2006/relationships/image" Target="../media/image72.jpeg"/><Relationship Id="rId74" Type="http://schemas.openxmlformats.org/officeDocument/2006/relationships/image" Target="../media/image88.jpeg"/><Relationship Id="rId79" Type="http://schemas.openxmlformats.org/officeDocument/2006/relationships/image" Target="../media/image93.png"/><Relationship Id="rId102" Type="http://schemas.openxmlformats.org/officeDocument/2006/relationships/image" Target="../media/image116.png"/><Relationship Id="rId5" Type="http://schemas.openxmlformats.org/officeDocument/2006/relationships/image" Target="../media/image19.jpeg"/><Relationship Id="rId90" Type="http://schemas.openxmlformats.org/officeDocument/2006/relationships/image" Target="../media/image104.png"/><Relationship Id="rId95" Type="http://schemas.openxmlformats.org/officeDocument/2006/relationships/image" Target="../media/image109.png"/><Relationship Id="rId22" Type="http://schemas.openxmlformats.org/officeDocument/2006/relationships/image" Target="../media/image36.jpeg"/><Relationship Id="rId27" Type="http://schemas.openxmlformats.org/officeDocument/2006/relationships/image" Target="../media/image41.jpeg"/><Relationship Id="rId43" Type="http://schemas.openxmlformats.org/officeDocument/2006/relationships/image" Target="../media/image57.jpeg"/><Relationship Id="rId48" Type="http://schemas.openxmlformats.org/officeDocument/2006/relationships/image" Target="../media/image62.jpeg"/><Relationship Id="rId64" Type="http://schemas.openxmlformats.org/officeDocument/2006/relationships/image" Target="../media/image78.jpeg"/><Relationship Id="rId69" Type="http://schemas.openxmlformats.org/officeDocument/2006/relationships/image" Target="../media/image83.jpeg"/><Relationship Id="rId113" Type="http://schemas.openxmlformats.org/officeDocument/2006/relationships/image" Target="../media/image127.png"/><Relationship Id="rId118" Type="http://schemas.openxmlformats.org/officeDocument/2006/relationships/image" Target="../media/image132.png"/><Relationship Id="rId80" Type="http://schemas.openxmlformats.org/officeDocument/2006/relationships/image" Target="../media/image94.png"/><Relationship Id="rId85" Type="http://schemas.openxmlformats.org/officeDocument/2006/relationships/image" Target="../media/image99.png"/><Relationship Id="rId12" Type="http://schemas.openxmlformats.org/officeDocument/2006/relationships/image" Target="../media/image26.jpeg"/><Relationship Id="rId17" Type="http://schemas.openxmlformats.org/officeDocument/2006/relationships/image" Target="../media/image31.png"/><Relationship Id="rId33" Type="http://schemas.openxmlformats.org/officeDocument/2006/relationships/image" Target="../media/image47.jpeg"/><Relationship Id="rId38" Type="http://schemas.openxmlformats.org/officeDocument/2006/relationships/image" Target="../media/image52.jpeg"/><Relationship Id="rId59" Type="http://schemas.openxmlformats.org/officeDocument/2006/relationships/image" Target="../media/image73.jpeg"/><Relationship Id="rId103" Type="http://schemas.openxmlformats.org/officeDocument/2006/relationships/image" Target="../media/image117.png"/><Relationship Id="rId108" Type="http://schemas.openxmlformats.org/officeDocument/2006/relationships/image" Target="../media/image122.jpeg"/><Relationship Id="rId54" Type="http://schemas.openxmlformats.org/officeDocument/2006/relationships/image" Target="../media/image68.jpeg"/><Relationship Id="rId70" Type="http://schemas.openxmlformats.org/officeDocument/2006/relationships/image" Target="../media/image84.jpeg"/><Relationship Id="rId75" Type="http://schemas.openxmlformats.org/officeDocument/2006/relationships/image" Target="../media/image89.jpeg"/><Relationship Id="rId91" Type="http://schemas.openxmlformats.org/officeDocument/2006/relationships/image" Target="../media/image105.png"/><Relationship Id="rId96" Type="http://schemas.openxmlformats.org/officeDocument/2006/relationships/image" Target="../media/image110.png"/><Relationship Id="rId1" Type="http://schemas.openxmlformats.org/officeDocument/2006/relationships/image" Target="../media/image15.png"/><Relationship Id="rId6" Type="http://schemas.openxmlformats.org/officeDocument/2006/relationships/image" Target="../media/image20.jpeg"/><Relationship Id="rId23" Type="http://schemas.openxmlformats.org/officeDocument/2006/relationships/image" Target="../media/image37.jpeg"/><Relationship Id="rId28" Type="http://schemas.openxmlformats.org/officeDocument/2006/relationships/image" Target="../media/image42.jpeg"/><Relationship Id="rId49" Type="http://schemas.openxmlformats.org/officeDocument/2006/relationships/image" Target="../media/image63.jpeg"/><Relationship Id="rId114" Type="http://schemas.openxmlformats.org/officeDocument/2006/relationships/image" Target="../media/image128.png"/><Relationship Id="rId119" Type="http://schemas.openxmlformats.org/officeDocument/2006/relationships/image" Target="../media/image133.png"/><Relationship Id="rId10" Type="http://schemas.openxmlformats.org/officeDocument/2006/relationships/image" Target="../media/image24.jpeg"/><Relationship Id="rId31" Type="http://schemas.openxmlformats.org/officeDocument/2006/relationships/image" Target="../media/image45.jpeg"/><Relationship Id="rId44" Type="http://schemas.openxmlformats.org/officeDocument/2006/relationships/image" Target="../media/image58.jpeg"/><Relationship Id="rId52" Type="http://schemas.openxmlformats.org/officeDocument/2006/relationships/image" Target="../media/image66.jpeg"/><Relationship Id="rId60" Type="http://schemas.openxmlformats.org/officeDocument/2006/relationships/image" Target="../media/image74.jpeg"/><Relationship Id="rId65" Type="http://schemas.openxmlformats.org/officeDocument/2006/relationships/image" Target="../media/image79.jpeg"/><Relationship Id="rId73" Type="http://schemas.openxmlformats.org/officeDocument/2006/relationships/image" Target="../media/image87.jpeg"/><Relationship Id="rId78" Type="http://schemas.openxmlformats.org/officeDocument/2006/relationships/image" Target="../media/image92.jpeg"/><Relationship Id="rId81" Type="http://schemas.openxmlformats.org/officeDocument/2006/relationships/image" Target="../media/image95.png"/><Relationship Id="rId86" Type="http://schemas.openxmlformats.org/officeDocument/2006/relationships/image" Target="../media/image100.png"/><Relationship Id="rId94" Type="http://schemas.openxmlformats.org/officeDocument/2006/relationships/image" Target="../media/image108.png"/><Relationship Id="rId99" Type="http://schemas.openxmlformats.org/officeDocument/2006/relationships/image" Target="../media/image113.png"/><Relationship Id="rId101" Type="http://schemas.openxmlformats.org/officeDocument/2006/relationships/image" Target="../media/image115.png"/><Relationship Id="rId4" Type="http://schemas.openxmlformats.org/officeDocument/2006/relationships/image" Target="../media/image18.jpeg"/><Relationship Id="rId9" Type="http://schemas.openxmlformats.org/officeDocument/2006/relationships/image" Target="../media/image23.jpeg"/><Relationship Id="rId13" Type="http://schemas.openxmlformats.org/officeDocument/2006/relationships/image" Target="../media/image27.jpeg"/><Relationship Id="rId18" Type="http://schemas.openxmlformats.org/officeDocument/2006/relationships/image" Target="../media/image32.jpeg"/><Relationship Id="rId39" Type="http://schemas.openxmlformats.org/officeDocument/2006/relationships/image" Target="../media/image53.jpeg"/><Relationship Id="rId109" Type="http://schemas.openxmlformats.org/officeDocument/2006/relationships/image" Target="../media/image123.png"/><Relationship Id="rId34" Type="http://schemas.openxmlformats.org/officeDocument/2006/relationships/image" Target="../media/image48.jpeg"/><Relationship Id="rId50" Type="http://schemas.openxmlformats.org/officeDocument/2006/relationships/image" Target="../media/image64.jpeg"/><Relationship Id="rId55" Type="http://schemas.openxmlformats.org/officeDocument/2006/relationships/image" Target="../media/image69.jpeg"/><Relationship Id="rId76" Type="http://schemas.openxmlformats.org/officeDocument/2006/relationships/image" Target="../media/image90.jpeg"/><Relationship Id="rId97" Type="http://schemas.openxmlformats.org/officeDocument/2006/relationships/image" Target="../media/image111.jpeg"/><Relationship Id="rId104" Type="http://schemas.openxmlformats.org/officeDocument/2006/relationships/image" Target="../media/image118.png"/><Relationship Id="rId7" Type="http://schemas.openxmlformats.org/officeDocument/2006/relationships/image" Target="../media/image21.jpeg"/><Relationship Id="rId71" Type="http://schemas.openxmlformats.org/officeDocument/2006/relationships/image" Target="../media/image85.jpeg"/><Relationship Id="rId92" Type="http://schemas.openxmlformats.org/officeDocument/2006/relationships/image" Target="../media/image106.png"/><Relationship Id="rId2" Type="http://schemas.openxmlformats.org/officeDocument/2006/relationships/image" Target="../media/image16.jpeg"/><Relationship Id="rId29" Type="http://schemas.openxmlformats.org/officeDocument/2006/relationships/image" Target="../media/image43.jpeg"/><Relationship Id="rId24" Type="http://schemas.openxmlformats.org/officeDocument/2006/relationships/image" Target="../media/image38.jpeg"/><Relationship Id="rId40" Type="http://schemas.openxmlformats.org/officeDocument/2006/relationships/image" Target="../media/image54.jpeg"/><Relationship Id="rId45" Type="http://schemas.openxmlformats.org/officeDocument/2006/relationships/image" Target="../media/image59.jpeg"/><Relationship Id="rId66" Type="http://schemas.openxmlformats.org/officeDocument/2006/relationships/image" Target="../media/image80.jpeg"/><Relationship Id="rId87" Type="http://schemas.openxmlformats.org/officeDocument/2006/relationships/image" Target="../media/image101.png"/><Relationship Id="rId110" Type="http://schemas.openxmlformats.org/officeDocument/2006/relationships/image" Target="../media/image124.png"/><Relationship Id="rId115" Type="http://schemas.openxmlformats.org/officeDocument/2006/relationships/image" Target="../media/image129.png"/><Relationship Id="rId61" Type="http://schemas.openxmlformats.org/officeDocument/2006/relationships/image" Target="../media/image75.jpeg"/><Relationship Id="rId82" Type="http://schemas.openxmlformats.org/officeDocument/2006/relationships/image" Target="../media/image96.png"/><Relationship Id="rId19" Type="http://schemas.openxmlformats.org/officeDocument/2006/relationships/image" Target="../media/image33.jpeg"/><Relationship Id="rId14" Type="http://schemas.openxmlformats.org/officeDocument/2006/relationships/image" Target="../media/image28.jpeg"/><Relationship Id="rId30" Type="http://schemas.openxmlformats.org/officeDocument/2006/relationships/image" Target="../media/image44.jpeg"/><Relationship Id="rId35" Type="http://schemas.openxmlformats.org/officeDocument/2006/relationships/image" Target="../media/image49.jpeg"/><Relationship Id="rId56" Type="http://schemas.openxmlformats.org/officeDocument/2006/relationships/image" Target="../media/image70.jpeg"/><Relationship Id="rId77" Type="http://schemas.openxmlformats.org/officeDocument/2006/relationships/image" Target="../media/image91.jpeg"/><Relationship Id="rId100" Type="http://schemas.openxmlformats.org/officeDocument/2006/relationships/image" Target="../media/image114.png"/><Relationship Id="rId105" Type="http://schemas.openxmlformats.org/officeDocument/2006/relationships/image" Target="../media/image119.png"/><Relationship Id="rId8" Type="http://schemas.openxmlformats.org/officeDocument/2006/relationships/image" Target="../media/image22.jpeg"/><Relationship Id="rId51" Type="http://schemas.openxmlformats.org/officeDocument/2006/relationships/image" Target="../media/image65.jpeg"/><Relationship Id="rId72" Type="http://schemas.openxmlformats.org/officeDocument/2006/relationships/image" Target="../media/image86.jpeg"/><Relationship Id="rId93" Type="http://schemas.openxmlformats.org/officeDocument/2006/relationships/image" Target="../media/image107.png"/><Relationship Id="rId98" Type="http://schemas.openxmlformats.org/officeDocument/2006/relationships/image" Target="../media/image112.jpeg"/><Relationship Id="rId3" Type="http://schemas.openxmlformats.org/officeDocument/2006/relationships/image" Target="../media/image17.jpeg"/><Relationship Id="rId25" Type="http://schemas.openxmlformats.org/officeDocument/2006/relationships/image" Target="../media/image39.jpeg"/><Relationship Id="rId46" Type="http://schemas.openxmlformats.org/officeDocument/2006/relationships/image" Target="../media/image60.jpeg"/><Relationship Id="rId67" Type="http://schemas.openxmlformats.org/officeDocument/2006/relationships/image" Target="../media/image81.jpeg"/><Relationship Id="rId116" Type="http://schemas.openxmlformats.org/officeDocument/2006/relationships/image" Target="../media/image130.png"/><Relationship Id="rId20" Type="http://schemas.openxmlformats.org/officeDocument/2006/relationships/image" Target="../media/image34.jpeg"/><Relationship Id="rId41" Type="http://schemas.openxmlformats.org/officeDocument/2006/relationships/image" Target="../media/image55.jpeg"/><Relationship Id="rId62" Type="http://schemas.openxmlformats.org/officeDocument/2006/relationships/image" Target="../media/image76.jpeg"/><Relationship Id="rId83" Type="http://schemas.openxmlformats.org/officeDocument/2006/relationships/image" Target="../media/image97.png"/><Relationship Id="rId88" Type="http://schemas.openxmlformats.org/officeDocument/2006/relationships/image" Target="../media/image102.png"/><Relationship Id="rId111" Type="http://schemas.openxmlformats.org/officeDocument/2006/relationships/image" Target="../media/image125.png"/><Relationship Id="rId15" Type="http://schemas.openxmlformats.org/officeDocument/2006/relationships/image" Target="../media/image29.jpeg"/><Relationship Id="rId36" Type="http://schemas.openxmlformats.org/officeDocument/2006/relationships/image" Target="../media/image50.jpeg"/><Relationship Id="rId57" Type="http://schemas.openxmlformats.org/officeDocument/2006/relationships/image" Target="../media/image71.jpeg"/><Relationship Id="rId106" Type="http://schemas.openxmlformats.org/officeDocument/2006/relationships/image" Target="../media/image12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6.png"/><Relationship Id="rId18" Type="http://schemas.openxmlformats.org/officeDocument/2006/relationships/image" Target="../media/image151.png"/><Relationship Id="rId26" Type="http://schemas.openxmlformats.org/officeDocument/2006/relationships/image" Target="../media/image159.png"/><Relationship Id="rId39" Type="http://schemas.openxmlformats.org/officeDocument/2006/relationships/image" Target="../media/image172.png"/><Relationship Id="rId21" Type="http://schemas.openxmlformats.org/officeDocument/2006/relationships/image" Target="../media/image154.png"/><Relationship Id="rId34" Type="http://schemas.openxmlformats.org/officeDocument/2006/relationships/image" Target="../media/image167.png"/><Relationship Id="rId42" Type="http://schemas.openxmlformats.org/officeDocument/2006/relationships/image" Target="../media/image175.png"/><Relationship Id="rId47" Type="http://schemas.openxmlformats.org/officeDocument/2006/relationships/image" Target="../media/image180.png"/><Relationship Id="rId7" Type="http://schemas.openxmlformats.org/officeDocument/2006/relationships/image" Target="../media/image140.png"/><Relationship Id="rId2" Type="http://schemas.openxmlformats.org/officeDocument/2006/relationships/image" Target="../media/image135.png"/><Relationship Id="rId16" Type="http://schemas.openxmlformats.org/officeDocument/2006/relationships/image" Target="../media/image149.png"/><Relationship Id="rId29" Type="http://schemas.openxmlformats.org/officeDocument/2006/relationships/image" Target="../media/image162.png"/><Relationship Id="rId1" Type="http://schemas.openxmlformats.org/officeDocument/2006/relationships/image" Target="../media/image134.jpeg"/><Relationship Id="rId6" Type="http://schemas.openxmlformats.org/officeDocument/2006/relationships/image" Target="../media/image139.png"/><Relationship Id="rId11" Type="http://schemas.openxmlformats.org/officeDocument/2006/relationships/image" Target="../media/image144.png"/><Relationship Id="rId24" Type="http://schemas.openxmlformats.org/officeDocument/2006/relationships/image" Target="../media/image157.png"/><Relationship Id="rId32" Type="http://schemas.openxmlformats.org/officeDocument/2006/relationships/image" Target="../media/image165.png"/><Relationship Id="rId37" Type="http://schemas.openxmlformats.org/officeDocument/2006/relationships/image" Target="../media/image170.png"/><Relationship Id="rId40" Type="http://schemas.openxmlformats.org/officeDocument/2006/relationships/image" Target="../media/image173.png"/><Relationship Id="rId45" Type="http://schemas.openxmlformats.org/officeDocument/2006/relationships/image" Target="../media/image178.png"/><Relationship Id="rId5" Type="http://schemas.openxmlformats.org/officeDocument/2006/relationships/image" Target="../media/image138.png"/><Relationship Id="rId15" Type="http://schemas.openxmlformats.org/officeDocument/2006/relationships/image" Target="../media/image148.png"/><Relationship Id="rId23" Type="http://schemas.openxmlformats.org/officeDocument/2006/relationships/image" Target="../media/image156.png"/><Relationship Id="rId28" Type="http://schemas.openxmlformats.org/officeDocument/2006/relationships/image" Target="../media/image161.png"/><Relationship Id="rId36" Type="http://schemas.openxmlformats.org/officeDocument/2006/relationships/image" Target="../media/image169.png"/><Relationship Id="rId10" Type="http://schemas.openxmlformats.org/officeDocument/2006/relationships/image" Target="../media/image143.png"/><Relationship Id="rId19" Type="http://schemas.openxmlformats.org/officeDocument/2006/relationships/image" Target="../media/image152.png"/><Relationship Id="rId31" Type="http://schemas.openxmlformats.org/officeDocument/2006/relationships/image" Target="../media/image164.png"/><Relationship Id="rId44" Type="http://schemas.openxmlformats.org/officeDocument/2006/relationships/image" Target="../media/image177.png"/><Relationship Id="rId4" Type="http://schemas.openxmlformats.org/officeDocument/2006/relationships/image" Target="../media/image137.png"/><Relationship Id="rId9" Type="http://schemas.openxmlformats.org/officeDocument/2006/relationships/image" Target="../media/image142.png"/><Relationship Id="rId14" Type="http://schemas.openxmlformats.org/officeDocument/2006/relationships/image" Target="../media/image147.png"/><Relationship Id="rId22" Type="http://schemas.openxmlformats.org/officeDocument/2006/relationships/image" Target="../media/image155.png"/><Relationship Id="rId27" Type="http://schemas.openxmlformats.org/officeDocument/2006/relationships/image" Target="../media/image160.png"/><Relationship Id="rId30" Type="http://schemas.openxmlformats.org/officeDocument/2006/relationships/image" Target="../media/image163.png"/><Relationship Id="rId35" Type="http://schemas.openxmlformats.org/officeDocument/2006/relationships/image" Target="../media/image168.png"/><Relationship Id="rId43" Type="http://schemas.openxmlformats.org/officeDocument/2006/relationships/image" Target="../media/image176.png"/><Relationship Id="rId8" Type="http://schemas.openxmlformats.org/officeDocument/2006/relationships/image" Target="../media/image141.png"/><Relationship Id="rId3" Type="http://schemas.openxmlformats.org/officeDocument/2006/relationships/image" Target="../media/image136.png"/><Relationship Id="rId12" Type="http://schemas.openxmlformats.org/officeDocument/2006/relationships/image" Target="../media/image145.png"/><Relationship Id="rId17" Type="http://schemas.openxmlformats.org/officeDocument/2006/relationships/image" Target="../media/image150.png"/><Relationship Id="rId25" Type="http://schemas.openxmlformats.org/officeDocument/2006/relationships/image" Target="../media/image158.png"/><Relationship Id="rId33" Type="http://schemas.openxmlformats.org/officeDocument/2006/relationships/image" Target="../media/image166.png"/><Relationship Id="rId38" Type="http://schemas.openxmlformats.org/officeDocument/2006/relationships/image" Target="../media/image171.png"/><Relationship Id="rId46" Type="http://schemas.openxmlformats.org/officeDocument/2006/relationships/image" Target="../media/image179.png"/><Relationship Id="rId20" Type="http://schemas.openxmlformats.org/officeDocument/2006/relationships/image" Target="../media/image153.png"/><Relationship Id="rId41" Type="http://schemas.openxmlformats.org/officeDocument/2006/relationships/image" Target="../media/image174.png"/></Relationships>
</file>

<file path=xl/drawings/_rels/drawing9.xml.rels><?xml version="1.0" encoding="UTF-8" standalone="yes"?>
<Relationships xmlns="http://schemas.openxmlformats.org/package/2006/relationships"><Relationship Id="rId13" Type="http://schemas.openxmlformats.org/officeDocument/2006/relationships/image" Target="../media/image134.jpeg"/><Relationship Id="rId18" Type="http://schemas.openxmlformats.org/officeDocument/2006/relationships/image" Target="../media/image197.png"/><Relationship Id="rId26" Type="http://schemas.openxmlformats.org/officeDocument/2006/relationships/image" Target="../media/image203.png"/><Relationship Id="rId39" Type="http://schemas.openxmlformats.org/officeDocument/2006/relationships/image" Target="../media/image216.png"/><Relationship Id="rId21" Type="http://schemas.openxmlformats.org/officeDocument/2006/relationships/image" Target="../media/image200.png"/><Relationship Id="rId34" Type="http://schemas.openxmlformats.org/officeDocument/2006/relationships/image" Target="../media/image211.tiff"/><Relationship Id="rId42" Type="http://schemas.openxmlformats.org/officeDocument/2006/relationships/image" Target="../media/image219.png"/><Relationship Id="rId47" Type="http://schemas.openxmlformats.org/officeDocument/2006/relationships/image" Target="../media/image224.png"/><Relationship Id="rId50" Type="http://schemas.openxmlformats.org/officeDocument/2006/relationships/image" Target="../media/image227.png"/><Relationship Id="rId55" Type="http://schemas.openxmlformats.org/officeDocument/2006/relationships/image" Target="../media/image232.png"/><Relationship Id="rId63" Type="http://schemas.microsoft.com/office/2007/relationships/hdphoto" Target="../media/hdphoto3.wdp"/><Relationship Id="rId7" Type="http://schemas.openxmlformats.org/officeDocument/2006/relationships/image" Target="../media/image187.png"/><Relationship Id="rId2" Type="http://schemas.openxmlformats.org/officeDocument/2006/relationships/image" Target="../media/image182.png"/><Relationship Id="rId16" Type="http://schemas.openxmlformats.org/officeDocument/2006/relationships/image" Target="../media/image195.png"/><Relationship Id="rId29" Type="http://schemas.openxmlformats.org/officeDocument/2006/relationships/image" Target="../media/image206.png"/><Relationship Id="rId11" Type="http://schemas.openxmlformats.org/officeDocument/2006/relationships/image" Target="../media/image191.png"/><Relationship Id="rId24" Type="http://schemas.openxmlformats.org/officeDocument/2006/relationships/image" Target="../media/image202.jpeg"/><Relationship Id="rId32" Type="http://schemas.openxmlformats.org/officeDocument/2006/relationships/image" Target="../media/image209.tiff"/><Relationship Id="rId37" Type="http://schemas.openxmlformats.org/officeDocument/2006/relationships/image" Target="../media/image214.tiff"/><Relationship Id="rId40" Type="http://schemas.openxmlformats.org/officeDocument/2006/relationships/image" Target="../media/image217.png"/><Relationship Id="rId45" Type="http://schemas.openxmlformats.org/officeDocument/2006/relationships/image" Target="../media/image222.png"/><Relationship Id="rId53" Type="http://schemas.openxmlformats.org/officeDocument/2006/relationships/image" Target="../media/image230.png"/><Relationship Id="rId58" Type="http://schemas.openxmlformats.org/officeDocument/2006/relationships/image" Target="../media/image235.png"/><Relationship Id="rId5" Type="http://schemas.openxmlformats.org/officeDocument/2006/relationships/image" Target="../media/image185.png"/><Relationship Id="rId61" Type="http://schemas.openxmlformats.org/officeDocument/2006/relationships/image" Target="../media/image238.png"/><Relationship Id="rId19" Type="http://schemas.openxmlformats.org/officeDocument/2006/relationships/image" Target="../media/image198.png"/><Relationship Id="rId14" Type="http://schemas.openxmlformats.org/officeDocument/2006/relationships/image" Target="../media/image193.png"/><Relationship Id="rId22" Type="http://schemas.openxmlformats.org/officeDocument/2006/relationships/image" Target="../media/image201.jpeg"/><Relationship Id="rId27" Type="http://schemas.openxmlformats.org/officeDocument/2006/relationships/image" Target="../media/image204.png"/><Relationship Id="rId30" Type="http://schemas.openxmlformats.org/officeDocument/2006/relationships/image" Target="../media/image207.jpeg"/><Relationship Id="rId35" Type="http://schemas.openxmlformats.org/officeDocument/2006/relationships/image" Target="../media/image212.tiff"/><Relationship Id="rId43" Type="http://schemas.openxmlformats.org/officeDocument/2006/relationships/image" Target="../media/image220.png"/><Relationship Id="rId48" Type="http://schemas.openxmlformats.org/officeDocument/2006/relationships/image" Target="../media/image225.png"/><Relationship Id="rId56" Type="http://schemas.openxmlformats.org/officeDocument/2006/relationships/image" Target="../media/image233.png"/><Relationship Id="rId64" Type="http://schemas.openxmlformats.org/officeDocument/2006/relationships/image" Target="../media/image240.png"/><Relationship Id="rId8" Type="http://schemas.openxmlformats.org/officeDocument/2006/relationships/image" Target="../media/image188.png"/><Relationship Id="rId51" Type="http://schemas.openxmlformats.org/officeDocument/2006/relationships/image" Target="../media/image228.png"/><Relationship Id="rId3" Type="http://schemas.openxmlformats.org/officeDocument/2006/relationships/image" Target="../media/image183.png"/><Relationship Id="rId12" Type="http://schemas.openxmlformats.org/officeDocument/2006/relationships/image" Target="../media/image192.png"/><Relationship Id="rId17" Type="http://schemas.openxmlformats.org/officeDocument/2006/relationships/image" Target="../media/image196.png"/><Relationship Id="rId25" Type="http://schemas.microsoft.com/office/2007/relationships/hdphoto" Target="../media/hdphoto2.wdp"/><Relationship Id="rId33" Type="http://schemas.openxmlformats.org/officeDocument/2006/relationships/image" Target="../media/image210.tiff"/><Relationship Id="rId38" Type="http://schemas.openxmlformats.org/officeDocument/2006/relationships/image" Target="../media/image215.png"/><Relationship Id="rId46" Type="http://schemas.openxmlformats.org/officeDocument/2006/relationships/image" Target="../media/image223.png"/><Relationship Id="rId59" Type="http://schemas.openxmlformats.org/officeDocument/2006/relationships/image" Target="../media/image236.png"/><Relationship Id="rId20" Type="http://schemas.openxmlformats.org/officeDocument/2006/relationships/image" Target="../media/image199.png"/><Relationship Id="rId41" Type="http://schemas.openxmlformats.org/officeDocument/2006/relationships/image" Target="../media/image218.png"/><Relationship Id="rId54" Type="http://schemas.openxmlformats.org/officeDocument/2006/relationships/image" Target="../media/image231.png"/><Relationship Id="rId62" Type="http://schemas.openxmlformats.org/officeDocument/2006/relationships/image" Target="../media/image239.jpeg"/><Relationship Id="rId1" Type="http://schemas.openxmlformats.org/officeDocument/2006/relationships/image" Target="../media/image181.png"/><Relationship Id="rId6" Type="http://schemas.openxmlformats.org/officeDocument/2006/relationships/image" Target="../media/image186.png"/><Relationship Id="rId15" Type="http://schemas.openxmlformats.org/officeDocument/2006/relationships/image" Target="../media/image194.png"/><Relationship Id="rId23" Type="http://schemas.microsoft.com/office/2007/relationships/hdphoto" Target="../media/hdphoto1.wdp"/><Relationship Id="rId28" Type="http://schemas.openxmlformats.org/officeDocument/2006/relationships/image" Target="../media/image205.png"/><Relationship Id="rId36" Type="http://schemas.openxmlformats.org/officeDocument/2006/relationships/image" Target="../media/image213.tiff"/><Relationship Id="rId49" Type="http://schemas.openxmlformats.org/officeDocument/2006/relationships/image" Target="../media/image226.png"/><Relationship Id="rId57" Type="http://schemas.openxmlformats.org/officeDocument/2006/relationships/image" Target="../media/image234.png"/><Relationship Id="rId10" Type="http://schemas.openxmlformats.org/officeDocument/2006/relationships/image" Target="../media/image190.png"/><Relationship Id="rId31" Type="http://schemas.openxmlformats.org/officeDocument/2006/relationships/image" Target="../media/image208.jpeg"/><Relationship Id="rId44" Type="http://schemas.openxmlformats.org/officeDocument/2006/relationships/image" Target="../media/image221.png"/><Relationship Id="rId52" Type="http://schemas.openxmlformats.org/officeDocument/2006/relationships/image" Target="../media/image229.png"/><Relationship Id="rId60" Type="http://schemas.openxmlformats.org/officeDocument/2006/relationships/image" Target="../media/image237.png"/><Relationship Id="rId4" Type="http://schemas.openxmlformats.org/officeDocument/2006/relationships/image" Target="../media/image184.png"/><Relationship Id="rId9" Type="http://schemas.openxmlformats.org/officeDocument/2006/relationships/image" Target="../media/image189.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317.png"/><Relationship Id="rId21" Type="http://schemas.openxmlformats.org/officeDocument/2006/relationships/image" Target="../media/image256.png"/><Relationship Id="rId42" Type="http://schemas.openxmlformats.org/officeDocument/2006/relationships/image" Target="../media/image194.png"/><Relationship Id="rId63" Type="http://schemas.microsoft.com/office/2007/relationships/hdphoto" Target="../media/hdphoto2.wdp"/><Relationship Id="rId84" Type="http://schemas.openxmlformats.org/officeDocument/2006/relationships/image" Target="../media/image296.jpeg"/><Relationship Id="rId138" Type="http://schemas.openxmlformats.org/officeDocument/2006/relationships/image" Target="../media/image215.png"/><Relationship Id="rId159" Type="http://schemas.openxmlformats.org/officeDocument/2006/relationships/image" Target="../media/image219.png"/><Relationship Id="rId170" Type="http://schemas.openxmlformats.org/officeDocument/2006/relationships/image" Target="../media/image231.png"/><Relationship Id="rId191" Type="http://schemas.openxmlformats.org/officeDocument/2006/relationships/image" Target="../media/image366.png"/><Relationship Id="rId107" Type="http://schemas.openxmlformats.org/officeDocument/2006/relationships/image" Target="../media/image313.png"/><Relationship Id="rId11" Type="http://schemas.openxmlformats.org/officeDocument/2006/relationships/image" Target="../media/image251.png"/><Relationship Id="rId32" Type="http://schemas.openxmlformats.org/officeDocument/2006/relationships/image" Target="../media/image266.png"/><Relationship Id="rId53" Type="http://schemas.openxmlformats.org/officeDocument/2006/relationships/image" Target="../media/image224.png"/><Relationship Id="rId74" Type="http://schemas.openxmlformats.org/officeDocument/2006/relationships/image" Target="../media/image286.jpeg"/><Relationship Id="rId128" Type="http://schemas.openxmlformats.org/officeDocument/2006/relationships/image" Target="../media/image328.png"/><Relationship Id="rId149" Type="http://schemas.openxmlformats.org/officeDocument/2006/relationships/image" Target="../media/image348.png"/><Relationship Id="rId5" Type="http://schemas.openxmlformats.org/officeDocument/2006/relationships/image" Target="../media/image245.png"/><Relationship Id="rId95" Type="http://schemas.openxmlformats.org/officeDocument/2006/relationships/image" Target="../media/image303.png"/><Relationship Id="rId160" Type="http://schemas.openxmlformats.org/officeDocument/2006/relationships/image" Target="../media/image220.png"/><Relationship Id="rId181" Type="http://schemas.openxmlformats.org/officeDocument/2006/relationships/image" Target="../media/image360.png"/><Relationship Id="rId22" Type="http://schemas.openxmlformats.org/officeDocument/2006/relationships/image" Target="../media/image257.png"/><Relationship Id="rId43" Type="http://schemas.openxmlformats.org/officeDocument/2006/relationships/image" Target="../media/image195.png"/><Relationship Id="rId64" Type="http://schemas.openxmlformats.org/officeDocument/2006/relationships/image" Target="../media/image276.png"/><Relationship Id="rId118" Type="http://schemas.openxmlformats.org/officeDocument/2006/relationships/image" Target="../media/image318.png"/><Relationship Id="rId139" Type="http://schemas.openxmlformats.org/officeDocument/2006/relationships/image" Target="../media/image338.png"/><Relationship Id="rId85" Type="http://schemas.openxmlformats.org/officeDocument/2006/relationships/image" Target="../media/image297.jpeg"/><Relationship Id="rId150" Type="http://schemas.openxmlformats.org/officeDocument/2006/relationships/image" Target="../media/image349.png"/><Relationship Id="rId171" Type="http://schemas.openxmlformats.org/officeDocument/2006/relationships/image" Target="../media/image232.png"/><Relationship Id="rId12" Type="http://schemas.openxmlformats.org/officeDocument/2006/relationships/image" Target="../media/image252.png"/><Relationship Id="rId33" Type="http://schemas.openxmlformats.org/officeDocument/2006/relationships/image" Target="../media/image187.png"/><Relationship Id="rId108" Type="http://schemas.openxmlformats.org/officeDocument/2006/relationships/image" Target="../media/image314.png"/><Relationship Id="rId129" Type="http://schemas.openxmlformats.org/officeDocument/2006/relationships/image" Target="../media/image329.png"/><Relationship Id="rId54" Type="http://schemas.openxmlformats.org/officeDocument/2006/relationships/image" Target="../media/image229.png"/><Relationship Id="rId75" Type="http://schemas.openxmlformats.org/officeDocument/2006/relationships/image" Target="../media/image287.jpeg"/><Relationship Id="rId96" Type="http://schemas.openxmlformats.org/officeDocument/2006/relationships/image" Target="../media/image207.jpeg"/><Relationship Id="rId140" Type="http://schemas.openxmlformats.org/officeDocument/2006/relationships/image" Target="../media/image339.png"/><Relationship Id="rId161" Type="http://schemas.openxmlformats.org/officeDocument/2006/relationships/image" Target="../media/image221.png"/><Relationship Id="rId182" Type="http://schemas.openxmlformats.org/officeDocument/2006/relationships/image" Target="../media/image361.png"/><Relationship Id="rId6" Type="http://schemas.openxmlformats.org/officeDocument/2006/relationships/image" Target="../media/image246.png"/><Relationship Id="rId23" Type="http://schemas.openxmlformats.org/officeDocument/2006/relationships/image" Target="../media/image258.png"/><Relationship Id="rId119" Type="http://schemas.openxmlformats.org/officeDocument/2006/relationships/image" Target="../media/image319.png"/><Relationship Id="rId44" Type="http://schemas.openxmlformats.org/officeDocument/2006/relationships/image" Target="../media/image196.png"/><Relationship Id="rId65" Type="http://schemas.openxmlformats.org/officeDocument/2006/relationships/image" Target="../media/image277.png"/><Relationship Id="rId86" Type="http://schemas.openxmlformats.org/officeDocument/2006/relationships/image" Target="../media/image298.jpeg"/><Relationship Id="rId130" Type="http://schemas.openxmlformats.org/officeDocument/2006/relationships/image" Target="../media/image330.png"/><Relationship Id="rId151" Type="http://schemas.openxmlformats.org/officeDocument/2006/relationships/image" Target="../media/image350.png"/><Relationship Id="rId172" Type="http://schemas.openxmlformats.org/officeDocument/2006/relationships/image" Target="../media/image356.png"/><Relationship Id="rId13" Type="http://schemas.openxmlformats.org/officeDocument/2006/relationships/image" Target="../media/image253.png"/><Relationship Id="rId18" Type="http://schemas.openxmlformats.org/officeDocument/2006/relationships/image" Target="../media/image183.png"/><Relationship Id="rId39" Type="http://schemas.openxmlformats.org/officeDocument/2006/relationships/image" Target="../media/image192.png"/><Relationship Id="rId109" Type="http://schemas.openxmlformats.org/officeDocument/2006/relationships/image" Target="../media/image315.png"/><Relationship Id="rId34" Type="http://schemas.openxmlformats.org/officeDocument/2006/relationships/image" Target="../media/image188.png"/><Relationship Id="rId50" Type="http://schemas.openxmlformats.org/officeDocument/2006/relationships/image" Target="../media/image269.png"/><Relationship Id="rId55" Type="http://schemas.openxmlformats.org/officeDocument/2006/relationships/image" Target="../media/image272.png"/><Relationship Id="rId76" Type="http://schemas.openxmlformats.org/officeDocument/2006/relationships/image" Target="../media/image288.jpeg"/><Relationship Id="rId97" Type="http://schemas.openxmlformats.org/officeDocument/2006/relationships/image" Target="../media/image208.jpeg"/><Relationship Id="rId104" Type="http://schemas.openxmlformats.org/officeDocument/2006/relationships/image" Target="../media/image310.png"/><Relationship Id="rId120" Type="http://schemas.openxmlformats.org/officeDocument/2006/relationships/image" Target="../media/image320.png"/><Relationship Id="rId125" Type="http://schemas.openxmlformats.org/officeDocument/2006/relationships/image" Target="../media/image325.png"/><Relationship Id="rId141" Type="http://schemas.openxmlformats.org/officeDocument/2006/relationships/image" Target="../media/image340.png"/><Relationship Id="rId146" Type="http://schemas.openxmlformats.org/officeDocument/2006/relationships/image" Target="../media/image345.jpeg"/><Relationship Id="rId167" Type="http://schemas.openxmlformats.org/officeDocument/2006/relationships/image" Target="../media/image227.png"/><Relationship Id="rId188" Type="http://schemas.openxmlformats.org/officeDocument/2006/relationships/image" Target="../media/image239.jpeg"/><Relationship Id="rId7" Type="http://schemas.openxmlformats.org/officeDocument/2006/relationships/image" Target="../media/image247.png"/><Relationship Id="rId71" Type="http://schemas.openxmlformats.org/officeDocument/2006/relationships/image" Target="../media/image283.png"/><Relationship Id="rId92" Type="http://schemas.openxmlformats.org/officeDocument/2006/relationships/image" Target="../media/image204.png"/><Relationship Id="rId162" Type="http://schemas.openxmlformats.org/officeDocument/2006/relationships/image" Target="../media/image222.png"/><Relationship Id="rId183" Type="http://schemas.openxmlformats.org/officeDocument/2006/relationships/image" Target="../media/image362.png"/><Relationship Id="rId2" Type="http://schemas.openxmlformats.org/officeDocument/2006/relationships/image" Target="../media/image242.png"/><Relationship Id="rId29" Type="http://schemas.openxmlformats.org/officeDocument/2006/relationships/image" Target="../media/image263.png"/><Relationship Id="rId24" Type="http://schemas.openxmlformats.org/officeDocument/2006/relationships/image" Target="../media/image259.png"/><Relationship Id="rId40" Type="http://schemas.openxmlformats.org/officeDocument/2006/relationships/image" Target="../media/image134.jpeg"/><Relationship Id="rId45" Type="http://schemas.openxmlformats.org/officeDocument/2006/relationships/image" Target="../media/image197.png"/><Relationship Id="rId66" Type="http://schemas.openxmlformats.org/officeDocument/2006/relationships/image" Target="../media/image278.png"/><Relationship Id="rId87" Type="http://schemas.openxmlformats.org/officeDocument/2006/relationships/image" Target="../media/image299.emf"/><Relationship Id="rId110" Type="http://schemas.openxmlformats.org/officeDocument/2006/relationships/image" Target="../media/image316.png"/><Relationship Id="rId115" Type="http://schemas.openxmlformats.org/officeDocument/2006/relationships/image" Target="../media/image213.tiff"/><Relationship Id="rId131" Type="http://schemas.openxmlformats.org/officeDocument/2006/relationships/image" Target="../media/image331.png"/><Relationship Id="rId136" Type="http://schemas.openxmlformats.org/officeDocument/2006/relationships/image" Target="../media/image336.png"/><Relationship Id="rId157" Type="http://schemas.openxmlformats.org/officeDocument/2006/relationships/image" Target="../media/image354.jpeg"/><Relationship Id="rId178" Type="http://schemas.openxmlformats.org/officeDocument/2006/relationships/image" Target="../media/image357.png"/><Relationship Id="rId61" Type="http://schemas.microsoft.com/office/2007/relationships/hdphoto" Target="../media/hdphoto1.wdp"/><Relationship Id="rId82" Type="http://schemas.openxmlformats.org/officeDocument/2006/relationships/image" Target="../media/image294.jpeg"/><Relationship Id="rId152" Type="http://schemas.openxmlformats.org/officeDocument/2006/relationships/image" Target="../media/image216.png"/><Relationship Id="rId173" Type="http://schemas.openxmlformats.org/officeDocument/2006/relationships/image" Target="../media/image233.png"/><Relationship Id="rId19" Type="http://schemas.openxmlformats.org/officeDocument/2006/relationships/image" Target="../media/image184.png"/><Relationship Id="rId14" Type="http://schemas.openxmlformats.org/officeDocument/2006/relationships/image" Target="../media/image254.png"/><Relationship Id="rId30" Type="http://schemas.openxmlformats.org/officeDocument/2006/relationships/image" Target="../media/image264.png"/><Relationship Id="rId35" Type="http://schemas.openxmlformats.org/officeDocument/2006/relationships/image" Target="../media/image189.png"/><Relationship Id="rId56" Type="http://schemas.openxmlformats.org/officeDocument/2006/relationships/image" Target="../media/image273.jpeg"/><Relationship Id="rId77" Type="http://schemas.openxmlformats.org/officeDocument/2006/relationships/image" Target="../media/image289.jpeg"/><Relationship Id="rId100" Type="http://schemas.openxmlformats.org/officeDocument/2006/relationships/image" Target="../media/image306.png"/><Relationship Id="rId105" Type="http://schemas.openxmlformats.org/officeDocument/2006/relationships/image" Target="../media/image311.png"/><Relationship Id="rId126" Type="http://schemas.openxmlformats.org/officeDocument/2006/relationships/image" Target="../media/image326.png"/><Relationship Id="rId147" Type="http://schemas.openxmlformats.org/officeDocument/2006/relationships/image" Target="../media/image346.jpeg"/><Relationship Id="rId168" Type="http://schemas.openxmlformats.org/officeDocument/2006/relationships/image" Target="../media/image228.png"/><Relationship Id="rId8" Type="http://schemas.openxmlformats.org/officeDocument/2006/relationships/image" Target="../media/image248.png"/><Relationship Id="rId51" Type="http://schemas.openxmlformats.org/officeDocument/2006/relationships/image" Target="../media/image270.png"/><Relationship Id="rId72" Type="http://schemas.openxmlformats.org/officeDocument/2006/relationships/image" Target="../media/image284.png"/><Relationship Id="rId93" Type="http://schemas.openxmlformats.org/officeDocument/2006/relationships/image" Target="../media/image205.png"/><Relationship Id="rId98" Type="http://schemas.openxmlformats.org/officeDocument/2006/relationships/image" Target="../media/image304.png"/><Relationship Id="rId121" Type="http://schemas.openxmlformats.org/officeDocument/2006/relationships/image" Target="../media/image321.png"/><Relationship Id="rId142" Type="http://schemas.openxmlformats.org/officeDocument/2006/relationships/image" Target="../media/image341.png"/><Relationship Id="rId163" Type="http://schemas.openxmlformats.org/officeDocument/2006/relationships/image" Target="../media/image355.png"/><Relationship Id="rId184" Type="http://schemas.openxmlformats.org/officeDocument/2006/relationships/image" Target="../media/image363.png"/><Relationship Id="rId189" Type="http://schemas.microsoft.com/office/2007/relationships/hdphoto" Target="../media/hdphoto3.wdp"/><Relationship Id="rId3" Type="http://schemas.openxmlformats.org/officeDocument/2006/relationships/image" Target="../media/image243.png"/><Relationship Id="rId25" Type="http://schemas.openxmlformats.org/officeDocument/2006/relationships/image" Target="../media/image260.png"/><Relationship Id="rId46" Type="http://schemas.openxmlformats.org/officeDocument/2006/relationships/image" Target="../media/image198.png"/><Relationship Id="rId67" Type="http://schemas.openxmlformats.org/officeDocument/2006/relationships/image" Target="../media/image279.jpeg"/><Relationship Id="rId116" Type="http://schemas.openxmlformats.org/officeDocument/2006/relationships/image" Target="../media/image214.tiff"/><Relationship Id="rId137" Type="http://schemas.openxmlformats.org/officeDocument/2006/relationships/image" Target="../media/image337.png"/><Relationship Id="rId158" Type="http://schemas.openxmlformats.org/officeDocument/2006/relationships/image" Target="../media/image218.png"/><Relationship Id="rId20" Type="http://schemas.openxmlformats.org/officeDocument/2006/relationships/image" Target="../media/image185.png"/><Relationship Id="rId41" Type="http://schemas.openxmlformats.org/officeDocument/2006/relationships/image" Target="../media/image193.png"/><Relationship Id="rId62" Type="http://schemas.openxmlformats.org/officeDocument/2006/relationships/image" Target="../media/image202.jpeg"/><Relationship Id="rId83" Type="http://schemas.openxmlformats.org/officeDocument/2006/relationships/image" Target="../media/image295.png"/><Relationship Id="rId88" Type="http://schemas.openxmlformats.org/officeDocument/2006/relationships/image" Target="../media/image300.jpeg"/><Relationship Id="rId111" Type="http://schemas.openxmlformats.org/officeDocument/2006/relationships/image" Target="../media/image209.tiff"/><Relationship Id="rId132" Type="http://schemas.openxmlformats.org/officeDocument/2006/relationships/image" Target="../media/image332.png"/><Relationship Id="rId153" Type="http://schemas.openxmlformats.org/officeDocument/2006/relationships/image" Target="../media/image217.png"/><Relationship Id="rId174" Type="http://schemas.openxmlformats.org/officeDocument/2006/relationships/image" Target="../media/image234.png"/><Relationship Id="rId179" Type="http://schemas.openxmlformats.org/officeDocument/2006/relationships/image" Target="../media/image358.png"/><Relationship Id="rId190" Type="http://schemas.openxmlformats.org/officeDocument/2006/relationships/image" Target="../media/image240.png"/><Relationship Id="rId15" Type="http://schemas.openxmlformats.org/officeDocument/2006/relationships/image" Target="../media/image255.png"/><Relationship Id="rId36" Type="http://schemas.openxmlformats.org/officeDocument/2006/relationships/image" Target="../media/image267.jpeg"/><Relationship Id="rId57" Type="http://schemas.microsoft.com/office/2007/relationships/hdphoto" Target="../media/hdphoto4.wdp"/><Relationship Id="rId106" Type="http://schemas.openxmlformats.org/officeDocument/2006/relationships/image" Target="../media/image312.png"/><Relationship Id="rId127" Type="http://schemas.openxmlformats.org/officeDocument/2006/relationships/image" Target="../media/image327.png"/><Relationship Id="rId10" Type="http://schemas.openxmlformats.org/officeDocument/2006/relationships/image" Target="../media/image250.png"/><Relationship Id="rId31" Type="http://schemas.openxmlformats.org/officeDocument/2006/relationships/image" Target="../media/image265.jpeg"/><Relationship Id="rId52" Type="http://schemas.openxmlformats.org/officeDocument/2006/relationships/image" Target="../media/image271.png"/><Relationship Id="rId73" Type="http://schemas.openxmlformats.org/officeDocument/2006/relationships/image" Target="../media/image285.jpeg"/><Relationship Id="rId78" Type="http://schemas.openxmlformats.org/officeDocument/2006/relationships/image" Target="../media/image290.jpeg"/><Relationship Id="rId94" Type="http://schemas.openxmlformats.org/officeDocument/2006/relationships/image" Target="../media/image206.png"/><Relationship Id="rId99" Type="http://schemas.openxmlformats.org/officeDocument/2006/relationships/image" Target="../media/image305.png"/><Relationship Id="rId101" Type="http://schemas.openxmlformats.org/officeDocument/2006/relationships/image" Target="../media/image307.png"/><Relationship Id="rId122" Type="http://schemas.openxmlformats.org/officeDocument/2006/relationships/image" Target="../media/image322.png"/><Relationship Id="rId143" Type="http://schemas.openxmlformats.org/officeDocument/2006/relationships/image" Target="../media/image342.png"/><Relationship Id="rId148" Type="http://schemas.openxmlformats.org/officeDocument/2006/relationships/image" Target="../media/image347.png"/><Relationship Id="rId164" Type="http://schemas.openxmlformats.org/officeDocument/2006/relationships/image" Target="../media/image223.png"/><Relationship Id="rId169" Type="http://schemas.openxmlformats.org/officeDocument/2006/relationships/image" Target="../media/image230.png"/><Relationship Id="rId185" Type="http://schemas.openxmlformats.org/officeDocument/2006/relationships/image" Target="../media/image364.png"/><Relationship Id="rId4" Type="http://schemas.openxmlformats.org/officeDocument/2006/relationships/image" Target="../media/image244.png"/><Relationship Id="rId9" Type="http://schemas.openxmlformats.org/officeDocument/2006/relationships/image" Target="../media/image249.png"/><Relationship Id="rId180" Type="http://schemas.openxmlformats.org/officeDocument/2006/relationships/image" Target="../media/image359.png"/><Relationship Id="rId26" Type="http://schemas.openxmlformats.org/officeDocument/2006/relationships/image" Target="../media/image186.png"/><Relationship Id="rId47" Type="http://schemas.openxmlformats.org/officeDocument/2006/relationships/image" Target="../media/image199.png"/><Relationship Id="rId68" Type="http://schemas.openxmlformats.org/officeDocument/2006/relationships/image" Target="../media/image280.jpeg"/><Relationship Id="rId89" Type="http://schemas.openxmlformats.org/officeDocument/2006/relationships/image" Target="../media/image301.png"/><Relationship Id="rId112" Type="http://schemas.openxmlformats.org/officeDocument/2006/relationships/image" Target="../media/image210.tiff"/><Relationship Id="rId133" Type="http://schemas.openxmlformats.org/officeDocument/2006/relationships/image" Target="../media/image333.png"/><Relationship Id="rId154" Type="http://schemas.openxmlformats.org/officeDocument/2006/relationships/image" Target="../media/image351.png"/><Relationship Id="rId175" Type="http://schemas.openxmlformats.org/officeDocument/2006/relationships/image" Target="../media/image235.png"/><Relationship Id="rId16" Type="http://schemas.openxmlformats.org/officeDocument/2006/relationships/image" Target="../media/image181.png"/><Relationship Id="rId37" Type="http://schemas.openxmlformats.org/officeDocument/2006/relationships/image" Target="../media/image190.png"/><Relationship Id="rId58" Type="http://schemas.openxmlformats.org/officeDocument/2006/relationships/image" Target="../media/image274.png"/><Relationship Id="rId79" Type="http://schemas.openxmlformats.org/officeDocument/2006/relationships/image" Target="../media/image291.jpeg"/><Relationship Id="rId102" Type="http://schemas.openxmlformats.org/officeDocument/2006/relationships/image" Target="../media/image308.png"/><Relationship Id="rId123" Type="http://schemas.openxmlformats.org/officeDocument/2006/relationships/image" Target="../media/image323.png"/><Relationship Id="rId144" Type="http://schemas.openxmlformats.org/officeDocument/2006/relationships/image" Target="../media/image343.png"/><Relationship Id="rId90" Type="http://schemas.openxmlformats.org/officeDocument/2006/relationships/image" Target="../media/image302.png"/><Relationship Id="rId165" Type="http://schemas.openxmlformats.org/officeDocument/2006/relationships/image" Target="../media/image225.png"/><Relationship Id="rId186" Type="http://schemas.openxmlformats.org/officeDocument/2006/relationships/image" Target="../media/image238.png"/><Relationship Id="rId27" Type="http://schemas.openxmlformats.org/officeDocument/2006/relationships/image" Target="../media/image261.png"/><Relationship Id="rId48" Type="http://schemas.openxmlformats.org/officeDocument/2006/relationships/image" Target="../media/image200.png"/><Relationship Id="rId69" Type="http://schemas.openxmlformats.org/officeDocument/2006/relationships/image" Target="../media/image281.jpeg"/><Relationship Id="rId113" Type="http://schemas.openxmlformats.org/officeDocument/2006/relationships/image" Target="../media/image211.tiff"/><Relationship Id="rId134" Type="http://schemas.openxmlformats.org/officeDocument/2006/relationships/image" Target="../media/image334.png"/><Relationship Id="rId80" Type="http://schemas.openxmlformats.org/officeDocument/2006/relationships/image" Target="../media/image292.png"/><Relationship Id="rId155" Type="http://schemas.openxmlformats.org/officeDocument/2006/relationships/image" Target="../media/image352.png"/><Relationship Id="rId176" Type="http://schemas.openxmlformats.org/officeDocument/2006/relationships/image" Target="../media/image236.png"/><Relationship Id="rId17" Type="http://schemas.openxmlformats.org/officeDocument/2006/relationships/image" Target="../media/image182.png"/><Relationship Id="rId38" Type="http://schemas.openxmlformats.org/officeDocument/2006/relationships/image" Target="../media/image191.png"/><Relationship Id="rId59" Type="http://schemas.openxmlformats.org/officeDocument/2006/relationships/image" Target="../media/image275.png"/><Relationship Id="rId103" Type="http://schemas.openxmlformats.org/officeDocument/2006/relationships/image" Target="../media/image309.png"/><Relationship Id="rId124" Type="http://schemas.openxmlformats.org/officeDocument/2006/relationships/image" Target="../media/image324.png"/><Relationship Id="rId70" Type="http://schemas.openxmlformats.org/officeDocument/2006/relationships/image" Target="../media/image282.jpeg"/><Relationship Id="rId91" Type="http://schemas.openxmlformats.org/officeDocument/2006/relationships/image" Target="../media/image203.png"/><Relationship Id="rId145" Type="http://schemas.openxmlformats.org/officeDocument/2006/relationships/image" Target="../media/image344.jpeg"/><Relationship Id="rId166" Type="http://schemas.openxmlformats.org/officeDocument/2006/relationships/image" Target="../media/image226.png"/><Relationship Id="rId187" Type="http://schemas.openxmlformats.org/officeDocument/2006/relationships/image" Target="../media/image365.png"/><Relationship Id="rId1" Type="http://schemas.openxmlformats.org/officeDocument/2006/relationships/image" Target="../media/image241.png"/><Relationship Id="rId28" Type="http://schemas.openxmlformats.org/officeDocument/2006/relationships/image" Target="../media/image262.png"/><Relationship Id="rId49" Type="http://schemas.openxmlformats.org/officeDocument/2006/relationships/image" Target="../media/image268.png"/><Relationship Id="rId114" Type="http://schemas.openxmlformats.org/officeDocument/2006/relationships/image" Target="../media/image212.tiff"/><Relationship Id="rId60" Type="http://schemas.openxmlformats.org/officeDocument/2006/relationships/image" Target="../media/image201.jpeg"/><Relationship Id="rId81" Type="http://schemas.openxmlformats.org/officeDocument/2006/relationships/image" Target="../media/image293.png"/><Relationship Id="rId135" Type="http://schemas.openxmlformats.org/officeDocument/2006/relationships/image" Target="../media/image335.png"/><Relationship Id="rId156" Type="http://schemas.openxmlformats.org/officeDocument/2006/relationships/image" Target="../media/image353.jpeg"/><Relationship Id="rId177" Type="http://schemas.openxmlformats.org/officeDocument/2006/relationships/image" Target="../media/image237.png"/></Relationships>
</file>

<file path=xl/drawings/_rels/drawing11.xml.rels><?xml version="1.0" encoding="UTF-8" standalone="yes"?>
<Relationships xmlns="http://schemas.openxmlformats.org/package/2006/relationships"><Relationship Id="rId13" Type="http://schemas.openxmlformats.org/officeDocument/2006/relationships/image" Target="../media/image378.png"/><Relationship Id="rId18" Type="http://schemas.openxmlformats.org/officeDocument/2006/relationships/image" Target="../media/image383.png"/><Relationship Id="rId26" Type="http://schemas.openxmlformats.org/officeDocument/2006/relationships/image" Target="../media/image391.png"/><Relationship Id="rId39" Type="http://schemas.openxmlformats.org/officeDocument/2006/relationships/image" Target="../media/image404.png"/><Relationship Id="rId21" Type="http://schemas.openxmlformats.org/officeDocument/2006/relationships/image" Target="../media/image386.png"/><Relationship Id="rId34" Type="http://schemas.openxmlformats.org/officeDocument/2006/relationships/image" Target="../media/image399.png"/><Relationship Id="rId42" Type="http://schemas.openxmlformats.org/officeDocument/2006/relationships/image" Target="../media/image407.png"/><Relationship Id="rId47" Type="http://schemas.openxmlformats.org/officeDocument/2006/relationships/image" Target="../media/image412.png"/><Relationship Id="rId50" Type="http://schemas.openxmlformats.org/officeDocument/2006/relationships/image" Target="../media/image415.png"/><Relationship Id="rId55" Type="http://schemas.openxmlformats.org/officeDocument/2006/relationships/image" Target="../media/image420.png"/><Relationship Id="rId7" Type="http://schemas.openxmlformats.org/officeDocument/2006/relationships/image" Target="../media/image372.png"/><Relationship Id="rId2" Type="http://schemas.openxmlformats.org/officeDocument/2006/relationships/image" Target="../media/image367.png"/><Relationship Id="rId16" Type="http://schemas.openxmlformats.org/officeDocument/2006/relationships/image" Target="../media/image381.png"/><Relationship Id="rId29" Type="http://schemas.openxmlformats.org/officeDocument/2006/relationships/image" Target="../media/image394.png"/><Relationship Id="rId11" Type="http://schemas.openxmlformats.org/officeDocument/2006/relationships/image" Target="../media/image376.png"/><Relationship Id="rId24" Type="http://schemas.openxmlformats.org/officeDocument/2006/relationships/image" Target="../media/image389.png"/><Relationship Id="rId32" Type="http://schemas.openxmlformats.org/officeDocument/2006/relationships/image" Target="../media/image397.png"/><Relationship Id="rId37" Type="http://schemas.openxmlformats.org/officeDocument/2006/relationships/image" Target="../media/image402.png"/><Relationship Id="rId40" Type="http://schemas.openxmlformats.org/officeDocument/2006/relationships/image" Target="../media/image405.png"/><Relationship Id="rId45" Type="http://schemas.openxmlformats.org/officeDocument/2006/relationships/image" Target="../media/image410.png"/><Relationship Id="rId53" Type="http://schemas.openxmlformats.org/officeDocument/2006/relationships/image" Target="../media/image418.png"/><Relationship Id="rId58" Type="http://schemas.openxmlformats.org/officeDocument/2006/relationships/image" Target="../media/image423.png"/><Relationship Id="rId5" Type="http://schemas.openxmlformats.org/officeDocument/2006/relationships/image" Target="../media/image370.png"/><Relationship Id="rId19" Type="http://schemas.openxmlformats.org/officeDocument/2006/relationships/image" Target="../media/image384.png"/><Relationship Id="rId4" Type="http://schemas.openxmlformats.org/officeDocument/2006/relationships/image" Target="../media/image369.png"/><Relationship Id="rId9" Type="http://schemas.openxmlformats.org/officeDocument/2006/relationships/image" Target="../media/image374.png"/><Relationship Id="rId14" Type="http://schemas.openxmlformats.org/officeDocument/2006/relationships/image" Target="../media/image379.png"/><Relationship Id="rId22" Type="http://schemas.openxmlformats.org/officeDocument/2006/relationships/image" Target="../media/image387.png"/><Relationship Id="rId27" Type="http://schemas.openxmlformats.org/officeDocument/2006/relationships/image" Target="../media/image392.png"/><Relationship Id="rId30" Type="http://schemas.openxmlformats.org/officeDocument/2006/relationships/image" Target="../media/image395.png"/><Relationship Id="rId35" Type="http://schemas.openxmlformats.org/officeDocument/2006/relationships/image" Target="../media/image400.png"/><Relationship Id="rId43" Type="http://schemas.openxmlformats.org/officeDocument/2006/relationships/image" Target="../media/image408.png"/><Relationship Id="rId48" Type="http://schemas.openxmlformats.org/officeDocument/2006/relationships/image" Target="../media/image413.png"/><Relationship Id="rId56" Type="http://schemas.openxmlformats.org/officeDocument/2006/relationships/image" Target="../media/image421.png"/><Relationship Id="rId8" Type="http://schemas.openxmlformats.org/officeDocument/2006/relationships/image" Target="../media/image373.png"/><Relationship Id="rId51" Type="http://schemas.openxmlformats.org/officeDocument/2006/relationships/image" Target="../media/image416.png"/><Relationship Id="rId3" Type="http://schemas.openxmlformats.org/officeDocument/2006/relationships/image" Target="../media/image368.png"/><Relationship Id="rId12" Type="http://schemas.openxmlformats.org/officeDocument/2006/relationships/image" Target="../media/image377.png"/><Relationship Id="rId17" Type="http://schemas.openxmlformats.org/officeDocument/2006/relationships/image" Target="../media/image382.png"/><Relationship Id="rId25" Type="http://schemas.openxmlformats.org/officeDocument/2006/relationships/image" Target="../media/image390.png"/><Relationship Id="rId33" Type="http://schemas.openxmlformats.org/officeDocument/2006/relationships/image" Target="../media/image398.png"/><Relationship Id="rId38" Type="http://schemas.openxmlformats.org/officeDocument/2006/relationships/image" Target="../media/image403.png"/><Relationship Id="rId46" Type="http://schemas.openxmlformats.org/officeDocument/2006/relationships/image" Target="../media/image411.png"/><Relationship Id="rId20" Type="http://schemas.openxmlformats.org/officeDocument/2006/relationships/image" Target="../media/image385.png"/><Relationship Id="rId41" Type="http://schemas.openxmlformats.org/officeDocument/2006/relationships/image" Target="../media/image406.png"/><Relationship Id="rId54" Type="http://schemas.openxmlformats.org/officeDocument/2006/relationships/image" Target="../media/image419.png"/><Relationship Id="rId1" Type="http://schemas.openxmlformats.org/officeDocument/2006/relationships/image" Target="../media/image134.jpeg"/><Relationship Id="rId6" Type="http://schemas.openxmlformats.org/officeDocument/2006/relationships/image" Target="../media/image371.png"/><Relationship Id="rId15" Type="http://schemas.openxmlformats.org/officeDocument/2006/relationships/image" Target="../media/image380.png"/><Relationship Id="rId23" Type="http://schemas.openxmlformats.org/officeDocument/2006/relationships/image" Target="../media/image388.png"/><Relationship Id="rId28" Type="http://schemas.openxmlformats.org/officeDocument/2006/relationships/image" Target="../media/image393.png"/><Relationship Id="rId36" Type="http://schemas.openxmlformats.org/officeDocument/2006/relationships/image" Target="../media/image401.png"/><Relationship Id="rId49" Type="http://schemas.openxmlformats.org/officeDocument/2006/relationships/image" Target="../media/image414.png"/><Relationship Id="rId57" Type="http://schemas.openxmlformats.org/officeDocument/2006/relationships/image" Target="../media/image422.png"/><Relationship Id="rId10" Type="http://schemas.openxmlformats.org/officeDocument/2006/relationships/image" Target="../media/image375.png"/><Relationship Id="rId31" Type="http://schemas.openxmlformats.org/officeDocument/2006/relationships/image" Target="../media/image396.png"/><Relationship Id="rId44" Type="http://schemas.openxmlformats.org/officeDocument/2006/relationships/image" Target="../media/image409.png"/><Relationship Id="rId52" Type="http://schemas.openxmlformats.org/officeDocument/2006/relationships/image" Target="../media/image417.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11</xdr:row>
      <xdr:rowOff>289221</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4</xdr:row>
      <xdr:rowOff>73934</xdr:rowOff>
    </xdr:from>
    <xdr:to>
      <xdr:col>9</xdr:col>
      <xdr:colOff>729991</xdr:colOff>
      <xdr:row>9</xdr:row>
      <xdr:rowOff>289270</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073207" y="1689374"/>
          <a:ext cx="2981104" cy="1640276"/>
        </a:xfrm>
        <a:prstGeom prst="rect">
          <a:avLst/>
        </a:prstGeom>
      </xdr:spPr>
    </xdr:pic>
    <xdr:clientData/>
  </xdr:twoCellAnchor>
  <xdr:twoCellAnchor editAs="oneCell">
    <xdr:from>
      <xdr:col>0</xdr:col>
      <xdr:colOff>9392</xdr:colOff>
      <xdr:row>28</xdr:row>
      <xdr:rowOff>50807</xdr:rowOff>
    </xdr:from>
    <xdr:to>
      <xdr:col>0</xdr:col>
      <xdr:colOff>438017</xdr:colOff>
      <xdr:row>28</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28</xdr:row>
      <xdr:rowOff>39830</xdr:rowOff>
    </xdr:from>
    <xdr:to>
      <xdr:col>8</xdr:col>
      <xdr:colOff>1029449</xdr:colOff>
      <xdr:row>28</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47</xdr:row>
      <xdr:rowOff>0</xdr:rowOff>
    </xdr:from>
    <xdr:to>
      <xdr:col>1</xdr:col>
      <xdr:colOff>304800</xdr:colOff>
      <xdr:row>48</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128905</xdr:colOff>
      <xdr:row>7</xdr:row>
      <xdr:rowOff>486833</xdr:rowOff>
    </xdr:from>
    <xdr:to>
      <xdr:col>3</xdr:col>
      <xdr:colOff>1205230</xdr:colOff>
      <xdr:row>7</xdr:row>
      <xdr:rowOff>1460288</xdr:rowOff>
    </xdr:to>
    <xdr:pic>
      <xdr:nvPicPr>
        <xdr:cNvPr id="2" name="图片 14">
          <a:extLst>
            <a:ext uri="{FF2B5EF4-FFF2-40B4-BE49-F238E27FC236}">
              <a16:creationId xmlns:a16="http://schemas.microsoft.com/office/drawing/2014/main" id="{93872198-98AB-8546-BB80-A14F656DCCCD}"/>
            </a:ext>
          </a:extLst>
        </xdr:cNvPr>
        <xdr:cNvPicPr/>
      </xdr:nvPicPr>
      <xdr:blipFill>
        <a:blip xmlns:r="http://schemas.openxmlformats.org/officeDocument/2006/relationships" r:embed="rId1"/>
        <a:stretch>
          <a:fillRect/>
        </a:stretch>
      </xdr:blipFill>
      <xdr:spPr>
        <a:xfrm>
          <a:off x="4919627" y="2540000"/>
          <a:ext cx="1076325" cy="973455"/>
        </a:xfrm>
        <a:prstGeom prst="rect">
          <a:avLst/>
        </a:prstGeom>
        <a:noFill/>
        <a:ln w="9525">
          <a:noFill/>
        </a:ln>
      </xdr:spPr>
    </xdr:pic>
    <xdr:clientData/>
  </xdr:twoCellAnchor>
  <xdr:twoCellAnchor editAs="oneCell">
    <xdr:from>
      <xdr:col>3</xdr:col>
      <xdr:colOff>63500</xdr:colOff>
      <xdr:row>8</xdr:row>
      <xdr:rowOff>472228</xdr:rowOff>
    </xdr:from>
    <xdr:to>
      <xdr:col>3</xdr:col>
      <xdr:colOff>1224915</xdr:colOff>
      <xdr:row>8</xdr:row>
      <xdr:rowOff>1634913</xdr:rowOff>
    </xdr:to>
    <xdr:pic>
      <xdr:nvPicPr>
        <xdr:cNvPr id="3" name="图片 15">
          <a:extLst>
            <a:ext uri="{FF2B5EF4-FFF2-40B4-BE49-F238E27FC236}">
              <a16:creationId xmlns:a16="http://schemas.microsoft.com/office/drawing/2014/main" id="{7DCDD490-858E-8740-9E7D-9E4B4C84E942}"/>
            </a:ext>
          </a:extLst>
        </xdr:cNvPr>
        <xdr:cNvPicPr>
          <a:picLocks noChangeAspect="1"/>
        </xdr:cNvPicPr>
      </xdr:nvPicPr>
      <xdr:blipFill>
        <a:blip xmlns:r="http://schemas.openxmlformats.org/officeDocument/2006/relationships" r:embed="rId2"/>
        <a:stretch>
          <a:fillRect/>
        </a:stretch>
      </xdr:blipFill>
      <xdr:spPr>
        <a:xfrm>
          <a:off x="4854222" y="4395117"/>
          <a:ext cx="1161415" cy="1162685"/>
        </a:xfrm>
        <a:prstGeom prst="rect">
          <a:avLst/>
        </a:prstGeom>
        <a:noFill/>
        <a:ln w="9525">
          <a:noFill/>
        </a:ln>
      </xdr:spPr>
    </xdr:pic>
    <xdr:clientData/>
  </xdr:twoCellAnchor>
  <xdr:twoCellAnchor editAs="oneCell">
    <xdr:from>
      <xdr:col>3</xdr:col>
      <xdr:colOff>131304</xdr:colOff>
      <xdr:row>12</xdr:row>
      <xdr:rowOff>1336322</xdr:rowOff>
    </xdr:from>
    <xdr:to>
      <xdr:col>3</xdr:col>
      <xdr:colOff>1362569</xdr:colOff>
      <xdr:row>13</xdr:row>
      <xdr:rowOff>1164096</xdr:rowOff>
    </xdr:to>
    <xdr:pic>
      <xdr:nvPicPr>
        <xdr:cNvPr id="4" name="图片 1">
          <a:extLst>
            <a:ext uri="{FF2B5EF4-FFF2-40B4-BE49-F238E27FC236}">
              <a16:creationId xmlns:a16="http://schemas.microsoft.com/office/drawing/2014/main" id="{93B4EBD0-8163-FF49-8DA9-C35D99E3A0D9}"/>
            </a:ext>
          </a:extLst>
        </xdr:cNvPr>
        <xdr:cNvPicPr>
          <a:picLocks noChangeAspect="1"/>
        </xdr:cNvPicPr>
      </xdr:nvPicPr>
      <xdr:blipFill>
        <a:blip xmlns:r="http://schemas.openxmlformats.org/officeDocument/2006/relationships" r:embed="rId3"/>
        <a:stretch>
          <a:fillRect/>
        </a:stretch>
      </xdr:blipFill>
      <xdr:spPr>
        <a:xfrm>
          <a:off x="4922026" y="11496322"/>
          <a:ext cx="1231265" cy="1175385"/>
        </a:xfrm>
        <a:prstGeom prst="rect">
          <a:avLst/>
        </a:prstGeom>
        <a:noFill/>
        <a:ln w="9525">
          <a:noFill/>
        </a:ln>
      </xdr:spPr>
    </xdr:pic>
    <xdr:clientData/>
  </xdr:twoCellAnchor>
  <xdr:twoCellAnchor editAs="oneCell">
    <xdr:from>
      <xdr:col>3</xdr:col>
      <xdr:colOff>172579</xdr:colOff>
      <xdr:row>12</xdr:row>
      <xdr:rowOff>28716</xdr:rowOff>
    </xdr:from>
    <xdr:to>
      <xdr:col>3</xdr:col>
      <xdr:colOff>1454644</xdr:colOff>
      <xdr:row>12</xdr:row>
      <xdr:rowOff>1118376</xdr:rowOff>
    </xdr:to>
    <xdr:pic>
      <xdr:nvPicPr>
        <xdr:cNvPr id="5" name="图片 2">
          <a:extLst>
            <a:ext uri="{FF2B5EF4-FFF2-40B4-BE49-F238E27FC236}">
              <a16:creationId xmlns:a16="http://schemas.microsoft.com/office/drawing/2014/main" id="{80D992D8-2F33-B840-A125-268118E1257F}"/>
            </a:ext>
          </a:extLst>
        </xdr:cNvPr>
        <xdr:cNvPicPr>
          <a:picLocks noChangeAspect="1"/>
        </xdr:cNvPicPr>
      </xdr:nvPicPr>
      <xdr:blipFill>
        <a:blip xmlns:r="http://schemas.openxmlformats.org/officeDocument/2006/relationships" r:embed="rId4"/>
        <a:stretch>
          <a:fillRect/>
        </a:stretch>
      </xdr:blipFill>
      <xdr:spPr>
        <a:xfrm>
          <a:off x="4963301" y="10188716"/>
          <a:ext cx="1282065" cy="1089660"/>
        </a:xfrm>
        <a:prstGeom prst="rect">
          <a:avLst/>
        </a:prstGeom>
        <a:noFill/>
        <a:ln w="9525">
          <a:noFill/>
        </a:ln>
      </xdr:spPr>
    </xdr:pic>
    <xdr:clientData/>
  </xdr:twoCellAnchor>
  <xdr:twoCellAnchor editAs="oneCell">
    <xdr:from>
      <xdr:col>3</xdr:col>
      <xdr:colOff>182104</xdr:colOff>
      <xdr:row>11</xdr:row>
      <xdr:rowOff>776</xdr:rowOff>
    </xdr:from>
    <xdr:to>
      <xdr:col>4</xdr:col>
      <xdr:colOff>7832</xdr:colOff>
      <xdr:row>11</xdr:row>
      <xdr:rowOff>1182511</xdr:rowOff>
    </xdr:to>
    <xdr:pic>
      <xdr:nvPicPr>
        <xdr:cNvPr id="6" name="图片 3">
          <a:extLst>
            <a:ext uri="{FF2B5EF4-FFF2-40B4-BE49-F238E27FC236}">
              <a16:creationId xmlns:a16="http://schemas.microsoft.com/office/drawing/2014/main" id="{476BC77C-6D0E-EB4B-88F9-04E5FB1BB66B}"/>
            </a:ext>
          </a:extLst>
        </xdr:cNvPr>
        <xdr:cNvPicPr>
          <a:picLocks noChangeAspect="1"/>
        </xdr:cNvPicPr>
      </xdr:nvPicPr>
      <xdr:blipFill>
        <a:blip xmlns:r="http://schemas.openxmlformats.org/officeDocument/2006/relationships" r:embed="rId5"/>
        <a:stretch>
          <a:fillRect/>
        </a:stretch>
      </xdr:blipFill>
      <xdr:spPr>
        <a:xfrm>
          <a:off x="4972826" y="8813165"/>
          <a:ext cx="1314450" cy="1181735"/>
        </a:xfrm>
        <a:prstGeom prst="rect">
          <a:avLst/>
        </a:prstGeom>
        <a:noFill/>
        <a:ln w="9525">
          <a:noFill/>
        </a:ln>
      </xdr:spPr>
    </xdr:pic>
    <xdr:clientData/>
  </xdr:twoCellAnchor>
  <xdr:twoCellAnchor editAs="oneCell">
    <xdr:from>
      <xdr:col>3</xdr:col>
      <xdr:colOff>171309</xdr:colOff>
      <xdr:row>10</xdr:row>
      <xdr:rowOff>35066</xdr:rowOff>
    </xdr:from>
    <xdr:to>
      <xdr:col>3</xdr:col>
      <xdr:colOff>1391779</xdr:colOff>
      <xdr:row>10</xdr:row>
      <xdr:rowOff>1192036</xdr:rowOff>
    </xdr:to>
    <xdr:pic>
      <xdr:nvPicPr>
        <xdr:cNvPr id="7" name="图片 4">
          <a:extLst>
            <a:ext uri="{FF2B5EF4-FFF2-40B4-BE49-F238E27FC236}">
              <a16:creationId xmlns:a16="http://schemas.microsoft.com/office/drawing/2014/main" id="{D6465159-036A-8844-A556-3C2BF1902CEF}"/>
            </a:ext>
          </a:extLst>
        </xdr:cNvPr>
        <xdr:cNvPicPr>
          <a:picLocks noChangeAspect="1"/>
        </xdr:cNvPicPr>
      </xdr:nvPicPr>
      <xdr:blipFill>
        <a:blip xmlns:r="http://schemas.openxmlformats.org/officeDocument/2006/relationships" r:embed="rId6"/>
        <a:stretch>
          <a:fillRect/>
        </a:stretch>
      </xdr:blipFill>
      <xdr:spPr>
        <a:xfrm>
          <a:off x="4962031" y="7499844"/>
          <a:ext cx="1220470" cy="1156970"/>
        </a:xfrm>
        <a:prstGeom prst="rect">
          <a:avLst/>
        </a:prstGeom>
        <a:noFill/>
        <a:ln w="9525">
          <a:noFill/>
        </a:ln>
      </xdr:spPr>
    </xdr:pic>
    <xdr:clientData/>
  </xdr:twoCellAnchor>
  <xdr:twoCellAnchor editAs="oneCell">
    <xdr:from>
      <xdr:col>3</xdr:col>
      <xdr:colOff>112889</xdr:colOff>
      <xdr:row>9</xdr:row>
      <xdr:rowOff>77611</xdr:rowOff>
    </xdr:from>
    <xdr:to>
      <xdr:col>3</xdr:col>
      <xdr:colOff>1391779</xdr:colOff>
      <xdr:row>9</xdr:row>
      <xdr:rowOff>1185686</xdr:rowOff>
    </xdr:to>
    <xdr:pic>
      <xdr:nvPicPr>
        <xdr:cNvPr id="8" name="图片 5">
          <a:extLst>
            <a:ext uri="{FF2B5EF4-FFF2-40B4-BE49-F238E27FC236}">
              <a16:creationId xmlns:a16="http://schemas.microsoft.com/office/drawing/2014/main" id="{ECF836CB-1BEF-114F-83CC-06EFBEE15128}"/>
            </a:ext>
          </a:extLst>
        </xdr:cNvPr>
        <xdr:cNvPicPr>
          <a:picLocks noChangeAspect="1"/>
        </xdr:cNvPicPr>
      </xdr:nvPicPr>
      <xdr:blipFill>
        <a:blip xmlns:r="http://schemas.openxmlformats.org/officeDocument/2006/relationships" r:embed="rId7"/>
        <a:stretch>
          <a:fillRect/>
        </a:stretch>
      </xdr:blipFill>
      <xdr:spPr>
        <a:xfrm>
          <a:off x="4903611" y="6194778"/>
          <a:ext cx="1278890" cy="1108075"/>
        </a:xfrm>
        <a:prstGeom prst="rect">
          <a:avLst/>
        </a:prstGeom>
        <a:noFill/>
        <a:ln w="9525">
          <a:noFill/>
        </a:ln>
      </xdr:spPr>
    </xdr:pic>
    <xdr:clientData/>
  </xdr:twoCellAnchor>
  <xdr:twoCellAnchor editAs="oneCell">
    <xdr:from>
      <xdr:col>3</xdr:col>
      <xdr:colOff>67804</xdr:colOff>
      <xdr:row>17</xdr:row>
      <xdr:rowOff>1293988</xdr:rowOff>
    </xdr:from>
    <xdr:to>
      <xdr:col>3</xdr:col>
      <xdr:colOff>1299069</xdr:colOff>
      <xdr:row>18</xdr:row>
      <xdr:rowOff>1135873</xdr:rowOff>
    </xdr:to>
    <xdr:pic>
      <xdr:nvPicPr>
        <xdr:cNvPr id="9" name="图片 16">
          <a:extLst>
            <a:ext uri="{FF2B5EF4-FFF2-40B4-BE49-F238E27FC236}">
              <a16:creationId xmlns:a16="http://schemas.microsoft.com/office/drawing/2014/main" id="{9909A2DE-EAEE-0746-9A4E-2CDE0ACA5C90}"/>
            </a:ext>
          </a:extLst>
        </xdr:cNvPr>
        <xdr:cNvPicPr>
          <a:picLocks noChangeAspect="1"/>
        </xdr:cNvPicPr>
      </xdr:nvPicPr>
      <xdr:blipFill>
        <a:blip xmlns:r="http://schemas.openxmlformats.org/officeDocument/2006/relationships" r:embed="rId3"/>
        <a:stretch>
          <a:fillRect/>
        </a:stretch>
      </xdr:blipFill>
      <xdr:spPr>
        <a:xfrm>
          <a:off x="4858526" y="18149710"/>
          <a:ext cx="1231265" cy="1175385"/>
        </a:xfrm>
        <a:prstGeom prst="rect">
          <a:avLst/>
        </a:prstGeom>
        <a:noFill/>
        <a:ln w="9525">
          <a:noFill/>
        </a:ln>
      </xdr:spPr>
    </xdr:pic>
    <xdr:clientData/>
  </xdr:twoCellAnchor>
  <xdr:twoCellAnchor editAs="oneCell">
    <xdr:from>
      <xdr:col>3</xdr:col>
      <xdr:colOff>109079</xdr:colOff>
      <xdr:row>17</xdr:row>
      <xdr:rowOff>493</xdr:rowOff>
    </xdr:from>
    <xdr:to>
      <xdr:col>3</xdr:col>
      <xdr:colOff>1391144</xdr:colOff>
      <xdr:row>17</xdr:row>
      <xdr:rowOff>1090153</xdr:rowOff>
    </xdr:to>
    <xdr:pic>
      <xdr:nvPicPr>
        <xdr:cNvPr id="10" name="图片 17">
          <a:extLst>
            <a:ext uri="{FF2B5EF4-FFF2-40B4-BE49-F238E27FC236}">
              <a16:creationId xmlns:a16="http://schemas.microsoft.com/office/drawing/2014/main" id="{D38FB504-5D80-7645-AD57-FEEC64AA228E}"/>
            </a:ext>
          </a:extLst>
        </xdr:cNvPr>
        <xdr:cNvPicPr>
          <a:picLocks noChangeAspect="1"/>
        </xdr:cNvPicPr>
      </xdr:nvPicPr>
      <xdr:blipFill>
        <a:blip xmlns:r="http://schemas.openxmlformats.org/officeDocument/2006/relationships" r:embed="rId4"/>
        <a:stretch>
          <a:fillRect/>
        </a:stretch>
      </xdr:blipFill>
      <xdr:spPr>
        <a:xfrm>
          <a:off x="4899801" y="16856215"/>
          <a:ext cx="1282065" cy="1089660"/>
        </a:xfrm>
        <a:prstGeom prst="rect">
          <a:avLst/>
        </a:prstGeom>
        <a:noFill/>
        <a:ln w="9525">
          <a:noFill/>
        </a:ln>
      </xdr:spPr>
    </xdr:pic>
    <xdr:clientData/>
  </xdr:twoCellAnchor>
  <xdr:twoCellAnchor editAs="oneCell">
    <xdr:from>
      <xdr:col>3</xdr:col>
      <xdr:colOff>118604</xdr:colOff>
      <xdr:row>15</xdr:row>
      <xdr:rowOff>1306053</xdr:rowOff>
    </xdr:from>
    <xdr:to>
      <xdr:col>3</xdr:col>
      <xdr:colOff>1433054</xdr:colOff>
      <xdr:row>16</xdr:row>
      <xdr:rowOff>1013177</xdr:rowOff>
    </xdr:to>
    <xdr:pic>
      <xdr:nvPicPr>
        <xdr:cNvPr id="11" name="图片 18">
          <a:extLst>
            <a:ext uri="{FF2B5EF4-FFF2-40B4-BE49-F238E27FC236}">
              <a16:creationId xmlns:a16="http://schemas.microsoft.com/office/drawing/2014/main" id="{FFDB296E-C882-5B44-A868-00968D2B4EF9}"/>
            </a:ext>
          </a:extLst>
        </xdr:cNvPr>
        <xdr:cNvPicPr>
          <a:picLocks noChangeAspect="1"/>
        </xdr:cNvPicPr>
      </xdr:nvPicPr>
      <xdr:blipFill>
        <a:blip xmlns:r="http://schemas.openxmlformats.org/officeDocument/2006/relationships" r:embed="rId5"/>
        <a:stretch>
          <a:fillRect/>
        </a:stretch>
      </xdr:blipFill>
      <xdr:spPr>
        <a:xfrm>
          <a:off x="4909326" y="15494775"/>
          <a:ext cx="1314450" cy="1181735"/>
        </a:xfrm>
        <a:prstGeom prst="rect">
          <a:avLst/>
        </a:prstGeom>
        <a:noFill/>
        <a:ln w="9525">
          <a:noFill/>
        </a:ln>
      </xdr:spPr>
    </xdr:pic>
    <xdr:clientData/>
  </xdr:twoCellAnchor>
  <xdr:twoCellAnchor editAs="oneCell">
    <xdr:from>
      <xdr:col>3</xdr:col>
      <xdr:colOff>107809</xdr:colOff>
      <xdr:row>15</xdr:row>
      <xdr:rowOff>6843</xdr:rowOff>
    </xdr:from>
    <xdr:to>
      <xdr:col>3</xdr:col>
      <xdr:colOff>1328279</xdr:colOff>
      <xdr:row>15</xdr:row>
      <xdr:rowOff>1163813</xdr:rowOff>
    </xdr:to>
    <xdr:pic>
      <xdr:nvPicPr>
        <xdr:cNvPr id="12" name="图片 19">
          <a:extLst>
            <a:ext uri="{FF2B5EF4-FFF2-40B4-BE49-F238E27FC236}">
              <a16:creationId xmlns:a16="http://schemas.microsoft.com/office/drawing/2014/main" id="{79DF74C0-9F72-1E4E-B36E-95451C404322}"/>
            </a:ext>
          </a:extLst>
        </xdr:cNvPr>
        <xdr:cNvPicPr>
          <a:picLocks noChangeAspect="1"/>
        </xdr:cNvPicPr>
      </xdr:nvPicPr>
      <xdr:blipFill>
        <a:blip xmlns:r="http://schemas.openxmlformats.org/officeDocument/2006/relationships" r:embed="rId6"/>
        <a:stretch>
          <a:fillRect/>
        </a:stretch>
      </xdr:blipFill>
      <xdr:spPr>
        <a:xfrm>
          <a:off x="4898531" y="14195565"/>
          <a:ext cx="1220470" cy="1156970"/>
        </a:xfrm>
        <a:prstGeom prst="rect">
          <a:avLst/>
        </a:prstGeom>
        <a:noFill/>
        <a:ln w="9525">
          <a:noFill/>
        </a:ln>
      </xdr:spPr>
    </xdr:pic>
    <xdr:clientData/>
  </xdr:twoCellAnchor>
  <xdr:twoCellAnchor editAs="oneCell">
    <xdr:from>
      <xdr:col>3</xdr:col>
      <xdr:colOff>49389</xdr:colOff>
      <xdr:row>14</xdr:row>
      <xdr:rowOff>49388</xdr:rowOff>
    </xdr:from>
    <xdr:to>
      <xdr:col>3</xdr:col>
      <xdr:colOff>1328279</xdr:colOff>
      <xdr:row>14</xdr:row>
      <xdr:rowOff>1157463</xdr:rowOff>
    </xdr:to>
    <xdr:pic>
      <xdr:nvPicPr>
        <xdr:cNvPr id="13" name="图片 20">
          <a:extLst>
            <a:ext uri="{FF2B5EF4-FFF2-40B4-BE49-F238E27FC236}">
              <a16:creationId xmlns:a16="http://schemas.microsoft.com/office/drawing/2014/main" id="{CE39BBA0-BEF7-6C4F-AB3C-2CCCC2ED36BB}"/>
            </a:ext>
          </a:extLst>
        </xdr:cNvPr>
        <xdr:cNvPicPr>
          <a:picLocks noChangeAspect="1"/>
        </xdr:cNvPicPr>
      </xdr:nvPicPr>
      <xdr:blipFill>
        <a:blip xmlns:r="http://schemas.openxmlformats.org/officeDocument/2006/relationships" r:embed="rId7"/>
        <a:stretch>
          <a:fillRect/>
        </a:stretch>
      </xdr:blipFill>
      <xdr:spPr>
        <a:xfrm>
          <a:off x="4840111" y="12904610"/>
          <a:ext cx="1278890" cy="11080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33</xdr:col>
      <xdr:colOff>621282</xdr:colOff>
      <xdr:row>5</xdr:row>
      <xdr:rowOff>107054</xdr:rowOff>
    </xdr:from>
    <xdr:to>
      <xdr:col>33</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324730</xdr:colOff>
      <xdr:row>37</xdr:row>
      <xdr:rowOff>173721</xdr:rowOff>
    </xdr:from>
    <xdr:to>
      <xdr:col>3</xdr:col>
      <xdr:colOff>5032</xdr:colOff>
      <xdr:row>41</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personal/joel_meza_mobiliti_mx/Documents/PROYECTO%20CET-%202025/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personal/joel_meza_mobiliti_mx/Documents/PROYECTO%20CET-%202025/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personal/joel_meza_mobiliti_mx/Documents/PROYECTO%20CET-%202025/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onterre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589792e1f06f974259094ff57bfd875c&amp;qlt=95" TargetMode="External"/><Relationship Id="rId7" Type="http://schemas.openxmlformats.org/officeDocument/2006/relationships/hyperlink" Target="https://www.bing.com/th?id=OSK.6e0daddf8fd44973d6ad387735e0fff6&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Mexico%20City"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7RFmRXoqQSTIr0w9phfTttsce705jXAbNsQPY6jEJ-0&amp;qlt=95" TargetMode="External"/><Relationship Id="rId6" Type="http://schemas.openxmlformats.org/officeDocument/2006/relationships/hyperlink" Target="https://www.bing.com/images/search?form=xlimg&amp;q=Jalisco"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0e6344dbb3d0111a0507256998b994c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Guadalajara"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7</v>
  </a>
  <a r="1">
    <v t="s">Central Time Zone</v>
  </a>
  <a r="1">
    <v t="r">18</v>
  </a>
  <a r="4">
    <v t="r">28</v>
    <v t="r">29</v>
    <v t="r">30</v>
    <v t="r">31</v>
  </a>
  <a r="1">
    <v t="r">42</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19.335000000000001</v>
    <v>17.081299999999999</v>
    <v>-2.0500000000000001E-2</v>
    <v>-1.1740000000000001E-3</v>
    <v>MXN</v>
    <v>USD</v>
    <v>17.475000000000001</v>
    <v>Currency Pair</v>
    <v>46182.074502314812</v>
    <v>17.445799999999998</v>
    <v>US Dollar/Mexican Peso FX Spot Rate</v>
    <v>17.463999999999999</v>
    <v>17.457999999999998</v>
    <v>17.4375</v>
    <v>USDMXN</v>
    <v>USD/MXN</v>
  </rv>
  <rv s="1">
    <v>0</v>
  </rv>
  <rv s="2">
    <v>536870912</v>
    <v>Mexico City</v>
    <v>f1281260-8340-e258-c8ec-3522504400e5</v>
    <v>en-US</v>
    <v>Map</v>
  </rv>
  <rv s="3">
    <fb>1485</fb>
    <v>14</v>
  </rv>
  <rv s="2">
    <v>536870912</v>
    <v>Mexico</v>
    <v>8e475659-4bdc-d912-6494-affce0096bc1</v>
    <v>en-US</v>
    <v>Map</v>
  </rv>
  <rv s="3">
    <fb>2714955</fb>
    <v>14</v>
  </rv>
  <rv s="4">
    <v>0</v>
    <v>12</v>
    <v>5</v>
    <v>7</v>
    <v>0</v>
    <v>Image of Mexico City</v>
  </rv>
  <rv s="2">
    <v>805306368</v>
    <v>Martí Batres (Mayor)</v>
    <v>5a622f9e-7cc9-58c5-fba0-05c932da0c1b</v>
    <v>en-US</v>
    <v>Generic</v>
  </rv>
  <rv s="5">
    <v>0</v>
  </rv>
  <rv s="6">
    <v>https://www.bing.com/search?q=mexico+city&amp;form=skydnc</v>
    <v>Learn more on Bing</v>
  </rv>
  <rv s="3">
    <fb>9209944</fb>
    <v>14</v>
  </rv>
  <rv s="5">
    <v>1</v>
  </rv>
  <rv s="7">
    <v>#VALUE!</v>
    <v>en-US</v>
    <v>f1281260-8340-e258-c8ec-3522504400e5</v>
    <v>536870912</v>
    <v>1</v>
    <v>8</v>
    <v>9</v>
    <v>Mexico City</v>
    <v>10</v>
    <v>11</v>
    <v>Map</v>
    <v>12</v>
    <v>13</v>
    <v>MX-CMX</v>
    <v>3</v>
    <v>4</v>
    <v>Mexico City is the capital and largest city of Mexico, and is also North America's most populous city. It is one of the most important cultural and financial centers in the world. Mexico City is located in the Valley of Mexico within the high ...</v>
    <v>5</v>
    <v>6</v>
    <v>8</v>
    <v>9</v>
    <v>Mexico City</v>
    <v>10</v>
    <v>11</v>
    <v>Mexico City</v>
    <v>mdp/vdpid/5162431768069931014</v>
  </rv>
  <rv s="2">
    <v>536870912</v>
    <v>Guadalajara</v>
    <v>bde57fba-2206-ac66-4407-b25eb03c3813</v>
    <v>en-US</v>
    <v>Map</v>
  </rv>
  <rv s="2">
    <v>536870912</v>
    <v>Jalisco</v>
    <v>18c29bf9-bbf0-e90f-10f3-c48c9791339b</v>
    <v>en-US</v>
    <v>Map</v>
  </rv>
  <rv s="3">
    <fb>151.4</fb>
    <v>14</v>
  </rv>
  <rv s="4">
    <v>1</v>
    <v>12</v>
    <v>15</v>
    <v>7</v>
    <v>0</v>
    <v>Image of Guadalajara</v>
  </rv>
  <rv s="3">
    <fb>20.676666666667</fb>
    <v>19</v>
  </rv>
  <rv s="2">
    <v>805306368</v>
    <v>Pablo Lemus Navarro (Mayor)</v>
    <v>c2e15953-74e3-297e-f97f-b85261c6b9e4</v>
    <v>en-US</v>
    <v>Generic</v>
  </rv>
  <rv s="5">
    <v>2</v>
  </rv>
  <rv s="6">
    <v>https://www.bing.com/search?q=guadalajara+mexico&amp;form=skydnc</v>
    <v>Learn more on Bing</v>
  </rv>
  <rv s="3">
    <fb>-103.3475</fb>
    <v>19</v>
  </rv>
  <rv s="3">
    <fb>1460148</fb>
    <v>14</v>
  </rv>
  <rv s="8">
    <v>#VALUE!</v>
    <v>en-US</v>
    <v>bde57fba-2206-ac66-4407-b25eb03c3813</v>
    <v>536870912</v>
    <v>1</v>
    <v>16</v>
    <v>17</v>
    <v>Guadalajara</v>
    <v>10</v>
    <v>11</v>
    <v>Map</v>
    <v>12</v>
    <v>18</v>
    <v>14</v>
    <v>15</v>
    <v>4</v>
    <v>Guadalajara is a city in western Mexico and the capital of the state of Jalisco. According to the 2020 census, the city has a population of 1,385,629 people, making it the 7th most populous city in Mexico, while the Guadalajara metropolitan area ...</v>
    <v>16</v>
    <v>17</v>
    <v>19</v>
    <v>20</v>
    <v>21</v>
    <v>Guadalajara</v>
    <v>22</v>
    <v>11</v>
    <v>Guadalajara</v>
    <v>mdp/vdpid/5155231513767313409</v>
  </rv>
  <rv s="3">
    <fb>78588</fb>
    <v>14</v>
  </rv>
  <rv s="3">
    <fb>2253064</fb>
    <v>14</v>
  </rv>
  <rv s="4">
    <v>2</v>
    <v>12</v>
    <v>20</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3</v>
  </rv>
  <rv s="6">
    <v>https://www.bing.com/search?q=jalisco&amp;form=skydnc</v>
    <v>Learn more on Bing</v>
  </rv>
  <rv s="3">
    <fb>7844830</fb>
    <v>14</v>
  </rv>
  <rv s="9">
    <v>#VALUE!</v>
    <v>en-US</v>
    <v>18c29bf9-bbf0-e90f-10f3-c48c9791339b</v>
    <v>536870912</v>
    <v>1</v>
    <v>22</v>
    <v>23</v>
    <v>Jalisco</v>
    <v>10</v>
    <v>11</v>
    <v>Map</v>
    <v>12</v>
    <v>24</v>
    <v>MX-JAL</v>
    <v>24</v>
    <v>13</v>
    <v>4</v>
    <v>Jalisco, officially the Free and Sovereign State of Jalisco, is one of the 31 states which, along with Mexico City, comprise the 32 Federal Entities of Mexico. It is located in western Mexico and is bordered by six states, Nayarit, Zacatecas, ...</v>
    <v>25</v>
    <v>26</v>
    <v>27</v>
    <v>32</v>
    <v>33</v>
    <v>Jalisco</v>
    <v>34</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14</v>
  </rv>
  <rv s="4">
    <v>3</v>
    <v>12</v>
    <v>25</v>
    <v>7</v>
    <v>0</v>
    <v>Image of Monterrey</v>
  </rv>
  <rv s="3">
    <fb>25.671388888888998</fb>
    <v>19</v>
  </rv>
  <rv s="2">
    <v>805306368</v>
    <v>Luis Donaldo Colosio Riojas (Mayor)</v>
    <v>f701e679-b830-e299-11e8-bd28c111d118</v>
    <v>en-US</v>
    <v>Generic</v>
  </rv>
  <rv s="5">
    <v>4</v>
  </rv>
  <rv s="6">
    <v>https://www.bing.com/search?q=monterrey+mexico&amp;form=skydnc</v>
    <v>Learn more on Bing</v>
  </rv>
  <rv s="3">
    <fb>-100.30861111111</fb>
    <v>19</v>
  </rv>
  <rv s="3">
    <fb>1135512</fb>
    <v>14</v>
  </rv>
  <rv s="10">
    <v>#VALUE!</v>
    <v>en-US</v>
    <v>7efc18c0-8c1d-eee3-2e2c-94beca244838</v>
    <v>536870912</v>
    <v>1</v>
    <v>26</v>
    <v>27</v>
    <v>Monterrey</v>
    <v>10</v>
    <v>11</v>
    <v>Map</v>
    <v>12</v>
    <v>18</v>
    <v>37</v>
    <v>38</v>
    <v>39</v>
    <v>4</v>
    <v>Monterrey is the capital and largest city of the northeastern state of Nuevo León, Mexico, and the second largest city in Mexico behind Mexico City. Located at the foothills of the Sierra Madre Oriental, the city is anchor to the Monterrey ...</v>
    <v>40</v>
    <v>41</v>
    <v>43</v>
    <v>44</v>
    <v>45</v>
    <v>Monterrey</v>
    <v>46</v>
    <v>Monterrey</v>
    <v>mdp/vdpid/5111976795486289921</v>
  </rv>
  <rv s="2">
    <v>536870912</v>
    <v>Tijuana</v>
    <v>1e58832d-43ef-4c25-b05a-512cb17f6f5a</v>
    <v>en-US</v>
    <v>Map</v>
  </rv>
  <rv s="2">
    <v>536870912</v>
    <v>Baja California</v>
    <v>6b504587-24aa-0512-9ca8-180f7fa0f586</v>
    <v>en-US</v>
    <v>Map</v>
  </rv>
  <rv s="2">
    <v>536870912</v>
    <v>Tijuana Municipality</v>
    <v>da657058-d3b3-7859-313a-5639fa02ef0b</v>
    <v>en-US</v>
    <v>Map</v>
  </rv>
  <rv s="3">
    <fb>637</fb>
    <v>14</v>
  </rv>
  <rv s="4">
    <v>4</v>
    <v>12</v>
    <v>28</v>
    <v>7</v>
    <v>0</v>
    <v>Image of Tijuana</v>
  </rv>
  <rv s="3">
    <fb>32.536447000000003</fb>
    <v>19</v>
  </rv>
  <rv s="2">
    <v>805306368</v>
    <v>Montserrat Caballero Ramírez (Mayor)</v>
    <v>0a23413b-c516-c992-83f8-67a64483166e</v>
    <v>en-US</v>
    <v>Generic</v>
  </rv>
  <rv s="5">
    <v>5</v>
  </rv>
  <rv s="6">
    <v>https://www.bing.com/search?q=tijuana&amp;form=skydnc</v>
    <v>Learn more on Bing</v>
  </rv>
  <rv s="3">
    <fb>-117.037155</fb>
    <v>19</v>
  </rv>
  <rv s="3">
    <fb>1964788</fb>
    <v>14</v>
  </rv>
  <rv s="5">
    <v>6</v>
  </rv>
  <rv s="11">
    <v>#VALUE!</v>
    <v>en-US</v>
    <v>1e58832d-43ef-4c25-b05a-512cb17f6f5a</v>
    <v>536870912</v>
    <v>1</v>
    <v>29</v>
    <v>30</v>
    <v>Tijuana</v>
    <v>10</v>
    <v>11</v>
    <v>Map</v>
    <v>12</v>
    <v>31</v>
    <v>49</v>
    <v>50</v>
    <v>51</v>
    <v>4</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14</v>
  </rv>
  <rv s="4">
    <v>5</v>
    <v>12</v>
    <v>32</v>
    <v>7</v>
    <v>0</v>
    <v>Image of Mérida, Yucatán</v>
  </rv>
  <rv s="3">
    <fb>20.97</fb>
    <v>19</v>
  </rv>
  <rv s="2">
    <v>805306368</v>
    <v>Alejandro Ruz Castro (Mayor)</v>
    <v>18aa3816-afe7-f175-6d62-ee719e597944</v>
    <v>en-US</v>
    <v>Generic</v>
  </rv>
  <rv s="5">
    <v>7</v>
  </rv>
  <rv s="6">
    <v>https://www.bing.com/search?q=m%c3%a9rida+yucatan&amp;form=skydnc</v>
    <v>Learn more on Bing</v>
  </rv>
  <rv s="3">
    <fb>-89.62</fb>
    <v>19</v>
  </rv>
  <rv s="3">
    <fb>892363</fb>
    <v>14</v>
  </rv>
  <rv s="10">
    <v>#VALUE!</v>
    <v>en-US</v>
    <v>a5d5d869-54fc-c36d-271a-5c6c72b3e615</v>
    <v>536870912</v>
    <v>1</v>
    <v>33</v>
    <v>27</v>
    <v>Mérida, Yucatán</v>
    <v>10</v>
    <v>11</v>
    <v>Map</v>
    <v>12</v>
    <v>34</v>
    <v>62</v>
    <v>63</v>
    <v>64</v>
    <v>4</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14</v>
  </rv>
  <rv s="2">
    <v>536870912</v>
    <v>Querétaro</v>
    <v>ec2a2278-4e06-2076-4a85-ced55489bf6f</v>
    <v>en-US</v>
    <v>Map</v>
  </rv>
  <rv s="3">
    <fb>555579</fb>
    <v>14</v>
  </rv>
  <rv s="4">
    <v>6</v>
    <v>12</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14</v>
  </rv>
  <rv s="9">
    <v>#VALUE!</v>
    <v>en-US</v>
    <v>4a2d4179-0f55-70d5-99e7-165b2289a273</v>
    <v>536870912</v>
    <v>1</v>
    <v>37</v>
    <v>23</v>
    <v>Querétaro</v>
    <v>10</v>
    <v>11</v>
    <v>Map</v>
    <v>12</v>
    <v>24</v>
    <v>MX-QUE</v>
    <v>74</v>
    <v>75</v>
    <v>4</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14</v>
  </rv>
  <rv s="2">
    <v>536870912</v>
    <v>Toluca</v>
    <v>215756d4-2249-ee5b-fe0c-29e084dd042f</v>
    <v>en-US</v>
    <v>Map</v>
  </rv>
  <rv s="3">
    <fb>4587961</fb>
    <v>14</v>
  </rv>
  <rv s="4">
    <v>7</v>
    <v>12</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14</v>
  </rv>
  <rv s="5">
    <v>10</v>
  </rv>
  <rv s="12">
    <v>#VALUE!</v>
    <v>en-US</v>
    <v>884c2c6c-6f06-85ee-aa8d-65b8980f2231</v>
    <v>536870912</v>
    <v>1</v>
    <v>40</v>
    <v>41</v>
    <v>State of Mexico</v>
    <v>10</v>
    <v>11</v>
    <v>Map</v>
    <v>12</v>
    <v>13</v>
    <v>MX-MEX</v>
    <v>87</v>
    <v>88</v>
    <v>4</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https://en.wikipedia.org/wiki/Mexico_City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http://en.wikipedia.org/wiki/Mexico_City	</v>
      <v xml:space="preserve">http://creativecommons.org/licenses/by-sa/3.0/	</v>
    </spb>
    <spb s="6">
      <v>5</v>
      <v>5</v>
      <v>6</v>
      <v>5</v>
      <v>5</v>
      <v>5</v>
      <v>7</v>
      <v>5</v>
    </spb>
    <spb s="7">
      <v>1</v>
      <v>Name</v>
      <v>LearnMoreOnLink</v>
    </spb>
    <spb s="8">
      <v>1</v>
      <v>1</v>
      <v>1</v>
    </spb>
    <spb s="9">
      <v>2</v>
      <v>6</v>
    </spb>
    <spb s="10">
      <v>https://www.bing.com</v>
      <v>https://www.bing.com/th?id=Ga%5Cbing_yt.png&amp;w=100&amp;h=40&amp;c=0&amp;pid=0.1</v>
      <v>Powered by Bing</v>
    </spb>
    <spb s="11">
      <v>square km</v>
      <v>2017</v>
      <v>2020</v>
    </spb>
    <spb s="12">
      <v>7</v>
    </spb>
    <spb s="5">
      <v xml:space="preserve">Wikipedia	</v>
      <v xml:space="preserve">CC BY-SA 3.0	</v>
      <v xml:space="preserve">https://en.wikipedia.org/wiki/Guadalajara	</v>
      <v xml:space="preserve">https://creativecommons.org/licenses/by-sa/3.0	</v>
    </spb>
    <spb s="13">
      <v>15</v>
      <v>15</v>
      <v>15</v>
      <v>15</v>
      <v>15</v>
      <v>15</v>
      <v>15</v>
      <v>15</v>
      <v>15</v>
    </spb>
    <spb s="7">
      <v>2</v>
      <v>Name</v>
      <v>LearnMoreOnLink</v>
    </spb>
    <spb s="14">
      <v>square km</v>
      <v>2010</v>
    </spb>
    <spb s="12">
      <v>8</v>
    </spb>
    <spb s="5">
      <v xml:space="preserve">Wikipedia	</v>
      <v xml:space="preserve">CC BY-SA 3.0	</v>
      <v xml:space="preserve">https://en.wikipedia.org/wiki/Jalisco	</v>
      <v xml:space="preserve">https://creativecommons.org/licenses/by-sa/3.0	</v>
    </spb>
    <spb s="5">
      <v xml:space="preserve">Wikipedia	</v>
      <v xml:space="preserve">CC-BY-SA	</v>
      <v xml:space="preserve">http://en.wikipedia.org/wiki/Jalisco	</v>
      <v xml:space="preserve">http://creativecommons.org/licenses/by-sa/3.0/	</v>
    </spb>
    <spb s="15">
      <v>20</v>
      <v>20</v>
      <v>6</v>
      <v>20</v>
      <v>20</v>
      <v>20</v>
      <v>21</v>
      <v>20</v>
      <v>20</v>
      <v>20</v>
    </spb>
    <spb s="7">
      <v>3</v>
      <v>Name</v>
      <v>LearnMoreOnLink</v>
    </spb>
    <spb s="11">
      <v>square km</v>
      <v>2017</v>
      <v>2015</v>
    </spb>
    <spb s="5">
      <v xml:space="preserve">Wikipedia	</v>
      <v xml:space="preserve">CC BY-SA 3.0	</v>
      <v xml:space="preserve">https://en.wikipedia.org/wiki/Monterrey	</v>
      <v xml:space="preserve">https://creativecommons.org/licenses/by-sa/3.0	</v>
    </spb>
    <spb s="16">
      <v>25</v>
      <v>25</v>
      <v>25</v>
      <v>25</v>
      <v>25</v>
      <v>25</v>
      <v>25</v>
      <v>25</v>
      <v>25</v>
      <v>25</v>
    </spb>
    <spb s="7">
      <v>4</v>
      <v>Name</v>
      <v>LearnMoreOnLink</v>
    </spb>
    <spb s="5">
      <v xml:space="preserve">Wikipedia	</v>
      <v xml:space="preserve">CC BY-SA 3.0	</v>
      <v xml:space="preserve">https://en.wikipedia.org/wiki/Tijuana	</v>
      <v xml:space="preserve">https://creativecommons.org/licenses/by-sa/3.0	</v>
    </spb>
    <spb s="16">
      <v>28</v>
      <v>28</v>
      <v>28</v>
      <v>28</v>
      <v>28</v>
      <v>28</v>
      <v>28</v>
      <v>28</v>
      <v>28</v>
      <v>28</v>
    </spb>
    <spb s="7">
      <v>5</v>
      <v>Name</v>
      <v>LearnMoreOnLink</v>
    </spb>
    <spb s="14">
      <v>square km</v>
      <v>2019</v>
    </spb>
    <spb s="5">
      <v xml:space="preserve">Wikipedia	</v>
      <v xml:space="preserve">CC BY-SA 3.0	</v>
      <v xml:space="preserve">https://en.wikipedia.org/wiki/M%C3%A9rida,_Yucat%C3%A1n	</v>
      <v xml:space="preserve">https://creativecommons.org/licenses/by-sa/3.0	</v>
    </spb>
    <spb s="16">
      <v>32</v>
      <v>32</v>
      <v>32</v>
      <v>32</v>
      <v>32</v>
      <v>32</v>
      <v>32</v>
      <v>32</v>
      <v>32</v>
      <v>32</v>
    </spb>
    <spb s="14">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5">
      <v>35</v>
      <v>35</v>
      <v>6</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5">
      <v>38</v>
      <v>38</v>
      <v>6</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Households" t="spb"/>
    <k n="Population" t="spb"/>
    <k n="UniqueName" t="spb"/>
    <k n="Description" t="spb"/>
    <k n="Abbreviation" t="spb"/>
    <k n="Country/region" t="spb"/>
  </s>
  <s>
    <k n="^Order" t="spba"/>
    <k n="TitleProperty" t="s"/>
    <k n="SubTitleProperty" t="s"/>
  </s>
  <s>
    <k n="UniqueName" t="spb"/>
    <k n="VDPID/VSID" t="spb"/>
    <k n="LearnMoreOnLink" t="spb"/>
  </s>
  <s>
    <k n="Name" t="i"/>
    <k n="Image" t="i"/>
  </s>
  <s>
    <k n="link" t="s"/>
    <k n="logo" t="s"/>
    <k n="name" t="s"/>
  </s>
  <s>
    <k n="Area" t="s"/>
    <k n="Households" t="s"/>
    <k n="Population" t="s"/>
  </s>
  <s>
    <k n="_Self" t="i"/>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lynnli@mexytech.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tabSelected="1" view="pageBreakPreview" topLeftCell="A19" zoomScale="75" zoomScaleNormal="100" zoomScaleSheetLayoutView="40" workbookViewId="0">
      <selection activeCell="A65" sqref="A65:J65"/>
    </sheetView>
  </sheetViews>
  <sheetFormatPr baseColWidth="10" defaultColWidth="11.453125" defaultRowHeight="12"/>
  <cols>
    <col min="1" max="1" width="40.453125" style="54" customWidth="1"/>
    <col min="2" max="2" width="74.6328125" style="53" customWidth="1"/>
    <col min="3" max="3" width="76.6328125" style="54" customWidth="1"/>
    <col min="4" max="4" width="19.453125" style="220" customWidth="1"/>
    <col min="5" max="5" width="10.6328125" style="52" customWidth="1"/>
    <col min="6" max="6" width="18.1796875" style="116" customWidth="1"/>
    <col min="7" max="7" width="15" style="225" customWidth="1"/>
    <col min="8" max="8" width="19" style="55" customWidth="1"/>
    <col min="9" max="9" width="18.6328125" style="56" customWidth="1"/>
    <col min="10" max="10" width="19.453125" style="52" customWidth="1"/>
    <col min="11" max="11" width="16.453125" style="52" customWidth="1"/>
    <col min="12" max="12" width="31.453125" style="52" customWidth="1"/>
    <col min="13" max="13" width="15.1796875" style="52" customWidth="1"/>
    <col min="14" max="14" width="10.6328125" style="52"/>
    <col min="15" max="15" width="40.6328125" style="52" customWidth="1"/>
    <col min="16" max="18" width="40.6328125" style="90" customWidth="1"/>
    <col min="19" max="45" width="10.6328125" style="90"/>
    <col min="46" max="258" width="10.6328125" style="52"/>
    <col min="259" max="259" width="45.1796875" style="52" customWidth="1"/>
    <col min="260" max="260" width="10.36328125" style="52" customWidth="1"/>
    <col min="261" max="261" width="68.36328125" style="52" customWidth="1"/>
    <col min="262" max="262" width="13.453125" style="52" customWidth="1"/>
    <col min="263" max="263" width="6.6328125" style="52" customWidth="1"/>
    <col min="264" max="264" width="5.6328125" style="52" customWidth="1"/>
    <col min="265" max="265" width="10.6328125" style="52" customWidth="1"/>
    <col min="266" max="266" width="12.36328125" style="52" customWidth="1"/>
    <col min="267" max="514" width="10.6328125" style="52"/>
    <col min="515" max="515" width="45.1796875" style="52" customWidth="1"/>
    <col min="516" max="516" width="10.36328125" style="52" customWidth="1"/>
    <col min="517" max="517" width="68.36328125" style="52" customWidth="1"/>
    <col min="518" max="518" width="13.453125" style="52" customWidth="1"/>
    <col min="519" max="519" width="6.6328125" style="52" customWidth="1"/>
    <col min="520" max="520" width="5.6328125" style="52" customWidth="1"/>
    <col min="521" max="521" width="10.6328125" style="52" customWidth="1"/>
    <col min="522" max="522" width="12.36328125" style="52" customWidth="1"/>
    <col min="523" max="770" width="10.6328125" style="52"/>
    <col min="771" max="771" width="45.1796875" style="52" customWidth="1"/>
    <col min="772" max="772" width="10.36328125" style="52" customWidth="1"/>
    <col min="773" max="773" width="68.36328125" style="52" customWidth="1"/>
    <col min="774" max="774" width="13.453125" style="52" customWidth="1"/>
    <col min="775" max="775" width="6.6328125" style="52" customWidth="1"/>
    <col min="776" max="776" width="5.6328125" style="52" customWidth="1"/>
    <col min="777" max="777" width="10.6328125" style="52" customWidth="1"/>
    <col min="778" max="778" width="12.36328125" style="52" customWidth="1"/>
    <col min="779" max="1026" width="10.6328125" style="52"/>
    <col min="1027" max="1027" width="45.1796875" style="52" customWidth="1"/>
    <col min="1028" max="1028" width="10.36328125" style="52" customWidth="1"/>
    <col min="1029" max="1029" width="68.36328125" style="52" customWidth="1"/>
    <col min="1030" max="1030" width="13.453125" style="52" customWidth="1"/>
    <col min="1031" max="1031" width="6.6328125" style="52" customWidth="1"/>
    <col min="1032" max="1032" width="5.6328125" style="52" customWidth="1"/>
    <col min="1033" max="1033" width="10.6328125" style="52" customWidth="1"/>
    <col min="1034" max="1034" width="12.36328125" style="52" customWidth="1"/>
    <col min="1035" max="1282" width="10.6328125" style="52"/>
    <col min="1283" max="1283" width="45.1796875" style="52" customWidth="1"/>
    <col min="1284" max="1284" width="10.36328125" style="52" customWidth="1"/>
    <col min="1285" max="1285" width="68.36328125" style="52" customWidth="1"/>
    <col min="1286" max="1286" width="13.453125" style="52" customWidth="1"/>
    <col min="1287" max="1287" width="6.6328125" style="52" customWidth="1"/>
    <col min="1288" max="1288" width="5.6328125" style="52" customWidth="1"/>
    <col min="1289" max="1289" width="10.6328125" style="52" customWidth="1"/>
    <col min="1290" max="1290" width="12.36328125" style="52" customWidth="1"/>
    <col min="1291" max="1538" width="10.6328125" style="52"/>
    <col min="1539" max="1539" width="45.1796875" style="52" customWidth="1"/>
    <col min="1540" max="1540" width="10.36328125" style="52" customWidth="1"/>
    <col min="1541" max="1541" width="68.36328125" style="52" customWidth="1"/>
    <col min="1542" max="1542" width="13.453125" style="52" customWidth="1"/>
    <col min="1543" max="1543" width="6.6328125" style="52" customWidth="1"/>
    <col min="1544" max="1544" width="5.6328125" style="52" customWidth="1"/>
    <col min="1545" max="1545" width="10.6328125" style="52" customWidth="1"/>
    <col min="1546" max="1546" width="12.36328125" style="52" customWidth="1"/>
    <col min="1547" max="1794" width="10.6328125" style="52"/>
    <col min="1795" max="1795" width="45.1796875" style="52" customWidth="1"/>
    <col min="1796" max="1796" width="10.36328125" style="52" customWidth="1"/>
    <col min="1797" max="1797" width="68.36328125" style="52" customWidth="1"/>
    <col min="1798" max="1798" width="13.453125" style="52" customWidth="1"/>
    <col min="1799" max="1799" width="6.6328125" style="52" customWidth="1"/>
    <col min="1800" max="1800" width="5.6328125" style="52" customWidth="1"/>
    <col min="1801" max="1801" width="10.6328125" style="52" customWidth="1"/>
    <col min="1802" max="1802" width="12.36328125" style="52" customWidth="1"/>
    <col min="1803" max="2050" width="10.6328125" style="52"/>
    <col min="2051" max="2051" width="45.1796875" style="52" customWidth="1"/>
    <col min="2052" max="2052" width="10.36328125" style="52" customWidth="1"/>
    <col min="2053" max="2053" width="68.36328125" style="52" customWidth="1"/>
    <col min="2054" max="2054" width="13.453125" style="52" customWidth="1"/>
    <col min="2055" max="2055" width="6.6328125" style="52" customWidth="1"/>
    <col min="2056" max="2056" width="5.6328125" style="52" customWidth="1"/>
    <col min="2057" max="2057" width="10.6328125" style="52" customWidth="1"/>
    <col min="2058" max="2058" width="12.36328125" style="52" customWidth="1"/>
    <col min="2059" max="2306" width="10.6328125" style="52"/>
    <col min="2307" max="2307" width="45.1796875" style="52" customWidth="1"/>
    <col min="2308" max="2308" width="10.36328125" style="52" customWidth="1"/>
    <col min="2309" max="2309" width="68.36328125" style="52" customWidth="1"/>
    <col min="2310" max="2310" width="13.453125" style="52" customWidth="1"/>
    <col min="2311" max="2311" width="6.6328125" style="52" customWidth="1"/>
    <col min="2312" max="2312" width="5.6328125" style="52" customWidth="1"/>
    <col min="2313" max="2313" width="10.6328125" style="52" customWidth="1"/>
    <col min="2314" max="2314" width="12.36328125" style="52" customWidth="1"/>
    <col min="2315" max="2562" width="10.6328125" style="52"/>
    <col min="2563" max="2563" width="45.1796875" style="52" customWidth="1"/>
    <col min="2564" max="2564" width="10.36328125" style="52" customWidth="1"/>
    <col min="2565" max="2565" width="68.36328125" style="52" customWidth="1"/>
    <col min="2566" max="2566" width="13.453125" style="52" customWidth="1"/>
    <col min="2567" max="2567" width="6.6328125" style="52" customWidth="1"/>
    <col min="2568" max="2568" width="5.6328125" style="52" customWidth="1"/>
    <col min="2569" max="2569" width="10.6328125" style="52" customWidth="1"/>
    <col min="2570" max="2570" width="12.36328125" style="52" customWidth="1"/>
    <col min="2571" max="2818" width="10.6328125" style="52"/>
    <col min="2819" max="2819" width="45.1796875" style="52" customWidth="1"/>
    <col min="2820" max="2820" width="10.36328125" style="52" customWidth="1"/>
    <col min="2821" max="2821" width="68.36328125" style="52" customWidth="1"/>
    <col min="2822" max="2822" width="13.453125" style="52" customWidth="1"/>
    <col min="2823" max="2823" width="6.6328125" style="52" customWidth="1"/>
    <col min="2824" max="2824" width="5.6328125" style="52" customWidth="1"/>
    <col min="2825" max="2825" width="10.6328125" style="52" customWidth="1"/>
    <col min="2826" max="2826" width="12.36328125" style="52" customWidth="1"/>
    <col min="2827" max="3074" width="10.6328125" style="52"/>
    <col min="3075" max="3075" width="45.1796875" style="52" customWidth="1"/>
    <col min="3076" max="3076" width="10.36328125" style="52" customWidth="1"/>
    <col min="3077" max="3077" width="68.36328125" style="52" customWidth="1"/>
    <col min="3078" max="3078" width="13.453125" style="52" customWidth="1"/>
    <col min="3079" max="3079" width="6.6328125" style="52" customWidth="1"/>
    <col min="3080" max="3080" width="5.6328125" style="52" customWidth="1"/>
    <col min="3081" max="3081" width="10.6328125" style="52" customWidth="1"/>
    <col min="3082" max="3082" width="12.36328125" style="52" customWidth="1"/>
    <col min="3083" max="3330" width="10.6328125" style="52"/>
    <col min="3331" max="3331" width="45.1796875" style="52" customWidth="1"/>
    <col min="3332" max="3332" width="10.36328125" style="52" customWidth="1"/>
    <col min="3333" max="3333" width="68.36328125" style="52" customWidth="1"/>
    <col min="3334" max="3334" width="13.453125" style="52" customWidth="1"/>
    <col min="3335" max="3335" width="6.6328125" style="52" customWidth="1"/>
    <col min="3336" max="3336" width="5.6328125" style="52" customWidth="1"/>
    <col min="3337" max="3337" width="10.6328125" style="52" customWidth="1"/>
    <col min="3338" max="3338" width="12.36328125" style="52" customWidth="1"/>
    <col min="3339" max="3586" width="10.6328125" style="52"/>
    <col min="3587" max="3587" width="45.1796875" style="52" customWidth="1"/>
    <col min="3588" max="3588" width="10.36328125" style="52" customWidth="1"/>
    <col min="3589" max="3589" width="68.36328125" style="52" customWidth="1"/>
    <col min="3590" max="3590" width="13.453125" style="52" customWidth="1"/>
    <col min="3591" max="3591" width="6.6328125" style="52" customWidth="1"/>
    <col min="3592" max="3592" width="5.6328125" style="52" customWidth="1"/>
    <col min="3593" max="3593" width="10.6328125" style="52" customWidth="1"/>
    <col min="3594" max="3594" width="12.36328125" style="52" customWidth="1"/>
    <col min="3595" max="3842" width="10.6328125" style="52"/>
    <col min="3843" max="3843" width="45.1796875" style="52" customWidth="1"/>
    <col min="3844" max="3844" width="10.36328125" style="52" customWidth="1"/>
    <col min="3845" max="3845" width="68.36328125" style="52" customWidth="1"/>
    <col min="3846" max="3846" width="13.453125" style="52" customWidth="1"/>
    <col min="3847" max="3847" width="6.6328125" style="52" customWidth="1"/>
    <col min="3848" max="3848" width="5.6328125" style="52" customWidth="1"/>
    <col min="3849" max="3849" width="10.6328125" style="52" customWidth="1"/>
    <col min="3850" max="3850" width="12.36328125" style="52" customWidth="1"/>
    <col min="3851" max="4098" width="10.6328125" style="52"/>
    <col min="4099" max="4099" width="45.1796875" style="52" customWidth="1"/>
    <col min="4100" max="4100" width="10.36328125" style="52" customWidth="1"/>
    <col min="4101" max="4101" width="68.36328125" style="52" customWidth="1"/>
    <col min="4102" max="4102" width="13.453125" style="52" customWidth="1"/>
    <col min="4103" max="4103" width="6.6328125" style="52" customWidth="1"/>
    <col min="4104" max="4104" width="5.6328125" style="52" customWidth="1"/>
    <col min="4105" max="4105" width="10.6328125" style="52" customWidth="1"/>
    <col min="4106" max="4106" width="12.36328125" style="52" customWidth="1"/>
    <col min="4107" max="4354" width="10.6328125" style="52"/>
    <col min="4355" max="4355" width="45.1796875" style="52" customWidth="1"/>
    <col min="4356" max="4356" width="10.36328125" style="52" customWidth="1"/>
    <col min="4357" max="4357" width="68.36328125" style="52" customWidth="1"/>
    <col min="4358" max="4358" width="13.453125" style="52" customWidth="1"/>
    <col min="4359" max="4359" width="6.6328125" style="52" customWidth="1"/>
    <col min="4360" max="4360" width="5.6328125" style="52" customWidth="1"/>
    <col min="4361" max="4361" width="10.6328125" style="52" customWidth="1"/>
    <col min="4362" max="4362" width="12.36328125" style="52" customWidth="1"/>
    <col min="4363" max="4610" width="10.6328125" style="52"/>
    <col min="4611" max="4611" width="45.1796875" style="52" customWidth="1"/>
    <col min="4612" max="4612" width="10.36328125" style="52" customWidth="1"/>
    <col min="4613" max="4613" width="68.36328125" style="52" customWidth="1"/>
    <col min="4614" max="4614" width="13.453125" style="52" customWidth="1"/>
    <col min="4615" max="4615" width="6.6328125" style="52" customWidth="1"/>
    <col min="4616" max="4616" width="5.6328125" style="52" customWidth="1"/>
    <col min="4617" max="4617" width="10.6328125" style="52" customWidth="1"/>
    <col min="4618" max="4618" width="12.36328125" style="52" customWidth="1"/>
    <col min="4619" max="4866" width="10.6328125" style="52"/>
    <col min="4867" max="4867" width="45.1796875" style="52" customWidth="1"/>
    <col min="4868" max="4868" width="10.36328125" style="52" customWidth="1"/>
    <col min="4869" max="4869" width="68.36328125" style="52" customWidth="1"/>
    <col min="4870" max="4870" width="13.453125" style="52" customWidth="1"/>
    <col min="4871" max="4871" width="6.6328125" style="52" customWidth="1"/>
    <col min="4872" max="4872" width="5.6328125" style="52" customWidth="1"/>
    <col min="4873" max="4873" width="10.6328125" style="52" customWidth="1"/>
    <col min="4874" max="4874" width="12.36328125" style="52" customWidth="1"/>
    <col min="4875" max="5122" width="10.6328125" style="52"/>
    <col min="5123" max="5123" width="45.1796875" style="52" customWidth="1"/>
    <col min="5124" max="5124" width="10.36328125" style="52" customWidth="1"/>
    <col min="5125" max="5125" width="68.36328125" style="52" customWidth="1"/>
    <col min="5126" max="5126" width="13.453125" style="52" customWidth="1"/>
    <col min="5127" max="5127" width="6.6328125" style="52" customWidth="1"/>
    <col min="5128" max="5128" width="5.6328125" style="52" customWidth="1"/>
    <col min="5129" max="5129" width="10.6328125" style="52" customWidth="1"/>
    <col min="5130" max="5130" width="12.36328125" style="52" customWidth="1"/>
    <col min="5131" max="5378" width="10.6328125" style="52"/>
    <col min="5379" max="5379" width="45.1796875" style="52" customWidth="1"/>
    <col min="5380" max="5380" width="10.36328125" style="52" customWidth="1"/>
    <col min="5381" max="5381" width="68.36328125" style="52" customWidth="1"/>
    <col min="5382" max="5382" width="13.453125" style="52" customWidth="1"/>
    <col min="5383" max="5383" width="6.6328125" style="52" customWidth="1"/>
    <col min="5384" max="5384" width="5.6328125" style="52" customWidth="1"/>
    <col min="5385" max="5385" width="10.6328125" style="52" customWidth="1"/>
    <col min="5386" max="5386" width="12.36328125" style="52" customWidth="1"/>
    <col min="5387" max="5634" width="10.6328125" style="52"/>
    <col min="5635" max="5635" width="45.1796875" style="52" customWidth="1"/>
    <col min="5636" max="5636" width="10.36328125" style="52" customWidth="1"/>
    <col min="5637" max="5637" width="68.36328125" style="52" customWidth="1"/>
    <col min="5638" max="5638" width="13.453125" style="52" customWidth="1"/>
    <col min="5639" max="5639" width="6.6328125" style="52" customWidth="1"/>
    <col min="5640" max="5640" width="5.6328125" style="52" customWidth="1"/>
    <col min="5641" max="5641" width="10.6328125" style="52" customWidth="1"/>
    <col min="5642" max="5642" width="12.36328125" style="52" customWidth="1"/>
    <col min="5643" max="5890" width="10.6328125" style="52"/>
    <col min="5891" max="5891" width="45.1796875" style="52" customWidth="1"/>
    <col min="5892" max="5892" width="10.36328125" style="52" customWidth="1"/>
    <col min="5893" max="5893" width="68.36328125" style="52" customWidth="1"/>
    <col min="5894" max="5894" width="13.453125" style="52" customWidth="1"/>
    <col min="5895" max="5895" width="6.6328125" style="52" customWidth="1"/>
    <col min="5896" max="5896" width="5.6328125" style="52" customWidth="1"/>
    <col min="5897" max="5897" width="10.6328125" style="52" customWidth="1"/>
    <col min="5898" max="5898" width="12.36328125" style="52" customWidth="1"/>
    <col min="5899" max="6146" width="10.6328125" style="52"/>
    <col min="6147" max="6147" width="45.1796875" style="52" customWidth="1"/>
    <col min="6148" max="6148" width="10.36328125" style="52" customWidth="1"/>
    <col min="6149" max="6149" width="68.36328125" style="52" customWidth="1"/>
    <col min="6150" max="6150" width="13.453125" style="52" customWidth="1"/>
    <col min="6151" max="6151" width="6.6328125" style="52" customWidth="1"/>
    <col min="6152" max="6152" width="5.6328125" style="52" customWidth="1"/>
    <col min="6153" max="6153" width="10.6328125" style="52" customWidth="1"/>
    <col min="6154" max="6154" width="12.36328125" style="52" customWidth="1"/>
    <col min="6155" max="6402" width="10.6328125" style="52"/>
    <col min="6403" max="6403" width="45.1796875" style="52" customWidth="1"/>
    <col min="6404" max="6404" width="10.36328125" style="52" customWidth="1"/>
    <col min="6405" max="6405" width="68.36328125" style="52" customWidth="1"/>
    <col min="6406" max="6406" width="13.453125" style="52" customWidth="1"/>
    <col min="6407" max="6407" width="6.6328125" style="52" customWidth="1"/>
    <col min="6408" max="6408" width="5.6328125" style="52" customWidth="1"/>
    <col min="6409" max="6409" width="10.6328125" style="52" customWidth="1"/>
    <col min="6410" max="6410" width="12.36328125" style="52" customWidth="1"/>
    <col min="6411" max="6658" width="10.6328125" style="52"/>
    <col min="6659" max="6659" width="45.1796875" style="52" customWidth="1"/>
    <col min="6660" max="6660" width="10.36328125" style="52" customWidth="1"/>
    <col min="6661" max="6661" width="68.36328125" style="52" customWidth="1"/>
    <col min="6662" max="6662" width="13.453125" style="52" customWidth="1"/>
    <col min="6663" max="6663" width="6.6328125" style="52" customWidth="1"/>
    <col min="6664" max="6664" width="5.6328125" style="52" customWidth="1"/>
    <col min="6665" max="6665" width="10.6328125" style="52" customWidth="1"/>
    <col min="6666" max="6666" width="12.36328125" style="52" customWidth="1"/>
    <col min="6667" max="6914" width="10.6328125" style="52"/>
    <col min="6915" max="6915" width="45.1796875" style="52" customWidth="1"/>
    <col min="6916" max="6916" width="10.36328125" style="52" customWidth="1"/>
    <col min="6917" max="6917" width="68.36328125" style="52" customWidth="1"/>
    <col min="6918" max="6918" width="13.453125" style="52" customWidth="1"/>
    <col min="6919" max="6919" width="6.6328125" style="52" customWidth="1"/>
    <col min="6920" max="6920" width="5.6328125" style="52" customWidth="1"/>
    <col min="6921" max="6921" width="10.6328125" style="52" customWidth="1"/>
    <col min="6922" max="6922" width="12.36328125" style="52" customWidth="1"/>
    <col min="6923" max="7170" width="10.6328125" style="52"/>
    <col min="7171" max="7171" width="45.1796875" style="52" customWidth="1"/>
    <col min="7172" max="7172" width="10.36328125" style="52" customWidth="1"/>
    <col min="7173" max="7173" width="68.36328125" style="52" customWidth="1"/>
    <col min="7174" max="7174" width="13.453125" style="52" customWidth="1"/>
    <col min="7175" max="7175" width="6.6328125" style="52" customWidth="1"/>
    <col min="7176" max="7176" width="5.6328125" style="52" customWidth="1"/>
    <col min="7177" max="7177" width="10.6328125" style="52" customWidth="1"/>
    <col min="7178" max="7178" width="12.36328125" style="52" customWidth="1"/>
    <col min="7179" max="7426" width="10.6328125" style="52"/>
    <col min="7427" max="7427" width="45.1796875" style="52" customWidth="1"/>
    <col min="7428" max="7428" width="10.36328125" style="52" customWidth="1"/>
    <col min="7429" max="7429" width="68.36328125" style="52" customWidth="1"/>
    <col min="7430" max="7430" width="13.453125" style="52" customWidth="1"/>
    <col min="7431" max="7431" width="6.6328125" style="52" customWidth="1"/>
    <col min="7432" max="7432" width="5.6328125" style="52" customWidth="1"/>
    <col min="7433" max="7433" width="10.6328125" style="52" customWidth="1"/>
    <col min="7434" max="7434" width="12.36328125" style="52" customWidth="1"/>
    <col min="7435" max="7682" width="10.6328125" style="52"/>
    <col min="7683" max="7683" width="45.1796875" style="52" customWidth="1"/>
    <col min="7684" max="7684" width="10.36328125" style="52" customWidth="1"/>
    <col min="7685" max="7685" width="68.36328125" style="52" customWidth="1"/>
    <col min="7686" max="7686" width="13.453125" style="52" customWidth="1"/>
    <col min="7687" max="7687" width="6.6328125" style="52" customWidth="1"/>
    <col min="7688" max="7688" width="5.6328125" style="52" customWidth="1"/>
    <col min="7689" max="7689" width="10.6328125" style="52" customWidth="1"/>
    <col min="7690" max="7690" width="12.36328125" style="52" customWidth="1"/>
    <col min="7691" max="7938" width="10.6328125" style="52"/>
    <col min="7939" max="7939" width="45.1796875" style="52" customWidth="1"/>
    <col min="7940" max="7940" width="10.36328125" style="52" customWidth="1"/>
    <col min="7941" max="7941" width="68.36328125" style="52" customWidth="1"/>
    <col min="7942" max="7942" width="13.453125" style="52" customWidth="1"/>
    <col min="7943" max="7943" width="6.6328125" style="52" customWidth="1"/>
    <col min="7944" max="7944" width="5.6328125" style="52" customWidth="1"/>
    <col min="7945" max="7945" width="10.6328125" style="52" customWidth="1"/>
    <col min="7946" max="7946" width="12.36328125" style="52" customWidth="1"/>
    <col min="7947" max="8194" width="10.6328125" style="52"/>
    <col min="8195" max="8195" width="45.1796875" style="52" customWidth="1"/>
    <col min="8196" max="8196" width="10.36328125" style="52" customWidth="1"/>
    <col min="8197" max="8197" width="68.36328125" style="52" customWidth="1"/>
    <col min="8198" max="8198" width="13.453125" style="52" customWidth="1"/>
    <col min="8199" max="8199" width="6.6328125" style="52" customWidth="1"/>
    <col min="8200" max="8200" width="5.6328125" style="52" customWidth="1"/>
    <col min="8201" max="8201" width="10.6328125" style="52" customWidth="1"/>
    <col min="8202" max="8202" width="12.36328125" style="52" customWidth="1"/>
    <col min="8203" max="8450" width="10.6328125" style="52"/>
    <col min="8451" max="8451" width="45.1796875" style="52" customWidth="1"/>
    <col min="8452" max="8452" width="10.36328125" style="52" customWidth="1"/>
    <col min="8453" max="8453" width="68.36328125" style="52" customWidth="1"/>
    <col min="8454" max="8454" width="13.453125" style="52" customWidth="1"/>
    <col min="8455" max="8455" width="6.6328125" style="52" customWidth="1"/>
    <col min="8456" max="8456" width="5.6328125" style="52" customWidth="1"/>
    <col min="8457" max="8457" width="10.6328125" style="52" customWidth="1"/>
    <col min="8458" max="8458" width="12.36328125" style="52" customWidth="1"/>
    <col min="8459" max="8706" width="10.6328125" style="52"/>
    <col min="8707" max="8707" width="45.1796875" style="52" customWidth="1"/>
    <col min="8708" max="8708" width="10.36328125" style="52" customWidth="1"/>
    <col min="8709" max="8709" width="68.36328125" style="52" customWidth="1"/>
    <col min="8710" max="8710" width="13.453125" style="52" customWidth="1"/>
    <col min="8711" max="8711" width="6.6328125" style="52" customWidth="1"/>
    <col min="8712" max="8712" width="5.6328125" style="52" customWidth="1"/>
    <col min="8713" max="8713" width="10.6328125" style="52" customWidth="1"/>
    <col min="8714" max="8714" width="12.36328125" style="52" customWidth="1"/>
    <col min="8715" max="8962" width="10.6328125" style="52"/>
    <col min="8963" max="8963" width="45.1796875" style="52" customWidth="1"/>
    <col min="8964" max="8964" width="10.36328125" style="52" customWidth="1"/>
    <col min="8965" max="8965" width="68.36328125" style="52" customWidth="1"/>
    <col min="8966" max="8966" width="13.453125" style="52" customWidth="1"/>
    <col min="8967" max="8967" width="6.6328125" style="52" customWidth="1"/>
    <col min="8968" max="8968" width="5.6328125" style="52" customWidth="1"/>
    <col min="8969" max="8969" width="10.6328125" style="52" customWidth="1"/>
    <col min="8970" max="8970" width="12.36328125" style="52" customWidth="1"/>
    <col min="8971" max="9218" width="10.6328125" style="52"/>
    <col min="9219" max="9219" width="45.1796875" style="52" customWidth="1"/>
    <col min="9220" max="9220" width="10.36328125" style="52" customWidth="1"/>
    <col min="9221" max="9221" width="68.36328125" style="52" customWidth="1"/>
    <col min="9222" max="9222" width="13.453125" style="52" customWidth="1"/>
    <col min="9223" max="9223" width="6.6328125" style="52" customWidth="1"/>
    <col min="9224" max="9224" width="5.6328125" style="52" customWidth="1"/>
    <col min="9225" max="9225" width="10.6328125" style="52" customWidth="1"/>
    <col min="9226" max="9226" width="12.36328125" style="52" customWidth="1"/>
    <col min="9227" max="9474" width="10.6328125" style="52"/>
    <col min="9475" max="9475" width="45.1796875" style="52" customWidth="1"/>
    <col min="9476" max="9476" width="10.36328125" style="52" customWidth="1"/>
    <col min="9477" max="9477" width="68.36328125" style="52" customWidth="1"/>
    <col min="9478" max="9478" width="13.453125" style="52" customWidth="1"/>
    <col min="9479" max="9479" width="6.6328125" style="52" customWidth="1"/>
    <col min="9480" max="9480" width="5.6328125" style="52" customWidth="1"/>
    <col min="9481" max="9481" width="10.6328125" style="52" customWidth="1"/>
    <col min="9482" max="9482" width="12.36328125" style="52" customWidth="1"/>
    <col min="9483" max="9730" width="10.6328125" style="52"/>
    <col min="9731" max="9731" width="45.1796875" style="52" customWidth="1"/>
    <col min="9732" max="9732" width="10.36328125" style="52" customWidth="1"/>
    <col min="9733" max="9733" width="68.36328125" style="52" customWidth="1"/>
    <col min="9734" max="9734" width="13.453125" style="52" customWidth="1"/>
    <col min="9735" max="9735" width="6.6328125" style="52" customWidth="1"/>
    <col min="9736" max="9736" width="5.6328125" style="52" customWidth="1"/>
    <col min="9737" max="9737" width="10.6328125" style="52" customWidth="1"/>
    <col min="9738" max="9738" width="12.36328125" style="52" customWidth="1"/>
    <col min="9739" max="9986" width="10.6328125" style="52"/>
    <col min="9987" max="9987" width="45.1796875" style="52" customWidth="1"/>
    <col min="9988" max="9988" width="10.36328125" style="52" customWidth="1"/>
    <col min="9989" max="9989" width="68.36328125" style="52" customWidth="1"/>
    <col min="9990" max="9990" width="13.453125" style="52" customWidth="1"/>
    <col min="9991" max="9991" width="6.6328125" style="52" customWidth="1"/>
    <col min="9992" max="9992" width="5.6328125" style="52" customWidth="1"/>
    <col min="9993" max="9993" width="10.6328125" style="52" customWidth="1"/>
    <col min="9994" max="9994" width="12.36328125" style="52" customWidth="1"/>
    <col min="9995" max="10242" width="10.6328125" style="52"/>
    <col min="10243" max="10243" width="45.1796875" style="52" customWidth="1"/>
    <col min="10244" max="10244" width="10.36328125" style="52" customWidth="1"/>
    <col min="10245" max="10245" width="68.36328125" style="52" customWidth="1"/>
    <col min="10246" max="10246" width="13.453125" style="52" customWidth="1"/>
    <col min="10247" max="10247" width="6.6328125" style="52" customWidth="1"/>
    <col min="10248" max="10248" width="5.6328125" style="52" customWidth="1"/>
    <col min="10249" max="10249" width="10.6328125" style="52" customWidth="1"/>
    <col min="10250" max="10250" width="12.36328125" style="52" customWidth="1"/>
    <col min="10251" max="10498" width="10.6328125" style="52"/>
    <col min="10499" max="10499" width="45.1796875" style="52" customWidth="1"/>
    <col min="10500" max="10500" width="10.36328125" style="52" customWidth="1"/>
    <col min="10501" max="10501" width="68.36328125" style="52" customWidth="1"/>
    <col min="10502" max="10502" width="13.453125" style="52" customWidth="1"/>
    <col min="10503" max="10503" width="6.6328125" style="52" customWidth="1"/>
    <col min="10504" max="10504" width="5.6328125" style="52" customWidth="1"/>
    <col min="10505" max="10505" width="10.6328125" style="52" customWidth="1"/>
    <col min="10506" max="10506" width="12.36328125" style="52" customWidth="1"/>
    <col min="10507" max="10754" width="10.6328125" style="52"/>
    <col min="10755" max="10755" width="45.1796875" style="52" customWidth="1"/>
    <col min="10756" max="10756" width="10.36328125" style="52" customWidth="1"/>
    <col min="10757" max="10757" width="68.36328125" style="52" customWidth="1"/>
    <col min="10758" max="10758" width="13.453125" style="52" customWidth="1"/>
    <col min="10759" max="10759" width="6.6328125" style="52" customWidth="1"/>
    <col min="10760" max="10760" width="5.6328125" style="52" customWidth="1"/>
    <col min="10761" max="10761" width="10.6328125" style="52" customWidth="1"/>
    <col min="10762" max="10762" width="12.36328125" style="52" customWidth="1"/>
    <col min="10763" max="11010" width="10.6328125" style="52"/>
    <col min="11011" max="11011" width="45.1796875" style="52" customWidth="1"/>
    <col min="11012" max="11012" width="10.36328125" style="52" customWidth="1"/>
    <col min="11013" max="11013" width="68.36328125" style="52" customWidth="1"/>
    <col min="11014" max="11014" width="13.453125" style="52" customWidth="1"/>
    <col min="11015" max="11015" width="6.6328125" style="52" customWidth="1"/>
    <col min="11016" max="11016" width="5.6328125" style="52" customWidth="1"/>
    <col min="11017" max="11017" width="10.6328125" style="52" customWidth="1"/>
    <col min="11018" max="11018" width="12.36328125" style="52" customWidth="1"/>
    <col min="11019" max="11266" width="10.6328125" style="52"/>
    <col min="11267" max="11267" width="45.1796875" style="52" customWidth="1"/>
    <col min="11268" max="11268" width="10.36328125" style="52" customWidth="1"/>
    <col min="11269" max="11269" width="68.36328125" style="52" customWidth="1"/>
    <col min="11270" max="11270" width="13.453125" style="52" customWidth="1"/>
    <col min="11271" max="11271" width="6.6328125" style="52" customWidth="1"/>
    <col min="11272" max="11272" width="5.6328125" style="52" customWidth="1"/>
    <col min="11273" max="11273" width="10.6328125" style="52" customWidth="1"/>
    <col min="11274" max="11274" width="12.36328125" style="52" customWidth="1"/>
    <col min="11275" max="11522" width="10.6328125" style="52"/>
    <col min="11523" max="11523" width="45.1796875" style="52" customWidth="1"/>
    <col min="11524" max="11524" width="10.36328125" style="52" customWidth="1"/>
    <col min="11525" max="11525" width="68.36328125" style="52" customWidth="1"/>
    <col min="11526" max="11526" width="13.453125" style="52" customWidth="1"/>
    <col min="11527" max="11527" width="6.6328125" style="52" customWidth="1"/>
    <col min="11528" max="11528" width="5.6328125" style="52" customWidth="1"/>
    <col min="11529" max="11529" width="10.6328125" style="52" customWidth="1"/>
    <col min="11530" max="11530" width="12.36328125" style="52" customWidth="1"/>
    <col min="11531" max="11778" width="10.6328125" style="52"/>
    <col min="11779" max="11779" width="45.1796875" style="52" customWidth="1"/>
    <col min="11780" max="11780" width="10.36328125" style="52" customWidth="1"/>
    <col min="11781" max="11781" width="68.36328125" style="52" customWidth="1"/>
    <col min="11782" max="11782" width="13.453125" style="52" customWidth="1"/>
    <col min="11783" max="11783" width="6.6328125" style="52" customWidth="1"/>
    <col min="11784" max="11784" width="5.6328125" style="52" customWidth="1"/>
    <col min="11785" max="11785" width="10.6328125" style="52" customWidth="1"/>
    <col min="11786" max="11786" width="12.36328125" style="52" customWidth="1"/>
    <col min="11787" max="12034" width="10.6328125" style="52"/>
    <col min="12035" max="12035" width="45.1796875" style="52" customWidth="1"/>
    <col min="12036" max="12036" width="10.36328125" style="52" customWidth="1"/>
    <col min="12037" max="12037" width="68.36328125" style="52" customWidth="1"/>
    <col min="12038" max="12038" width="13.453125" style="52" customWidth="1"/>
    <col min="12039" max="12039" width="6.6328125" style="52" customWidth="1"/>
    <col min="12040" max="12040" width="5.6328125" style="52" customWidth="1"/>
    <col min="12041" max="12041" width="10.6328125" style="52" customWidth="1"/>
    <col min="12042" max="12042" width="12.36328125" style="52" customWidth="1"/>
    <col min="12043" max="12290" width="10.6328125" style="52"/>
    <col min="12291" max="12291" width="45.1796875" style="52" customWidth="1"/>
    <col min="12292" max="12292" width="10.36328125" style="52" customWidth="1"/>
    <col min="12293" max="12293" width="68.36328125" style="52" customWidth="1"/>
    <col min="12294" max="12294" width="13.453125" style="52" customWidth="1"/>
    <col min="12295" max="12295" width="6.6328125" style="52" customWidth="1"/>
    <col min="12296" max="12296" width="5.6328125" style="52" customWidth="1"/>
    <col min="12297" max="12297" width="10.6328125" style="52" customWidth="1"/>
    <col min="12298" max="12298" width="12.36328125" style="52" customWidth="1"/>
    <col min="12299" max="12546" width="10.6328125" style="52"/>
    <col min="12547" max="12547" width="45.1796875" style="52" customWidth="1"/>
    <col min="12548" max="12548" width="10.36328125" style="52" customWidth="1"/>
    <col min="12549" max="12549" width="68.36328125" style="52" customWidth="1"/>
    <col min="12550" max="12550" width="13.453125" style="52" customWidth="1"/>
    <col min="12551" max="12551" width="6.6328125" style="52" customWidth="1"/>
    <col min="12552" max="12552" width="5.6328125" style="52" customWidth="1"/>
    <col min="12553" max="12553" width="10.6328125" style="52" customWidth="1"/>
    <col min="12554" max="12554" width="12.36328125" style="52" customWidth="1"/>
    <col min="12555" max="12802" width="10.6328125" style="52"/>
    <col min="12803" max="12803" width="45.1796875" style="52" customWidth="1"/>
    <col min="12804" max="12804" width="10.36328125" style="52" customWidth="1"/>
    <col min="12805" max="12805" width="68.36328125" style="52" customWidth="1"/>
    <col min="12806" max="12806" width="13.453125" style="52" customWidth="1"/>
    <col min="12807" max="12807" width="6.6328125" style="52" customWidth="1"/>
    <col min="12808" max="12808" width="5.6328125" style="52" customWidth="1"/>
    <col min="12809" max="12809" width="10.6328125" style="52" customWidth="1"/>
    <col min="12810" max="12810" width="12.36328125" style="52" customWidth="1"/>
    <col min="12811" max="13058" width="10.6328125" style="52"/>
    <col min="13059" max="13059" width="45.1796875" style="52" customWidth="1"/>
    <col min="13060" max="13060" width="10.36328125" style="52" customWidth="1"/>
    <col min="13061" max="13061" width="68.36328125" style="52" customWidth="1"/>
    <col min="13062" max="13062" width="13.453125" style="52" customWidth="1"/>
    <col min="13063" max="13063" width="6.6328125" style="52" customWidth="1"/>
    <col min="13064" max="13064" width="5.6328125" style="52" customWidth="1"/>
    <col min="13065" max="13065" width="10.6328125" style="52" customWidth="1"/>
    <col min="13066" max="13066" width="12.36328125" style="52" customWidth="1"/>
    <col min="13067" max="13314" width="10.6328125" style="52"/>
    <col min="13315" max="13315" width="45.1796875" style="52" customWidth="1"/>
    <col min="13316" max="13316" width="10.36328125" style="52" customWidth="1"/>
    <col min="13317" max="13317" width="68.36328125" style="52" customWidth="1"/>
    <col min="13318" max="13318" width="13.453125" style="52" customWidth="1"/>
    <col min="13319" max="13319" width="6.6328125" style="52" customWidth="1"/>
    <col min="13320" max="13320" width="5.6328125" style="52" customWidth="1"/>
    <col min="13321" max="13321" width="10.6328125" style="52" customWidth="1"/>
    <col min="13322" max="13322" width="12.36328125" style="52" customWidth="1"/>
    <col min="13323" max="13570" width="10.6328125" style="52"/>
    <col min="13571" max="13571" width="45.1796875" style="52" customWidth="1"/>
    <col min="13572" max="13572" width="10.36328125" style="52" customWidth="1"/>
    <col min="13573" max="13573" width="68.36328125" style="52" customWidth="1"/>
    <col min="13574" max="13574" width="13.453125" style="52" customWidth="1"/>
    <col min="13575" max="13575" width="6.6328125" style="52" customWidth="1"/>
    <col min="13576" max="13576" width="5.6328125" style="52" customWidth="1"/>
    <col min="13577" max="13577" width="10.6328125" style="52" customWidth="1"/>
    <col min="13578" max="13578" width="12.36328125" style="52" customWidth="1"/>
    <col min="13579" max="13826" width="10.6328125" style="52"/>
    <col min="13827" max="13827" width="45.1796875" style="52" customWidth="1"/>
    <col min="13828" max="13828" width="10.36328125" style="52" customWidth="1"/>
    <col min="13829" max="13829" width="68.36328125" style="52" customWidth="1"/>
    <col min="13830" max="13830" width="13.453125" style="52" customWidth="1"/>
    <col min="13831" max="13831" width="6.6328125" style="52" customWidth="1"/>
    <col min="13832" max="13832" width="5.6328125" style="52" customWidth="1"/>
    <col min="13833" max="13833" width="10.6328125" style="52" customWidth="1"/>
    <col min="13834" max="13834" width="12.36328125" style="52" customWidth="1"/>
    <col min="13835" max="14082" width="10.6328125" style="52"/>
    <col min="14083" max="14083" width="45.1796875" style="52" customWidth="1"/>
    <col min="14084" max="14084" width="10.36328125" style="52" customWidth="1"/>
    <col min="14085" max="14085" width="68.36328125" style="52" customWidth="1"/>
    <col min="14086" max="14086" width="13.453125" style="52" customWidth="1"/>
    <col min="14087" max="14087" width="6.6328125" style="52" customWidth="1"/>
    <col min="14088" max="14088" width="5.6328125" style="52" customWidth="1"/>
    <col min="14089" max="14089" width="10.6328125" style="52" customWidth="1"/>
    <col min="14090" max="14090" width="12.36328125" style="52" customWidth="1"/>
    <col min="14091" max="14338" width="10.6328125" style="52"/>
    <col min="14339" max="14339" width="45.1796875" style="52" customWidth="1"/>
    <col min="14340" max="14340" width="10.36328125" style="52" customWidth="1"/>
    <col min="14341" max="14341" width="68.36328125" style="52" customWidth="1"/>
    <col min="14342" max="14342" width="13.453125" style="52" customWidth="1"/>
    <col min="14343" max="14343" width="6.6328125" style="52" customWidth="1"/>
    <col min="14344" max="14344" width="5.6328125" style="52" customWidth="1"/>
    <col min="14345" max="14345" width="10.6328125" style="52" customWidth="1"/>
    <col min="14346" max="14346" width="12.36328125" style="52" customWidth="1"/>
    <col min="14347" max="14594" width="10.6328125" style="52"/>
    <col min="14595" max="14595" width="45.1796875" style="52" customWidth="1"/>
    <col min="14596" max="14596" width="10.36328125" style="52" customWidth="1"/>
    <col min="14597" max="14597" width="68.36328125" style="52" customWidth="1"/>
    <col min="14598" max="14598" width="13.453125" style="52" customWidth="1"/>
    <col min="14599" max="14599" width="6.6328125" style="52" customWidth="1"/>
    <col min="14600" max="14600" width="5.6328125" style="52" customWidth="1"/>
    <col min="14601" max="14601" width="10.6328125" style="52" customWidth="1"/>
    <col min="14602" max="14602" width="12.36328125" style="52" customWidth="1"/>
    <col min="14603" max="14850" width="10.6328125" style="52"/>
    <col min="14851" max="14851" width="45.1796875" style="52" customWidth="1"/>
    <col min="14852" max="14852" width="10.36328125" style="52" customWidth="1"/>
    <col min="14853" max="14853" width="68.36328125" style="52" customWidth="1"/>
    <col min="14854" max="14854" width="13.453125" style="52" customWidth="1"/>
    <col min="14855" max="14855" width="6.6328125" style="52" customWidth="1"/>
    <col min="14856" max="14856" width="5.6328125" style="52" customWidth="1"/>
    <col min="14857" max="14857" width="10.6328125" style="52" customWidth="1"/>
    <col min="14858" max="14858" width="12.36328125" style="52" customWidth="1"/>
    <col min="14859" max="15106" width="10.6328125" style="52"/>
    <col min="15107" max="15107" width="45.1796875" style="52" customWidth="1"/>
    <col min="15108" max="15108" width="10.36328125" style="52" customWidth="1"/>
    <col min="15109" max="15109" width="68.36328125" style="52" customWidth="1"/>
    <col min="15110" max="15110" width="13.453125" style="52" customWidth="1"/>
    <col min="15111" max="15111" width="6.6328125" style="52" customWidth="1"/>
    <col min="15112" max="15112" width="5.6328125" style="52" customWidth="1"/>
    <col min="15113" max="15113" width="10.6328125" style="52" customWidth="1"/>
    <col min="15114" max="15114" width="12.36328125" style="52" customWidth="1"/>
    <col min="15115" max="15362" width="10.6328125" style="52"/>
    <col min="15363" max="15363" width="45.1796875" style="52" customWidth="1"/>
    <col min="15364" max="15364" width="10.36328125" style="52" customWidth="1"/>
    <col min="15365" max="15365" width="68.36328125" style="52" customWidth="1"/>
    <col min="15366" max="15366" width="13.453125" style="52" customWidth="1"/>
    <col min="15367" max="15367" width="6.6328125" style="52" customWidth="1"/>
    <col min="15368" max="15368" width="5.6328125" style="52" customWidth="1"/>
    <col min="15369" max="15369" width="10.6328125" style="52" customWidth="1"/>
    <col min="15370" max="15370" width="12.36328125" style="52" customWidth="1"/>
    <col min="15371" max="15618" width="10.6328125" style="52"/>
    <col min="15619" max="15619" width="45.1796875" style="52" customWidth="1"/>
    <col min="15620" max="15620" width="10.36328125" style="52" customWidth="1"/>
    <col min="15621" max="15621" width="68.36328125" style="52" customWidth="1"/>
    <col min="15622" max="15622" width="13.453125" style="52" customWidth="1"/>
    <col min="15623" max="15623" width="6.6328125" style="52" customWidth="1"/>
    <col min="15624" max="15624" width="5.6328125" style="52" customWidth="1"/>
    <col min="15625" max="15625" width="10.6328125" style="52" customWidth="1"/>
    <col min="15626" max="15626" width="12.36328125" style="52" customWidth="1"/>
    <col min="15627" max="15874" width="10.6328125" style="52"/>
    <col min="15875" max="15875" width="45.1796875" style="52" customWidth="1"/>
    <col min="15876" max="15876" width="10.36328125" style="52" customWidth="1"/>
    <col min="15877" max="15877" width="68.36328125" style="52" customWidth="1"/>
    <col min="15878" max="15878" width="13.453125" style="52" customWidth="1"/>
    <col min="15879" max="15879" width="6.6328125" style="52" customWidth="1"/>
    <col min="15880" max="15880" width="5.6328125" style="52" customWidth="1"/>
    <col min="15881" max="15881" width="10.6328125" style="52" customWidth="1"/>
    <col min="15882" max="15882" width="12.36328125" style="52" customWidth="1"/>
    <col min="15883" max="16130" width="10.6328125" style="52"/>
    <col min="16131" max="16131" width="45.1796875" style="52" customWidth="1"/>
    <col min="16132" max="16132" width="10.36328125" style="52" customWidth="1"/>
    <col min="16133" max="16133" width="68.36328125" style="52" customWidth="1"/>
    <col min="16134" max="16134" width="13.453125" style="52" customWidth="1"/>
    <col min="16135" max="16135" width="6.6328125" style="52" customWidth="1"/>
    <col min="16136" max="16136" width="5.6328125" style="52" customWidth="1"/>
    <col min="16137" max="16137" width="10.6328125" style="52" customWidth="1"/>
    <col min="16138" max="16138" width="12.36328125" style="52" customWidth="1"/>
    <col min="16139" max="16384" width="10.6328125" style="52"/>
  </cols>
  <sheetData>
    <row r="3" spans="1:45" ht="35.5">
      <c r="A3" s="128" t="s">
        <v>0</v>
      </c>
      <c r="B3" s="131" t="s">
        <v>1</v>
      </c>
      <c r="C3" s="129"/>
    </row>
    <row r="4" spans="1:45" ht="31.5" customHeight="1">
      <c r="A4" s="1352">
        <f ca="1">TODAY()</f>
        <v>46181</v>
      </c>
      <c r="B4" s="1352"/>
      <c r="C4" s="129"/>
    </row>
    <row r="5" spans="1:45">
      <c r="A5" s="129"/>
      <c r="B5" s="130"/>
      <c r="C5" s="129"/>
    </row>
    <row r="6" spans="1:45">
      <c r="A6" s="129"/>
      <c r="B6" s="130"/>
      <c r="C6" s="129"/>
    </row>
    <row r="7" spans="1:45" ht="36.75" customHeight="1">
      <c r="A7" s="128" t="s">
        <v>2</v>
      </c>
      <c r="B7" s="1349"/>
      <c r="C7" s="1349"/>
    </row>
    <row r="8" spans="1:45" s="75" customFormat="1" ht="24.75" customHeight="1">
      <c r="A8" s="241" t="s">
        <v>3</v>
      </c>
      <c r="B8" s="1350"/>
      <c r="C8" s="1350"/>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51"/>
      <c r="C9" s="1350"/>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53"/>
      <c r="C10" s="1353"/>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50"/>
      <c r="C11" s="1350"/>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403"/>
      <c r="C12" s="1403"/>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92"/>
      <c r="B16" s="1393"/>
      <c r="C16" s="1393"/>
      <c r="D16" s="1393"/>
      <c r="E16" s="1393"/>
      <c r="F16" s="1393"/>
      <c r="G16" s="1393"/>
      <c r="H16" s="1393"/>
      <c r="I16" s="1393"/>
      <c r="J16" s="1394"/>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408" customHeight="1" thickBot="1">
      <c r="A17" s="1275"/>
      <c r="B17" s="252"/>
      <c r="C17" s="253"/>
      <c r="D17" s="254"/>
      <c r="E17" s="255">
        <v>0</v>
      </c>
      <c r="F17" s="256"/>
      <c r="G17" s="829">
        <v>0</v>
      </c>
      <c r="H17" s="1132">
        <f t="shared" ref="H17:H20" si="0">F17*G17</f>
        <v>0</v>
      </c>
      <c r="I17" s="830">
        <f>F17-H17</f>
        <v>0</v>
      </c>
      <c r="J17" s="831">
        <f>E17*I17</f>
        <v>0</v>
      </c>
      <c r="K17" s="113"/>
      <c r="L17" s="89">
        <f>1400/5</f>
        <v>280</v>
      </c>
      <c r="M17" s="113"/>
      <c r="N17" s="113"/>
      <c r="O17" s="832">
        <v>483441.6</v>
      </c>
      <c r="P17" s="833">
        <f>O17*3%</f>
        <v>14503.248</v>
      </c>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07" customHeight="1" thickTop="1">
      <c r="A18" s="1275"/>
      <c r="B18" s="259"/>
      <c r="C18" s="253"/>
      <c r="D18" s="254"/>
      <c r="E18" s="255"/>
      <c r="F18" s="256"/>
      <c r="G18" s="829">
        <v>0</v>
      </c>
      <c r="H18" s="1131">
        <f t="shared" si="0"/>
        <v>0</v>
      </c>
      <c r="I18" s="830">
        <f t="shared" ref="I18:I20" si="1">F18-H18</f>
        <v>0</v>
      </c>
      <c r="J18" s="831">
        <f t="shared" ref="J18:J20" si="2">E18*I18</f>
        <v>0</v>
      </c>
      <c r="K18" s="113"/>
      <c r="L18" s="89"/>
      <c r="M18" s="113"/>
      <c r="N18" s="113"/>
      <c r="O18" s="113"/>
      <c r="P18" s="834">
        <v>19774</v>
      </c>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272.25" customHeight="1">
      <c r="A19" s="1275"/>
      <c r="B19" s="252"/>
      <c r="C19" s="253"/>
      <c r="D19" s="254"/>
      <c r="E19" s="255"/>
      <c r="F19" s="256"/>
      <c r="G19" s="829">
        <v>0</v>
      </c>
      <c r="H19" s="1131">
        <f t="shared" si="0"/>
        <v>0</v>
      </c>
      <c r="I19" s="830">
        <f t="shared" si="1"/>
        <v>0</v>
      </c>
      <c r="J19" s="831">
        <f t="shared" si="2"/>
        <v>0</v>
      </c>
      <c r="K19" s="113"/>
      <c r="L19" s="89"/>
      <c r="M19" s="113"/>
      <c r="N19" s="113"/>
      <c r="O19" s="113"/>
      <c r="P19" s="834">
        <f>SUM(P17:P18)</f>
        <v>34277.248</v>
      </c>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s="258" customFormat="1" ht="307" customHeight="1">
      <c r="A20" s="1275"/>
      <c r="B20" s="252"/>
      <c r="C20" s="253"/>
      <c r="D20" s="254"/>
      <c r="E20" s="255"/>
      <c r="F20" s="256"/>
      <c r="G20" s="829">
        <v>0</v>
      </c>
      <c r="H20" s="1131">
        <f t="shared" si="0"/>
        <v>0</v>
      </c>
      <c r="I20" s="830">
        <f t="shared" si="1"/>
        <v>0</v>
      </c>
      <c r="J20" s="831">
        <f t="shared" si="2"/>
        <v>0</v>
      </c>
      <c r="K20" s="113"/>
      <c r="L20" s="89"/>
      <c r="M20" s="113"/>
      <c r="N20" s="113"/>
      <c r="O20" s="113"/>
      <c r="P20" s="834"/>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row>
    <row r="21" spans="1:53" ht="26.25" customHeight="1">
      <c r="C21" s="72"/>
      <c r="D21" s="1395" t="s">
        <v>18</v>
      </c>
      <c r="E21" s="1396"/>
      <c r="F21" s="1396"/>
      <c r="G21" s="1396"/>
      <c r="H21" s="1397" cm="1">
        <f t="array" ref="H21">SUM(IFERROR(J17:J20,0))</f>
        <v>0</v>
      </c>
      <c r="I21" s="1397"/>
      <c r="J21" s="1398"/>
      <c r="K21" s="90"/>
      <c r="L21" s="91"/>
      <c r="M21" s="90"/>
      <c r="N21" s="90"/>
      <c r="O21" s="90"/>
    </row>
    <row r="22" spans="1:53" ht="26.25" customHeight="1">
      <c r="C22" s="72"/>
      <c r="D22" s="1399" t="s">
        <v>19</v>
      </c>
      <c r="E22" s="1400"/>
      <c r="F22" s="1400"/>
      <c r="G22" s="1400"/>
      <c r="H22" s="1401">
        <f>H21*10%</f>
        <v>0</v>
      </c>
      <c r="I22" s="1401"/>
      <c r="J22" s="1402"/>
      <c r="K22" s="90"/>
      <c r="L22" s="91"/>
      <c r="M22" s="90"/>
      <c r="N22" s="90"/>
      <c r="O22" s="90"/>
      <c r="P22" s="835" t="e">
        <f>#REF!-P19</f>
        <v>#REF!</v>
      </c>
    </row>
    <row r="23" spans="1:53" ht="26.25" customHeight="1">
      <c r="C23" s="72"/>
      <c r="D23" s="1404" t="s">
        <v>18</v>
      </c>
      <c r="E23" s="1405"/>
      <c r="F23" s="1405"/>
      <c r="G23" s="1405"/>
      <c r="H23" s="1406">
        <f>H21+H22</f>
        <v>0</v>
      </c>
      <c r="I23" s="1406"/>
      <c r="J23" s="1407"/>
      <c r="K23" s="90"/>
      <c r="L23" s="91"/>
      <c r="M23" s="90"/>
      <c r="N23" s="90"/>
      <c r="O23" s="90"/>
    </row>
    <row r="24" spans="1:53" ht="26.25" customHeight="1">
      <c r="C24" s="72"/>
      <c r="D24" s="1404" t="s">
        <v>20</v>
      </c>
      <c r="E24" s="1405"/>
      <c r="F24" s="1405"/>
      <c r="G24" s="1405"/>
      <c r="H24" s="1406">
        <f>H23*16%</f>
        <v>0</v>
      </c>
      <c r="I24" s="1406"/>
      <c r="J24" s="1407"/>
      <c r="K24" s="90"/>
      <c r="L24" s="91"/>
      <c r="M24" s="90"/>
      <c r="N24" s="90"/>
      <c r="O24" s="90"/>
    </row>
    <row r="25" spans="1:53" ht="26.25" customHeight="1">
      <c r="C25" s="72"/>
      <c r="D25" s="1388" t="s">
        <v>21</v>
      </c>
      <c r="E25" s="1389"/>
      <c r="F25" s="1389"/>
      <c r="G25" s="1389"/>
      <c r="H25" s="1390">
        <f>H23+H24</f>
        <v>0</v>
      </c>
      <c r="I25" s="1390"/>
      <c r="J25" s="1391"/>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ht="26.25" customHeight="1">
      <c r="C28" s="72"/>
      <c r="D28" s="223"/>
      <c r="E28" s="73"/>
      <c r="F28" s="119"/>
      <c r="G28" s="228"/>
      <c r="H28" s="58"/>
      <c r="I28" s="59"/>
      <c r="J28" s="74"/>
      <c r="K28" s="90"/>
      <c r="L28" s="91"/>
      <c r="M28" s="90"/>
      <c r="N28" s="90"/>
      <c r="O28" s="90"/>
    </row>
    <row r="29" spans="1:53" s="110" customFormat="1" ht="41.25" customHeight="1">
      <c r="A29" s="1384" t="s">
        <v>22</v>
      </c>
      <c r="B29" s="1384"/>
      <c r="C29" s="1384"/>
      <c r="D29" s="1382" t="s">
        <v>23</v>
      </c>
      <c r="E29" s="1383"/>
      <c r="F29" s="1383"/>
      <c r="G29" s="1383"/>
      <c r="H29" s="1383"/>
      <c r="I29" s="1383"/>
      <c r="J29" s="1383"/>
      <c r="K29" s="109"/>
      <c r="L2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row>
    <row r="30" spans="1:53" ht="26.25" customHeight="1">
      <c r="B30" s="52"/>
      <c r="C30" s="52"/>
      <c r="D30" s="223"/>
      <c r="E30" s="73"/>
      <c r="F30" s="119"/>
      <c r="G30" s="228"/>
      <c r="H30" s="58"/>
      <c r="I30" s="59"/>
      <c r="J30" s="74"/>
      <c r="K30" s="90"/>
      <c r="L30" s="91"/>
      <c r="M30" s="90"/>
      <c r="N30" s="90"/>
      <c r="O30" s="90"/>
    </row>
    <row r="31" spans="1:53" ht="26.25" customHeight="1">
      <c r="A31" s="68"/>
      <c r="B31" s="67"/>
      <c r="C31" s="68"/>
      <c r="D31" s="224"/>
      <c r="E31" s="66"/>
      <c r="F31" s="120"/>
      <c r="G31" s="229"/>
      <c r="H31" s="69"/>
      <c r="I31" s="70"/>
      <c r="J31" s="66"/>
      <c r="K31" s="90"/>
      <c r="L31" s="91"/>
      <c r="M31" s="90"/>
      <c r="N31" s="90"/>
      <c r="O31" s="90"/>
    </row>
    <row r="32" spans="1:53" ht="26.25" customHeight="1">
      <c r="A32" s="1385" t="s">
        <v>24</v>
      </c>
      <c r="B32" s="1386"/>
      <c r="C32" s="1386"/>
      <c r="D32" s="1386"/>
      <c r="E32" s="1386"/>
      <c r="F32" s="1386"/>
      <c r="G32" s="1386"/>
      <c r="H32" s="1386"/>
      <c r="I32" s="1386"/>
      <c r="J32" s="1387"/>
      <c r="K32" s="90"/>
      <c r="L32" s="91"/>
      <c r="M32" s="90"/>
      <c r="N32" s="90"/>
      <c r="O32" s="90"/>
    </row>
    <row r="33" spans="1:45" ht="24.75" customHeight="1">
      <c r="A33" s="1373" t="s">
        <v>25</v>
      </c>
      <c r="B33" s="1374"/>
      <c r="C33" s="1374"/>
      <c r="D33" s="1374"/>
      <c r="E33" s="1374"/>
      <c r="F33" s="1374"/>
      <c r="G33" s="1374"/>
      <c r="H33" s="1374"/>
      <c r="I33" s="1374"/>
      <c r="J33" s="1375"/>
      <c r="K33" s="90"/>
      <c r="L33" s="91"/>
      <c r="M33" s="90"/>
      <c r="N33" s="90"/>
      <c r="O33" s="90"/>
    </row>
    <row r="34" spans="1:45" ht="24.75" customHeight="1">
      <c r="A34" s="1370" t="s">
        <v>26</v>
      </c>
      <c r="B34" s="1371"/>
      <c r="C34" s="1371"/>
      <c r="D34" s="1371"/>
      <c r="E34" s="1371"/>
      <c r="F34" s="1371"/>
      <c r="G34" s="1371"/>
      <c r="H34" s="1371"/>
      <c r="I34" s="1371"/>
      <c r="J34" s="1372"/>
    </row>
    <row r="35" spans="1:45" ht="55.5" customHeight="1">
      <c r="A35" s="1370" t="s">
        <v>27</v>
      </c>
      <c r="B35" s="1371"/>
      <c r="C35" s="1371"/>
      <c r="D35" s="1371"/>
      <c r="E35" s="1371"/>
      <c r="F35" s="1371"/>
      <c r="G35" s="1371"/>
      <c r="H35" s="1371"/>
      <c r="I35" s="1371"/>
      <c r="J35" s="1372"/>
    </row>
    <row r="36" spans="1:45" ht="74.5" customHeight="1">
      <c r="A36" s="1370" t="s">
        <v>28</v>
      </c>
      <c r="B36" s="1371"/>
      <c r="C36" s="1371"/>
      <c r="D36" s="1371"/>
      <c r="E36" s="1371"/>
      <c r="F36" s="1371"/>
      <c r="G36" s="1371"/>
      <c r="H36" s="1371"/>
      <c r="I36" s="1371"/>
      <c r="J36" s="1372"/>
    </row>
    <row r="37" spans="1:45" ht="24.75" customHeight="1">
      <c r="A37" s="1370" t="s">
        <v>29</v>
      </c>
      <c r="B37" s="1371"/>
      <c r="C37" s="1371"/>
      <c r="D37" s="1371"/>
      <c r="E37" s="1371"/>
      <c r="F37" s="1371"/>
      <c r="G37" s="1371"/>
      <c r="H37" s="1371"/>
      <c r="I37" s="1371"/>
      <c r="J37" s="1372"/>
    </row>
    <row r="38" spans="1:45" ht="24.75" customHeight="1">
      <c r="A38" s="1370" t="s">
        <v>30</v>
      </c>
      <c r="B38" s="1371"/>
      <c r="C38" s="1371"/>
      <c r="D38" s="1371"/>
      <c r="E38" s="1371"/>
      <c r="F38" s="1371"/>
      <c r="G38" s="1371"/>
      <c r="H38" s="1371"/>
      <c r="I38" s="1371"/>
      <c r="J38" s="1372"/>
    </row>
    <row r="39" spans="1:45" ht="73.5" customHeight="1">
      <c r="A39" s="1370" t="s">
        <v>31</v>
      </c>
      <c r="B39" s="1371"/>
      <c r="C39" s="1371"/>
      <c r="D39" s="1371"/>
      <c r="E39" s="1371"/>
      <c r="F39" s="1371"/>
      <c r="G39" s="1371"/>
      <c r="H39" s="1371"/>
      <c r="I39" s="1371"/>
      <c r="J39" s="1372"/>
      <c r="K39" s="123"/>
    </row>
    <row r="40" spans="1:45" ht="24.75" customHeight="1">
      <c r="A40" s="230"/>
      <c r="B40" s="231"/>
      <c r="C40" s="232"/>
      <c r="D40" s="233"/>
      <c r="E40" s="234"/>
      <c r="F40" s="235"/>
      <c r="G40" s="236"/>
      <c r="H40" s="237"/>
      <c r="I40" s="238"/>
      <c r="J40" s="234"/>
      <c r="K40" s="122"/>
      <c r="L40" s="60"/>
      <c r="M40" s="57"/>
      <c r="N40" s="96"/>
    </row>
    <row r="41" spans="1:45" s="60" customFormat="1" ht="24.75" customHeight="1">
      <c r="A41" s="1373" t="s">
        <v>32</v>
      </c>
      <c r="B41" s="1374"/>
      <c r="C41" s="1374"/>
      <c r="D41" s="1374"/>
      <c r="E41" s="1374"/>
      <c r="F41" s="1374"/>
      <c r="G41" s="1374"/>
      <c r="H41" s="1374"/>
      <c r="I41" s="1374"/>
      <c r="J41" s="1374"/>
      <c r="K41" s="121"/>
      <c r="L41" s="61"/>
      <c r="M41" s="59"/>
      <c r="N41" s="74"/>
      <c r="P41" s="104"/>
      <c r="Q41" s="104"/>
      <c r="R41" s="57"/>
      <c r="S41" s="96"/>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row>
    <row r="42" spans="1:45" s="61" customFormat="1" ht="24.75" customHeight="1">
      <c r="A42" s="1370" t="s">
        <v>33</v>
      </c>
      <c r="B42" s="1371"/>
      <c r="C42" s="1371"/>
      <c r="D42" s="1371"/>
      <c r="E42" s="1371"/>
      <c r="F42" s="1371"/>
      <c r="G42" s="1371"/>
      <c r="H42" s="1371"/>
      <c r="I42" s="1371"/>
      <c r="J42" s="1372"/>
      <c r="K42" s="62"/>
      <c r="L42" s="62"/>
      <c r="M42" s="59"/>
      <c r="N42" s="74"/>
      <c r="P42" s="105"/>
      <c r="Q42" s="105"/>
      <c r="R42" s="59"/>
      <c r="S42" s="74"/>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row>
    <row r="43" spans="1:45" s="62" customFormat="1" ht="54" customHeight="1">
      <c r="A43" s="1370" t="s">
        <v>34</v>
      </c>
      <c r="B43" s="1371"/>
      <c r="C43" s="1371"/>
      <c r="D43" s="1371"/>
      <c r="E43" s="1371"/>
      <c r="F43" s="1371"/>
      <c r="G43" s="1371"/>
      <c r="H43" s="1371"/>
      <c r="I43" s="1371"/>
      <c r="J43" s="1372"/>
      <c r="K43" s="63"/>
      <c r="L43" s="63"/>
      <c r="M43" s="59"/>
      <c r="N43" s="74"/>
      <c r="P43" s="106"/>
      <c r="Q43" s="106"/>
      <c r="R43" s="59"/>
      <c r="S43" s="74"/>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row>
    <row r="44" spans="1:45" s="63" customFormat="1" ht="24.75" customHeight="1">
      <c r="A44" s="1360" t="s">
        <v>35</v>
      </c>
      <c r="B44" s="1361"/>
      <c r="C44" s="1361"/>
      <c r="D44" s="1361"/>
      <c r="E44" s="1361"/>
      <c r="F44" s="1361"/>
      <c r="G44" s="1361"/>
      <c r="H44" s="1361"/>
      <c r="I44" s="1361"/>
      <c r="J44" s="1362"/>
      <c r="M44" s="84"/>
      <c r="N44" s="85"/>
      <c r="R44" s="59"/>
      <c r="S44" s="74"/>
    </row>
    <row r="45" spans="1:45" s="63" customFormat="1" ht="24.75" customHeight="1">
      <c r="A45" s="1360" t="s">
        <v>36</v>
      </c>
      <c r="B45" s="1361"/>
      <c r="C45" s="1361"/>
      <c r="D45" s="1361"/>
      <c r="E45" s="1361"/>
      <c r="F45" s="1361"/>
      <c r="G45" s="1361"/>
      <c r="H45" s="1361"/>
      <c r="I45" s="1361"/>
      <c r="J45" s="1362"/>
      <c r="K45" s="97"/>
      <c r="Q45" s="85"/>
      <c r="R45" s="84"/>
    </row>
    <row r="46" spans="1:45" s="63" customFormat="1" ht="24.75" customHeight="1">
      <c r="A46" s="1360"/>
      <c r="B46" s="1361"/>
      <c r="C46" s="1361"/>
      <c r="D46" s="1361"/>
      <c r="E46" s="1361"/>
      <c r="F46" s="1361"/>
      <c r="G46" s="1361"/>
      <c r="H46" s="1361"/>
      <c r="I46" s="1361"/>
      <c r="J46" s="1362"/>
      <c r="K46" s="97"/>
    </row>
    <row r="47" spans="1:45" s="63" customFormat="1" ht="24.75" customHeight="1">
      <c r="A47" s="1365" t="s">
        <v>37</v>
      </c>
      <c r="B47" s="1366"/>
      <c r="C47" s="1366"/>
      <c r="D47" s="1366"/>
      <c r="E47" s="1366"/>
      <c r="F47" s="1366"/>
      <c r="G47" s="1366"/>
      <c r="H47" s="1366"/>
      <c r="I47" s="1366"/>
      <c r="J47" s="1367"/>
      <c r="K47" s="97"/>
    </row>
    <row r="48" spans="1:45" s="63" customFormat="1" ht="24" customHeight="1">
      <c r="A48" s="1379" t="s">
        <v>38</v>
      </c>
      <c r="B48" s="1380"/>
      <c r="C48" s="1380"/>
      <c r="D48" s="1380"/>
      <c r="E48" s="1380"/>
      <c r="F48" s="1380"/>
      <c r="G48" s="1380"/>
      <c r="H48" s="1380"/>
      <c r="I48" s="1380"/>
      <c r="J48" s="1381"/>
      <c r="K48" s="97"/>
    </row>
    <row r="49" spans="1:11" s="63" customFormat="1" ht="66.75" customHeight="1">
      <c r="A49" s="1360" t="s">
        <v>39</v>
      </c>
      <c r="B49" s="1361"/>
      <c r="C49" s="1361"/>
      <c r="D49" s="1361"/>
      <c r="E49" s="1361"/>
      <c r="F49" s="1361"/>
      <c r="G49" s="1361"/>
      <c r="H49" s="1361"/>
      <c r="I49" s="1361"/>
      <c r="J49" s="1362"/>
      <c r="K49" s="97"/>
    </row>
    <row r="50" spans="1:11" s="63" customFormat="1" ht="56.25" customHeight="1">
      <c r="A50" s="1360" t="s">
        <v>40</v>
      </c>
      <c r="B50" s="1361"/>
      <c r="C50" s="1361"/>
      <c r="D50" s="1361"/>
      <c r="E50" s="1361"/>
      <c r="F50" s="1361"/>
      <c r="G50" s="1361"/>
      <c r="H50" s="1361"/>
      <c r="I50" s="1361"/>
      <c r="J50" s="1362"/>
      <c r="K50" s="97"/>
    </row>
    <row r="51" spans="1:11" s="63" customFormat="1" ht="66" customHeight="1">
      <c r="A51" s="1360" t="s">
        <v>41</v>
      </c>
      <c r="B51" s="1361"/>
      <c r="C51" s="1361"/>
      <c r="D51" s="1361"/>
      <c r="E51" s="1361"/>
      <c r="F51" s="1361"/>
      <c r="G51" s="1361"/>
      <c r="H51" s="1361"/>
      <c r="I51" s="1361"/>
      <c r="J51" s="1362"/>
      <c r="K51" s="97"/>
    </row>
    <row r="52" spans="1:11" s="63" customFormat="1" ht="63" customHeight="1">
      <c r="A52" s="1360" t="s">
        <v>42</v>
      </c>
      <c r="B52" s="1361"/>
      <c r="C52" s="1361"/>
      <c r="D52" s="1361"/>
      <c r="E52" s="1361"/>
      <c r="F52" s="1361"/>
      <c r="G52" s="1361"/>
      <c r="H52" s="1361"/>
      <c r="I52" s="1361"/>
      <c r="J52" s="1362"/>
      <c r="K52" s="97"/>
    </row>
    <row r="53" spans="1:11" s="63" customFormat="1" ht="47.25" customHeight="1">
      <c r="A53" s="1360" t="s">
        <v>43</v>
      </c>
      <c r="B53" s="1361"/>
      <c r="C53" s="1361"/>
      <c r="D53" s="1361"/>
      <c r="E53" s="1361"/>
      <c r="F53" s="1361"/>
      <c r="G53" s="1361"/>
      <c r="H53" s="1361"/>
      <c r="I53" s="1361"/>
      <c r="J53" s="1362"/>
      <c r="K53" s="97"/>
    </row>
    <row r="54" spans="1:11" s="63" customFormat="1" ht="24.75" customHeight="1">
      <c r="A54" s="1360"/>
      <c r="B54" s="1361"/>
      <c r="C54" s="1361"/>
      <c r="D54" s="1361"/>
      <c r="E54" s="1361"/>
      <c r="F54" s="1361"/>
      <c r="G54" s="1361"/>
      <c r="H54" s="1361"/>
      <c r="I54" s="1361"/>
      <c r="J54" s="1362"/>
      <c r="K54" s="97"/>
    </row>
    <row r="55" spans="1:11" s="63" customFormat="1" ht="24.75" customHeight="1">
      <c r="A55" s="1365" t="s">
        <v>44</v>
      </c>
      <c r="B55" s="1366"/>
      <c r="C55" s="1366"/>
      <c r="D55" s="1366"/>
      <c r="E55" s="1366"/>
      <c r="F55" s="1366"/>
      <c r="G55" s="1366"/>
      <c r="H55" s="1366"/>
      <c r="I55" s="1366"/>
      <c r="J55" s="1367"/>
      <c r="K55" s="97"/>
    </row>
    <row r="56" spans="1:11" s="63" customFormat="1" ht="60" customHeight="1">
      <c r="A56" s="1360" t="s">
        <v>45</v>
      </c>
      <c r="B56" s="1361"/>
      <c r="C56" s="1361"/>
      <c r="D56" s="1361"/>
      <c r="E56" s="1361"/>
      <c r="F56" s="1361"/>
      <c r="G56" s="1361"/>
      <c r="H56" s="1361"/>
      <c r="I56" s="1361"/>
      <c r="J56" s="1362"/>
      <c r="K56" s="97"/>
    </row>
    <row r="57" spans="1:11" s="63" customFormat="1" ht="62.25" customHeight="1">
      <c r="A57" s="1360" t="s">
        <v>46</v>
      </c>
      <c r="B57" s="1361"/>
      <c r="C57" s="1361"/>
      <c r="D57" s="1361"/>
      <c r="E57" s="1361"/>
      <c r="F57" s="1361"/>
      <c r="G57" s="1361"/>
      <c r="H57" s="1361"/>
      <c r="I57" s="1361"/>
      <c r="J57" s="1362"/>
      <c r="K57" s="97"/>
    </row>
    <row r="58" spans="1:11" s="63" customFormat="1" ht="24.75" customHeight="1">
      <c r="A58" s="1360"/>
      <c r="B58" s="1361"/>
      <c r="C58" s="1361"/>
      <c r="D58" s="1361"/>
      <c r="E58" s="1361"/>
      <c r="F58" s="1361"/>
      <c r="G58" s="1361"/>
      <c r="H58" s="1361"/>
      <c r="I58" s="1361"/>
      <c r="J58" s="1362"/>
      <c r="K58" s="97"/>
    </row>
    <row r="59" spans="1:11" s="63" customFormat="1" ht="24.75" customHeight="1">
      <c r="A59" s="1365" t="s">
        <v>47</v>
      </c>
      <c r="B59" s="1368"/>
      <c r="C59" s="1368"/>
      <c r="D59" s="1368"/>
      <c r="E59" s="1368"/>
      <c r="F59" s="1368"/>
      <c r="G59" s="1368"/>
      <c r="H59" s="1368"/>
      <c r="I59" s="1368"/>
      <c r="J59" s="1369"/>
      <c r="K59" s="97"/>
    </row>
    <row r="60" spans="1:11" s="63" customFormat="1" ht="24.75" customHeight="1">
      <c r="A60" s="1360" t="s">
        <v>48</v>
      </c>
      <c r="B60" s="1361"/>
      <c r="C60" s="1361"/>
      <c r="D60" s="1361"/>
      <c r="E60" s="1361"/>
      <c r="F60" s="1361"/>
      <c r="G60" s="1361"/>
      <c r="H60" s="1361"/>
      <c r="I60" s="1361"/>
      <c r="J60" s="1362"/>
      <c r="K60" s="97"/>
    </row>
    <row r="61" spans="1:11" s="63" customFormat="1" ht="24.75" customHeight="1">
      <c r="A61" s="1360"/>
      <c r="B61" s="1361"/>
      <c r="C61" s="1361"/>
      <c r="D61" s="1361"/>
      <c r="E61" s="1361"/>
      <c r="F61" s="1361"/>
      <c r="G61" s="1361"/>
      <c r="H61" s="1361"/>
      <c r="I61" s="1361"/>
      <c r="J61" s="1362"/>
      <c r="K61" s="97"/>
    </row>
    <row r="62" spans="1:11" s="63" customFormat="1" ht="24.75" customHeight="1">
      <c r="A62" s="1365" t="s">
        <v>49</v>
      </c>
      <c r="B62" s="1366"/>
      <c r="C62" s="1366"/>
      <c r="D62" s="1366"/>
      <c r="E62" s="1366"/>
      <c r="F62" s="1366"/>
      <c r="G62" s="1366"/>
      <c r="H62" s="1366"/>
      <c r="I62" s="1366"/>
      <c r="J62" s="1367"/>
      <c r="K62" s="97"/>
    </row>
    <row r="63" spans="1:11" s="63" customFormat="1" ht="24.75" customHeight="1">
      <c r="A63" s="1370" t="s">
        <v>50</v>
      </c>
      <c r="B63" s="1371"/>
      <c r="C63" s="1371"/>
      <c r="D63" s="1371"/>
      <c r="E63" s="1371"/>
      <c r="F63" s="1371"/>
      <c r="G63" s="1371"/>
      <c r="H63" s="1371"/>
      <c r="I63" s="1371"/>
      <c r="J63" s="1372"/>
      <c r="K63" s="97"/>
    </row>
    <row r="64" spans="1:11" s="63" customFormat="1" ht="49.5" customHeight="1">
      <c r="A64" s="1370" t="s">
        <v>51</v>
      </c>
      <c r="B64" s="1371"/>
      <c r="C64" s="1371"/>
      <c r="D64" s="1371"/>
      <c r="E64" s="1371"/>
      <c r="F64" s="1371"/>
      <c r="G64" s="1371"/>
      <c r="H64" s="1371"/>
      <c r="I64" s="1371"/>
      <c r="J64" s="1372"/>
      <c r="K64" s="97"/>
    </row>
    <row r="65" spans="1:11" s="63" customFormat="1" ht="51.75" customHeight="1">
      <c r="A65" s="1370" t="s">
        <v>52</v>
      </c>
      <c r="B65" s="1371"/>
      <c r="C65" s="1371"/>
      <c r="D65" s="1371"/>
      <c r="E65" s="1371"/>
      <c r="F65" s="1371"/>
      <c r="G65" s="1371"/>
      <c r="H65" s="1371"/>
      <c r="I65" s="1371"/>
      <c r="J65" s="1372"/>
      <c r="K65" s="97"/>
    </row>
    <row r="66" spans="1:11" s="63" customFormat="1" ht="24.75" customHeight="1">
      <c r="A66" s="230"/>
      <c r="B66" s="231"/>
      <c r="C66" s="232"/>
      <c r="D66" s="233"/>
      <c r="E66" s="234"/>
      <c r="F66" s="235"/>
      <c r="G66" s="236"/>
      <c r="H66" s="237"/>
      <c r="I66" s="238"/>
      <c r="J66" s="234"/>
      <c r="K66" s="97"/>
    </row>
    <row r="67" spans="1:11" s="63" customFormat="1" ht="24.75" customHeight="1">
      <c r="A67" s="1373" t="s">
        <v>53</v>
      </c>
      <c r="B67" s="1374"/>
      <c r="C67" s="1374"/>
      <c r="D67" s="1374"/>
      <c r="E67" s="1374"/>
      <c r="F67" s="1374"/>
      <c r="G67" s="1374"/>
      <c r="H67" s="1374"/>
      <c r="I67" s="1374"/>
      <c r="J67" s="1375"/>
      <c r="K67" s="97"/>
    </row>
    <row r="68" spans="1:11" s="63" customFormat="1" ht="24.75" customHeight="1">
      <c r="A68" s="1370" t="s">
        <v>54</v>
      </c>
      <c r="B68" s="1371"/>
      <c r="C68" s="1371"/>
      <c r="D68" s="1371"/>
      <c r="E68" s="1371"/>
      <c r="F68" s="1371"/>
      <c r="G68" s="1371"/>
      <c r="H68" s="1371"/>
      <c r="I68" s="1371"/>
      <c r="J68" s="1372"/>
      <c r="K68" s="97"/>
    </row>
    <row r="69" spans="1:11" s="63" customFormat="1" ht="24.75" customHeight="1">
      <c r="A69" s="1376"/>
      <c r="B69" s="1377"/>
      <c r="C69" s="1377"/>
      <c r="D69" s="1377"/>
      <c r="E69" s="1377"/>
      <c r="F69" s="1377"/>
      <c r="G69" s="1377"/>
      <c r="H69" s="1377"/>
      <c r="I69" s="1377"/>
      <c r="J69" s="1378"/>
      <c r="K69" s="97"/>
    </row>
    <row r="70" spans="1:11" s="63" customFormat="1" ht="24.75" customHeight="1">
      <c r="A70" s="1373" t="s">
        <v>55</v>
      </c>
      <c r="B70" s="1374"/>
      <c r="C70" s="1374"/>
      <c r="D70" s="1374"/>
      <c r="E70" s="1374"/>
      <c r="F70" s="1374"/>
      <c r="G70" s="1374"/>
      <c r="H70" s="1374"/>
      <c r="I70" s="1374"/>
      <c r="J70" s="1375"/>
      <c r="K70" s="97"/>
    </row>
    <row r="71" spans="1:11" s="63" customFormat="1" ht="24.75" customHeight="1">
      <c r="A71" s="1370" t="s">
        <v>56</v>
      </c>
      <c r="B71" s="1371"/>
      <c r="C71" s="1371"/>
      <c r="D71" s="1371"/>
      <c r="E71" s="1371"/>
      <c r="F71" s="1371"/>
      <c r="G71" s="1371"/>
      <c r="H71" s="1371"/>
      <c r="I71" s="1371"/>
      <c r="J71" s="1372"/>
      <c r="K71" s="97"/>
    </row>
    <row r="72" spans="1:11" s="63" customFormat="1" ht="24.75" customHeight="1">
      <c r="A72" s="1370" t="s">
        <v>57</v>
      </c>
      <c r="B72" s="1371"/>
      <c r="C72" s="1371"/>
      <c r="D72" s="1371"/>
      <c r="E72" s="1371"/>
      <c r="F72" s="1371"/>
      <c r="G72" s="1371"/>
      <c r="H72" s="1371"/>
      <c r="I72" s="1371"/>
      <c r="J72" s="1372"/>
      <c r="K72" s="97"/>
    </row>
    <row r="73" spans="1:11" s="63" customFormat="1" ht="67.5" customHeight="1">
      <c r="A73" s="1370" t="s">
        <v>58</v>
      </c>
      <c r="B73" s="1371"/>
      <c r="C73" s="1371"/>
      <c r="D73" s="1371"/>
      <c r="E73" s="1371"/>
      <c r="F73" s="1371"/>
      <c r="G73" s="1371"/>
      <c r="H73" s="1371"/>
      <c r="I73" s="1371"/>
      <c r="J73" s="1372"/>
      <c r="K73" s="97"/>
    </row>
    <row r="74" spans="1:11" s="63" customFormat="1" ht="17.25" customHeight="1">
      <c r="A74" s="1356"/>
      <c r="B74" s="1357"/>
      <c r="C74" s="1357"/>
      <c r="D74" s="1357"/>
      <c r="E74" s="1357"/>
      <c r="F74" s="1357"/>
      <c r="G74" s="1358"/>
      <c r="H74" s="1358"/>
      <c r="I74" s="1358"/>
      <c r="J74" s="1359"/>
      <c r="K74" s="97"/>
    </row>
    <row r="75" spans="1:11" s="63" customFormat="1" ht="17.25" customHeight="1">
      <c r="A75" s="1363"/>
      <c r="B75" s="1363"/>
      <c r="C75" s="1363"/>
      <c r="D75" s="1364"/>
      <c r="E75" s="1364"/>
      <c r="F75" s="1364"/>
      <c r="G75" s="1364"/>
      <c r="H75" s="1364"/>
      <c r="I75" s="1364"/>
      <c r="J75" s="1364"/>
      <c r="K75" s="97"/>
    </row>
    <row r="76" spans="1:11" s="63" customFormat="1" ht="83.25" customHeight="1">
      <c r="A76" s="1363"/>
      <c r="B76" s="1363"/>
      <c r="C76" s="1363"/>
      <c r="D76" s="1364"/>
      <c r="E76" s="1364"/>
      <c r="F76" s="1364"/>
      <c r="G76" s="1364"/>
      <c r="H76" s="1364"/>
      <c r="I76" s="1364"/>
      <c r="J76" s="1364"/>
      <c r="K76" s="97"/>
    </row>
    <row r="77" spans="1:11" s="63" customFormat="1" ht="17.25" customHeight="1">
      <c r="A77" s="1354" t="s">
        <v>59</v>
      </c>
      <c r="B77" s="1354"/>
      <c r="C77" s="1354"/>
      <c r="D77" s="1355" t="s">
        <v>60</v>
      </c>
      <c r="E77" s="1355"/>
      <c r="F77" s="1355"/>
      <c r="G77" s="1355"/>
      <c r="H77" s="1355"/>
      <c r="I77" s="1355"/>
      <c r="J77" s="1355"/>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3" customFormat="1" ht="17.25" customHeight="1">
      <c r="A99" s="54"/>
      <c r="B99" s="53"/>
      <c r="C99" s="54"/>
      <c r="D99" s="220"/>
      <c r="E99" s="52"/>
      <c r="F99" s="116"/>
      <c r="G99" s="225"/>
      <c r="H99" s="55"/>
      <c r="I99" s="56"/>
      <c r="J99" s="52"/>
      <c r="K99" s="97"/>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4" customFormat="1" ht="17.25" customHeight="1">
      <c r="A108" s="54"/>
      <c r="B108" s="53"/>
      <c r="C108" s="54"/>
      <c r="D108" s="220"/>
      <c r="E108" s="52"/>
      <c r="F108" s="116"/>
      <c r="G108" s="225"/>
      <c r="H108" s="55"/>
      <c r="I108" s="56"/>
      <c r="J108" s="52"/>
      <c r="K108" s="98"/>
      <c r="L108" s="98"/>
    </row>
    <row r="109" spans="1:45" s="62" customFormat="1" ht="17.25" customHeight="1">
      <c r="A109" s="54"/>
      <c r="B109" s="53"/>
      <c r="C109" s="54"/>
      <c r="D109" s="220"/>
      <c r="E109" s="52"/>
      <c r="F109" s="116"/>
      <c r="G109" s="225"/>
      <c r="H109" s="55"/>
      <c r="I109" s="56"/>
      <c r="J109" s="52"/>
      <c r="K109" s="99"/>
      <c r="L109" s="99"/>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5" customFormat="1" ht="17.25" customHeight="1">
      <c r="A115" s="54"/>
      <c r="B115" s="53"/>
      <c r="C115" s="54"/>
      <c r="D115" s="220"/>
      <c r="E115" s="52"/>
      <c r="F115" s="116"/>
      <c r="G115" s="225"/>
      <c r="H115" s="55"/>
      <c r="I115" s="56"/>
      <c r="J115" s="52"/>
      <c r="K115" s="99"/>
      <c r="L115" s="100"/>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s="62" customFormat="1" ht="17.25" customHeight="1">
      <c r="A117" s="54"/>
      <c r="B117" s="53"/>
      <c r="C117" s="54"/>
      <c r="D117" s="220"/>
      <c r="E117" s="52"/>
      <c r="F117" s="116"/>
      <c r="G117" s="225"/>
      <c r="H117" s="55"/>
      <c r="I117" s="56"/>
      <c r="J117" s="52"/>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row>
    <row r="118" spans="1:45" ht="15" customHeight="1">
      <c r="K118" s="101"/>
      <c r="L118" s="102"/>
    </row>
    <row r="119" spans="1:45" ht="15" customHeight="1">
      <c r="K119" s="101"/>
      <c r="L119" s="102"/>
    </row>
    <row r="120" spans="1:45" ht="15" customHeight="1">
      <c r="K120" s="101"/>
      <c r="L120" s="102"/>
    </row>
    <row r="121" spans="1:45" ht="15" customHeight="1"/>
    <row r="122" spans="1:45" ht="15" customHeight="1">
      <c r="L122" s="103" t="e">
        <f>IF(ROUND(#REF!,2)=ROUND('Estrategia Comercial '!B69,2),"ESTRATEGIA CORRECTA","REVISA TU ESTRATEGIA")</f>
        <v>#REF!</v>
      </c>
    </row>
    <row r="123" spans="1:45" ht="15" customHeight="1"/>
    <row r="124" spans="1:45" ht="18.75" customHeight="1"/>
    <row r="125" spans="1:45" s="71" customForma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38.25" customHeight="1">
      <c r="A130" s="54"/>
      <c r="B130" s="53"/>
      <c r="C130" s="54"/>
      <c r="D130" s="220"/>
      <c r="E130" s="52"/>
      <c r="F130" s="116"/>
      <c r="G130" s="225"/>
      <c r="H130" s="55"/>
      <c r="I130" s="56"/>
      <c r="J130" s="52"/>
    </row>
    <row r="131" spans="1:10" s="71" customFormat="1" ht="46.5" customHeigh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ht="38.25" customHeigh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ht="38.25" customHeigh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ht="41.25" customHeigh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c r="A151" s="54"/>
      <c r="B151" s="53"/>
      <c r="C151" s="54"/>
      <c r="D151" s="220"/>
      <c r="E151" s="52"/>
      <c r="F151" s="116"/>
      <c r="G151" s="225"/>
      <c r="H151" s="55"/>
      <c r="I151" s="56"/>
      <c r="J151" s="52"/>
    </row>
    <row r="152" spans="1:10" s="71" customFormat="1" ht="37.5" customHeigh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38.25" customHeight="1">
      <c r="A157" s="54"/>
      <c r="B157" s="53"/>
      <c r="C157" s="54"/>
      <c r="D157" s="220"/>
      <c r="E157" s="52"/>
      <c r="F157" s="116"/>
      <c r="G157" s="225"/>
      <c r="H157" s="55"/>
      <c r="I157" s="56"/>
      <c r="J157" s="52"/>
    </row>
    <row r="158" spans="1:10" s="71" customFormat="1" ht="13.5" customHeight="1">
      <c r="A158" s="54"/>
      <c r="B158" s="53"/>
      <c r="C158" s="54"/>
      <c r="D158" s="220"/>
      <c r="E158" s="52"/>
      <c r="F158" s="116"/>
      <c r="G158" s="225"/>
      <c r="H158" s="55"/>
      <c r="I158" s="56"/>
      <c r="J158" s="52"/>
    </row>
    <row r="159" spans="1:10" s="71" customFormat="1">
      <c r="A159" s="54"/>
      <c r="B159" s="53"/>
      <c r="C159" s="54"/>
      <c r="D159" s="220"/>
      <c r="E159" s="52"/>
      <c r="F159" s="116"/>
      <c r="G159" s="225"/>
      <c r="H159" s="55"/>
      <c r="I159" s="56"/>
      <c r="J159" s="52"/>
    </row>
    <row r="160" spans="1:10" s="71" customFormat="1" ht="38.25" customHeigh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s="71" customFormat="1" ht="37.5" customHeight="1">
      <c r="A165" s="54"/>
      <c r="B165" s="53"/>
      <c r="C165" s="54"/>
      <c r="D165" s="220"/>
      <c r="E165" s="52"/>
      <c r="F165" s="116"/>
      <c r="G165" s="225"/>
      <c r="H165" s="55"/>
      <c r="I165" s="56"/>
      <c r="J165" s="52"/>
    </row>
    <row r="166" spans="1:10" ht="18.75" customHeight="1"/>
    <row r="167" spans="1:10" ht="14.25" customHeight="1"/>
    <row r="168" spans="1:10" ht="14.25" customHeight="1"/>
  </sheetData>
  <sheetProtection formatCells="0" formatColumns="0" formatRows="0" insertRows="0" insertHyperlinks="0" deleteRows="0"/>
  <mergeCells count="65">
    <mergeCell ref="B12:C12"/>
    <mergeCell ref="D23:G23"/>
    <mergeCell ref="H23:J23"/>
    <mergeCell ref="D24:G24"/>
    <mergeCell ref="H24:J24"/>
    <mergeCell ref="D25:G25"/>
    <mergeCell ref="H25:J25"/>
    <mergeCell ref="A16:J16"/>
    <mergeCell ref="D21:G21"/>
    <mergeCell ref="H21:J21"/>
    <mergeCell ref="D22:G22"/>
    <mergeCell ref="H22:J22"/>
    <mergeCell ref="A33:J33"/>
    <mergeCell ref="A34:J34"/>
    <mergeCell ref="A43:J43"/>
    <mergeCell ref="D29:J29"/>
    <mergeCell ref="A29:C29"/>
    <mergeCell ref="A32:J32"/>
    <mergeCell ref="A35:J35"/>
    <mergeCell ref="A38:J38"/>
    <mergeCell ref="A39:J39"/>
    <mergeCell ref="A41:J41"/>
    <mergeCell ref="A42:J42"/>
    <mergeCell ref="A49:J49"/>
    <mergeCell ref="A58:J58"/>
    <mergeCell ref="A46:J46"/>
    <mergeCell ref="A53:J53"/>
    <mergeCell ref="A36:J36"/>
    <mergeCell ref="A37:J37"/>
    <mergeCell ref="A47:J47"/>
    <mergeCell ref="A56:J56"/>
    <mergeCell ref="A57:J57"/>
    <mergeCell ref="A48:J48"/>
    <mergeCell ref="A50:J50"/>
    <mergeCell ref="A51:J51"/>
    <mergeCell ref="A52:J52"/>
    <mergeCell ref="A44:J44"/>
    <mergeCell ref="A45:J45"/>
    <mergeCell ref="A69:J69"/>
    <mergeCell ref="A60:J60"/>
    <mergeCell ref="A63:J63"/>
    <mergeCell ref="A62:J62"/>
    <mergeCell ref="A61:J61"/>
    <mergeCell ref="A77:C77"/>
    <mergeCell ref="D77:J77"/>
    <mergeCell ref="A74:J74"/>
    <mergeCell ref="A54:J54"/>
    <mergeCell ref="A75:C76"/>
    <mergeCell ref="D75:J76"/>
    <mergeCell ref="A55:J55"/>
    <mergeCell ref="A59:J59"/>
    <mergeCell ref="A73:J73"/>
    <mergeCell ref="A67:J67"/>
    <mergeCell ref="A68:J68"/>
    <mergeCell ref="A70:J70"/>
    <mergeCell ref="A64:J64"/>
    <mergeCell ref="A65:J65"/>
    <mergeCell ref="A71:J71"/>
    <mergeCell ref="A72:J72"/>
    <mergeCell ref="B7:C7"/>
    <mergeCell ref="B8:C8"/>
    <mergeCell ref="B9:C9"/>
    <mergeCell ref="B11:C11"/>
    <mergeCell ref="A4:B4"/>
    <mergeCell ref="B10:C10"/>
  </mergeCells>
  <phoneticPr fontId="13" type="noConversion"/>
  <conditionalFormatting sqref="L122">
    <cfRule type="containsText" dxfId="106" priority="2" operator="containsText" text="REVISA TU ESTRATEGIA">
      <formula>NOT(ISERROR(SEARCH("REVISA TU ESTRATEGIA",L122)))</formula>
    </cfRule>
  </conditionalFormatting>
  <pageMargins left="0.25" right="0.25" top="0.75" bottom="0.75" header="0.3" footer="0.3"/>
  <pageSetup scale="32"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5B71-BD27-FD41-99CC-7D1B8A9A03E0}">
  <dimension ref="A1:K19"/>
  <sheetViews>
    <sheetView showGridLines="0" topLeftCell="A6" zoomScale="180" zoomScaleNormal="90" zoomScaleSheetLayoutView="10" workbookViewId="0">
      <selection activeCell="E7" sqref="E7"/>
    </sheetView>
  </sheetViews>
  <sheetFormatPr baseColWidth="10" defaultColWidth="10.36328125" defaultRowHeight="20" customHeight="1"/>
  <cols>
    <col min="1" max="2" width="11.453125" style="1291" customWidth="1"/>
    <col min="3" max="3" width="21.1796875" style="1291" customWidth="1"/>
    <col min="4" max="5" width="19.453125" style="1291" customWidth="1"/>
    <col min="6" max="6" width="14.6328125" style="1291" customWidth="1"/>
    <col min="7" max="7" width="12.453125" style="1291" customWidth="1"/>
    <col min="8" max="8" width="16.36328125" style="1291" customWidth="1"/>
    <col min="9" max="9" width="14.6328125" style="1291" customWidth="1"/>
    <col min="10" max="10" width="30.6328125" style="1291" customWidth="1"/>
    <col min="11" max="11" width="21.6328125" style="1292" customWidth="1"/>
    <col min="12" max="16384" width="10.36328125" style="1291"/>
  </cols>
  <sheetData>
    <row r="1" spans="1:11" ht="28" customHeight="1">
      <c r="A1" s="1408" t="s">
        <v>2891</v>
      </c>
      <c r="B1" s="1408"/>
      <c r="C1" s="1408"/>
      <c r="D1" s="1408"/>
      <c r="E1" s="1408"/>
      <c r="F1" s="1408"/>
      <c r="G1" s="1408"/>
      <c r="H1" s="1408"/>
      <c r="I1" s="1408"/>
      <c r="J1" s="1408"/>
    </row>
    <row r="2" spans="1:11" ht="9" customHeight="1"/>
    <row r="3" spans="1:11" s="1314" customFormat="1" ht="20" customHeight="1">
      <c r="A3" s="1319" t="s">
        <v>2890</v>
      </c>
      <c r="B3" s="1318"/>
      <c r="C3" s="1316"/>
      <c r="D3" s="1316"/>
      <c r="E3" s="1316"/>
      <c r="F3" s="1316"/>
      <c r="G3" s="1316"/>
      <c r="H3" s="1316"/>
      <c r="I3" s="1318" t="s">
        <v>2889</v>
      </c>
      <c r="J3" s="1322" t="s">
        <v>2888</v>
      </c>
      <c r="K3" s="1315"/>
    </row>
    <row r="4" spans="1:11" s="1314" customFormat="1" ht="20" customHeight="1">
      <c r="A4" s="1319" t="s">
        <v>2887</v>
      </c>
      <c r="B4" s="1318"/>
      <c r="C4" s="1409" t="s">
        <v>2886</v>
      </c>
      <c r="D4" s="1409"/>
      <c r="E4" s="1321"/>
      <c r="F4" s="1316"/>
      <c r="G4" s="1316"/>
      <c r="H4" s="1316"/>
      <c r="I4" s="1318" t="s">
        <v>2885</v>
      </c>
      <c r="J4" s="1320">
        <v>46141</v>
      </c>
      <c r="K4" s="1315"/>
    </row>
    <row r="5" spans="1:11" s="1314" customFormat="1" ht="20" customHeight="1">
      <c r="A5" s="1319" t="s">
        <v>2884</v>
      </c>
      <c r="B5" s="1318"/>
      <c r="C5" s="1316"/>
      <c r="D5" s="1316"/>
      <c r="E5" s="1316"/>
      <c r="F5" s="1316"/>
      <c r="G5" s="1316"/>
      <c r="H5" s="1316"/>
      <c r="I5" s="1318" t="s">
        <v>2883</v>
      </c>
      <c r="J5" s="1317" t="s">
        <v>2882</v>
      </c>
      <c r="K5" s="1315"/>
    </row>
    <row r="6" spans="1:11" s="1314" customFormat="1" ht="6" customHeight="1">
      <c r="A6" s="1316"/>
      <c r="B6" s="1316"/>
      <c r="C6" s="1316"/>
      <c r="D6" s="1316"/>
      <c r="E6" s="1316"/>
      <c r="F6" s="1316"/>
      <c r="G6" s="1316"/>
      <c r="H6" s="1316"/>
      <c r="I6" s="1316"/>
      <c r="J6" s="1316"/>
      <c r="K6" s="1315"/>
    </row>
    <row r="7" spans="1:11" s="1310" customFormat="1" ht="59" customHeight="1">
      <c r="A7" s="1313" t="s">
        <v>2881</v>
      </c>
      <c r="B7" s="1313" t="s">
        <v>2880</v>
      </c>
      <c r="C7" s="1313" t="s">
        <v>2879</v>
      </c>
      <c r="D7" s="1313" t="s">
        <v>2878</v>
      </c>
      <c r="E7" s="1313"/>
      <c r="F7" s="1313" t="s">
        <v>2877</v>
      </c>
      <c r="G7" s="1313" t="s">
        <v>2876</v>
      </c>
      <c r="H7" s="1313" t="s">
        <v>2875</v>
      </c>
      <c r="I7" s="1313" t="s">
        <v>2874</v>
      </c>
      <c r="J7" s="1312" t="s">
        <v>2873</v>
      </c>
      <c r="K7" s="1311" t="s">
        <v>2872</v>
      </c>
    </row>
    <row r="8" spans="1:11" s="1305" customFormat="1" ht="147" customHeight="1">
      <c r="A8" s="1304">
        <v>6</v>
      </c>
      <c r="B8" s="1303" t="s">
        <v>2865</v>
      </c>
      <c r="C8" s="1303" t="s">
        <v>2867</v>
      </c>
      <c r="D8" s="1303"/>
      <c r="E8" s="1303"/>
      <c r="F8" s="1303" t="s">
        <v>2866</v>
      </c>
      <c r="G8" s="1302" t="s">
        <v>2862</v>
      </c>
      <c r="H8" s="1296">
        <v>4.774</v>
      </c>
      <c r="I8" s="1295"/>
      <c r="K8" s="1293">
        <f t="shared" ref="K8:K19" si="0">H8*1.1</f>
        <v>5.2514000000000003</v>
      </c>
    </row>
    <row r="9" spans="1:11" ht="173" customHeight="1">
      <c r="A9" s="1304">
        <v>7</v>
      </c>
      <c r="B9" s="1303" t="s">
        <v>2865</v>
      </c>
      <c r="C9" s="1303" t="s">
        <v>2864</v>
      </c>
      <c r="D9" s="1303"/>
      <c r="E9" s="1303"/>
      <c r="F9" s="1303" t="s">
        <v>2863</v>
      </c>
      <c r="G9" s="1302" t="s">
        <v>2862</v>
      </c>
      <c r="H9" s="1296">
        <v>7.29</v>
      </c>
      <c r="I9" s="1295"/>
      <c r="J9" s="1301"/>
      <c r="K9" s="1293">
        <f t="shared" si="0"/>
        <v>8.0190000000000001</v>
      </c>
    </row>
    <row r="10" spans="1:11" ht="106" customHeight="1">
      <c r="A10" s="1297">
        <v>1</v>
      </c>
      <c r="B10" s="1299" t="s">
        <v>2857</v>
      </c>
      <c r="C10" s="1299" t="s">
        <v>2859</v>
      </c>
      <c r="D10" s="1297"/>
      <c r="E10" s="1297"/>
      <c r="F10" s="1297">
        <v>3</v>
      </c>
      <c r="G10" s="1297" t="s">
        <v>2855</v>
      </c>
      <c r="H10" s="1309">
        <v>0.78100000000000003</v>
      </c>
      <c r="I10" s="1295"/>
      <c r="J10" s="1308"/>
      <c r="K10" s="1293">
        <f t="shared" si="0"/>
        <v>0.85910000000000009</v>
      </c>
    </row>
    <row r="11" spans="1:11" ht="106" customHeight="1">
      <c r="A11" s="1304">
        <v>2</v>
      </c>
      <c r="B11" s="1307" t="s">
        <v>2857</v>
      </c>
      <c r="C11" s="1299" t="s">
        <v>2871</v>
      </c>
      <c r="D11" s="1304"/>
      <c r="E11" s="1304"/>
      <c r="F11" s="1304">
        <v>3</v>
      </c>
      <c r="G11" s="1297" t="s">
        <v>2855</v>
      </c>
      <c r="H11" s="1296">
        <v>0.67100000000000004</v>
      </c>
      <c r="I11" s="1295"/>
      <c r="J11" s="1306"/>
      <c r="K11" s="1293">
        <f t="shared" si="0"/>
        <v>0.73810000000000009</v>
      </c>
    </row>
    <row r="12" spans="1:11" ht="106" customHeight="1">
      <c r="A12" s="1304">
        <v>3</v>
      </c>
      <c r="B12" s="1307" t="s">
        <v>2857</v>
      </c>
      <c r="C12" s="1299" t="s">
        <v>2870</v>
      </c>
      <c r="D12" s="1304"/>
      <c r="E12" s="1304"/>
      <c r="F12" s="1304">
        <v>3</v>
      </c>
      <c r="G12" s="1297" t="s">
        <v>2855</v>
      </c>
      <c r="H12" s="1296">
        <v>0.89100000000000001</v>
      </c>
      <c r="I12" s="1295"/>
      <c r="J12" s="1306"/>
      <c r="K12" s="1293">
        <f t="shared" si="0"/>
        <v>0.98010000000000008</v>
      </c>
    </row>
    <row r="13" spans="1:11" ht="106" customHeight="1">
      <c r="A13" s="1304">
        <v>4</v>
      </c>
      <c r="B13" s="1307" t="s">
        <v>2857</v>
      </c>
      <c r="C13" s="1299" t="s">
        <v>2869</v>
      </c>
      <c r="D13" s="1304"/>
      <c r="E13" s="1304"/>
      <c r="F13" s="1304">
        <v>3</v>
      </c>
      <c r="G13" s="1297" t="s">
        <v>2855</v>
      </c>
      <c r="H13" s="1296">
        <v>1.0009999999999999</v>
      </c>
      <c r="I13" s="1295"/>
      <c r="J13" s="1306"/>
      <c r="K13" s="1293">
        <f t="shared" si="0"/>
        <v>1.1011</v>
      </c>
    </row>
    <row r="14" spans="1:11" ht="106" customHeight="1">
      <c r="A14" s="1304">
        <v>5</v>
      </c>
      <c r="B14" s="1307" t="s">
        <v>2857</v>
      </c>
      <c r="C14" s="1299" t="s">
        <v>2868</v>
      </c>
      <c r="D14" s="1304"/>
      <c r="E14" s="1304"/>
      <c r="F14" s="1304">
        <v>3</v>
      </c>
      <c r="G14" s="1297" t="s">
        <v>2855</v>
      </c>
      <c r="H14" s="1296">
        <v>1.0229999999999999</v>
      </c>
      <c r="I14" s="1295"/>
      <c r="J14" s="1306"/>
      <c r="K14" s="1293">
        <f t="shared" si="0"/>
        <v>1.1253</v>
      </c>
    </row>
    <row r="15" spans="1:11" ht="105" customHeight="1">
      <c r="A15" s="1298">
        <v>8</v>
      </c>
      <c r="B15" s="1299" t="s">
        <v>2857</v>
      </c>
      <c r="C15" s="1299" t="s">
        <v>2861</v>
      </c>
      <c r="D15" s="1298"/>
      <c r="E15" s="1298"/>
      <c r="F15" s="1298">
        <v>3</v>
      </c>
      <c r="G15" s="1297" t="s">
        <v>2855</v>
      </c>
      <c r="H15" s="1296">
        <v>0.56100000000000005</v>
      </c>
      <c r="I15" s="1295"/>
      <c r="J15" s="1300"/>
      <c r="K15" s="1293">
        <f t="shared" si="0"/>
        <v>0.61710000000000009</v>
      </c>
    </row>
    <row r="16" spans="1:11" ht="116" customHeight="1">
      <c r="A16" s="1298">
        <v>9</v>
      </c>
      <c r="B16" s="1299" t="s">
        <v>2857</v>
      </c>
      <c r="C16" s="1299" t="s">
        <v>2860</v>
      </c>
      <c r="D16" s="1298"/>
      <c r="E16" s="1298"/>
      <c r="F16" s="1298">
        <v>3</v>
      </c>
      <c r="G16" s="1297" t="s">
        <v>2855</v>
      </c>
      <c r="H16" s="1296">
        <v>0.56100000000000005</v>
      </c>
      <c r="I16" s="1295"/>
      <c r="J16" s="1300"/>
      <c r="K16" s="1293">
        <f t="shared" si="0"/>
        <v>0.61710000000000009</v>
      </c>
    </row>
    <row r="17" spans="1:11" ht="105" customHeight="1">
      <c r="A17" s="1298">
        <v>10</v>
      </c>
      <c r="B17" s="1299" t="s">
        <v>2857</v>
      </c>
      <c r="C17" s="1299" t="s">
        <v>2859</v>
      </c>
      <c r="D17" s="1298"/>
      <c r="E17" s="1298"/>
      <c r="F17" s="1298">
        <v>3</v>
      </c>
      <c r="G17" s="1297" t="s">
        <v>2855</v>
      </c>
      <c r="H17" s="1296">
        <v>0.67100000000000004</v>
      </c>
      <c r="I17" s="1295"/>
      <c r="J17" s="1300"/>
      <c r="K17" s="1293">
        <f t="shared" si="0"/>
        <v>0.73810000000000009</v>
      </c>
    </row>
    <row r="18" spans="1:11" ht="105" customHeight="1">
      <c r="A18" s="1298">
        <v>11</v>
      </c>
      <c r="B18" s="1299" t="s">
        <v>2857</v>
      </c>
      <c r="C18" s="1299" t="s">
        <v>2858</v>
      </c>
      <c r="D18" s="1298"/>
      <c r="E18" s="1298"/>
      <c r="F18" s="1298">
        <v>3</v>
      </c>
      <c r="G18" s="1297" t="s">
        <v>2855</v>
      </c>
      <c r="H18" s="1296">
        <v>1.0009999999999999</v>
      </c>
      <c r="I18" s="1295"/>
      <c r="J18" s="1300"/>
      <c r="K18" s="1293">
        <f t="shared" si="0"/>
        <v>1.1011</v>
      </c>
    </row>
    <row r="19" spans="1:11" ht="105" customHeight="1">
      <c r="A19" s="1298">
        <v>12</v>
      </c>
      <c r="B19" s="1299" t="s">
        <v>2857</v>
      </c>
      <c r="C19" s="1299" t="s">
        <v>2856</v>
      </c>
      <c r="D19" s="1298"/>
      <c r="E19" s="1298"/>
      <c r="F19" s="1298">
        <v>3</v>
      </c>
      <c r="G19" s="1297" t="s">
        <v>2855</v>
      </c>
      <c r="H19" s="1296">
        <v>0.67100000000000004</v>
      </c>
      <c r="I19" s="1295"/>
      <c r="J19" s="1294"/>
      <c r="K19" s="1293">
        <f t="shared" si="0"/>
        <v>0.73810000000000009</v>
      </c>
    </row>
  </sheetData>
  <mergeCells count="2">
    <mergeCell ref="A1:J1"/>
    <mergeCell ref="C4:D4"/>
  </mergeCells>
  <hyperlinks>
    <hyperlink ref="J5" r:id="rId1" xr:uid="{6C8C94F8-DDCD-0945-B507-9700406C9EAD}"/>
  </hyperlinks>
  <pageMargins left="0.78680555555555598" right="0.196527777777778" top="1" bottom="1" header="0.5" footer="0.5"/>
  <pageSetup paperSize="9" scale="3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V610"/>
  <sheetViews>
    <sheetView showGridLines="0" zoomScale="75" zoomScaleNormal="92" workbookViewId="0">
      <selection activeCell="F2" sqref="F2"/>
    </sheetView>
  </sheetViews>
  <sheetFormatPr baseColWidth="10" defaultColWidth="10.81640625" defaultRowHeight="14.5"/>
  <cols>
    <col min="1" max="1" width="18" customWidth="1"/>
    <col min="2" max="2" width="6.1796875" hidden="1" customWidth="1"/>
    <col min="3" max="3" width="24.6328125" customWidth="1"/>
    <col min="4" max="4" width="34" style="1191" customWidth="1"/>
    <col min="5" max="5" width="21.1796875" style="1187" customWidth="1"/>
    <col min="6" max="6" width="34" style="1191" customWidth="1"/>
    <col min="7" max="7" width="32.6328125" style="1191" hidden="1" customWidth="1"/>
    <col min="8" max="8" width="15.453125" style="1191" bestFit="1" customWidth="1"/>
    <col min="9" max="9" width="29.36328125" style="1188" hidden="1" customWidth="1"/>
    <col min="10" max="11" width="24" style="1187" customWidth="1"/>
    <col min="12" max="13" width="24" style="1187" hidden="1" customWidth="1"/>
    <col min="14" max="14" width="24" style="1245" hidden="1" customWidth="1"/>
    <col min="15" max="15" width="28.6328125" style="1189" hidden="1" customWidth="1"/>
    <col min="16" max="16" width="21.1796875" style="1187" customWidth="1"/>
    <col min="17" max="22" width="21.1796875" style="1187" hidden="1" customWidth="1"/>
    <col min="23" max="23" width="26.81640625" style="1187" customWidth="1"/>
    <col min="24" max="25" width="23.81640625" style="1172" customWidth="1"/>
    <col min="26" max="26" width="21.1796875" style="1172" customWidth="1"/>
    <col min="27" max="27" width="21.1796875" style="1187" hidden="1" customWidth="1"/>
    <col min="28" max="28" width="19.1796875" style="1188" customWidth="1"/>
    <col min="29" max="32" width="25.36328125" style="1188" customWidth="1"/>
    <col min="33" max="33" width="27.6328125" style="1187" hidden="1" customWidth="1"/>
    <col min="34" max="34" width="15.453125" style="1187" customWidth="1"/>
    <col min="35" max="35" width="10.81640625" hidden="1" customWidth="1"/>
    <col min="36" max="36" width="23" hidden="1" customWidth="1"/>
    <col min="37" max="37" width="12.1796875" hidden="1" customWidth="1"/>
    <col min="38" max="38" width="15.1796875" hidden="1" customWidth="1"/>
    <col min="39" max="39" width="10.81640625" hidden="1" customWidth="1"/>
    <col min="40" max="40" width="12.1796875" hidden="1" customWidth="1"/>
    <col min="41" max="41" width="10.81640625" hidden="1" customWidth="1"/>
    <col min="43" max="47" width="19.453125" customWidth="1"/>
  </cols>
  <sheetData>
    <row r="1" spans="1:48" ht="15" thickBot="1">
      <c r="D1" s="1"/>
      <c r="F1" s="1"/>
      <c r="G1" s="1"/>
      <c r="H1" s="1"/>
      <c r="N1" s="1187"/>
      <c r="X1" s="1187"/>
      <c r="Y1" s="1187"/>
      <c r="Z1" s="1187"/>
    </row>
    <row r="2" spans="1:48" ht="72" customHeight="1" thickBot="1">
      <c r="D2" s="1190"/>
      <c r="F2" s="1190"/>
      <c r="G2" s="1190"/>
      <c r="J2" s="1437" t="s">
        <v>61</v>
      </c>
      <c r="K2" s="1438"/>
      <c r="L2" s="1439"/>
      <c r="M2" s="1189"/>
      <c r="N2" s="1187"/>
      <c r="P2" s="1274"/>
      <c r="X2" s="1187"/>
      <c r="Y2" s="1187"/>
      <c r="Z2" s="1187"/>
    </row>
    <row r="3" spans="1:48" ht="35" customHeight="1" thickBot="1">
      <c r="A3" s="1427" t="s">
        <v>62</v>
      </c>
      <c r="B3" s="1427"/>
      <c r="C3" s="1427"/>
      <c r="D3" s="1427"/>
      <c r="E3" s="1428"/>
      <c r="F3" s="1192"/>
      <c r="H3" s="1188"/>
      <c r="I3" s="1193"/>
      <c r="J3" s="1191"/>
      <c r="K3" s="1193"/>
      <c r="L3" s="1193"/>
      <c r="M3" s="1194"/>
      <c r="N3" s="1193"/>
      <c r="O3" s="1194"/>
      <c r="P3" s="1194"/>
      <c r="Q3" s="1194"/>
      <c r="R3" s="1194"/>
      <c r="S3" s="1194"/>
      <c r="T3" s="1194"/>
      <c r="U3" s="1194"/>
      <c r="V3" s="1194"/>
      <c r="W3" s="1195"/>
      <c r="X3" s="1194"/>
      <c r="Y3" s="1194"/>
      <c r="Z3" s="1194"/>
      <c r="AA3" s="1440" t="s">
        <v>63</v>
      </c>
      <c r="AF3" s="1187"/>
      <c r="AH3" s="1423" t="s">
        <v>64</v>
      </c>
    </row>
    <row r="4" spans="1:48" ht="20" customHeight="1" thickBot="1">
      <c r="A4" s="1433" t="s">
        <v>65</v>
      </c>
      <c r="B4" s="1433"/>
      <c r="C4" s="1433"/>
      <c r="D4" s="1434"/>
      <c r="E4" s="1196">
        <f>AC573</f>
        <v>0</v>
      </c>
      <c r="F4" s="1197"/>
      <c r="H4" s="1188"/>
      <c r="I4" s="1193"/>
      <c r="J4" s="1265" t="s">
        <v>66</v>
      </c>
      <c r="K4" s="1171" t="b">
        <v>1</v>
      </c>
      <c r="L4" s="1193"/>
      <c r="M4" s="1194"/>
      <c r="N4" s="1193"/>
      <c r="O4" s="1194"/>
      <c r="P4" s="1194"/>
      <c r="Q4" s="1194"/>
      <c r="R4" s="1194"/>
      <c r="S4" s="1194"/>
      <c r="T4" s="1194"/>
      <c r="U4" s="1432" t="s">
        <v>67</v>
      </c>
      <c r="V4" s="1194"/>
      <c r="W4" s="1172"/>
      <c r="X4" s="1195"/>
      <c r="Y4" s="1194"/>
      <c r="Z4" s="1194"/>
      <c r="AA4" s="1440"/>
      <c r="AF4" s="1187"/>
      <c r="AH4" s="1423"/>
    </row>
    <row r="5" spans="1:48" ht="15" customHeight="1">
      <c r="A5" s="1435" t="s">
        <v>68</v>
      </c>
      <c r="B5" s="1435"/>
      <c r="C5" s="1435"/>
      <c r="D5" s="1436"/>
      <c r="E5" s="1130"/>
      <c r="F5" s="1197"/>
      <c r="H5" s="1188"/>
      <c r="I5" s="1191"/>
      <c r="K5" s="1198"/>
      <c r="L5" s="1199"/>
      <c r="M5" s="1194"/>
      <c r="N5" s="1193"/>
      <c r="O5" s="1194"/>
      <c r="P5" s="1194"/>
      <c r="Q5" s="1194"/>
      <c r="R5" s="1194"/>
      <c r="S5" s="1194"/>
      <c r="T5" s="1194"/>
      <c r="U5" s="1432"/>
      <c r="V5" s="1194"/>
      <c r="W5" s="1172"/>
      <c r="X5" s="1195"/>
      <c r="Y5" s="1431" t="s">
        <v>69</v>
      </c>
      <c r="Z5" s="1187"/>
      <c r="AA5" s="1440"/>
      <c r="AF5" s="1187"/>
      <c r="AH5"/>
    </row>
    <row r="6" spans="1:48" ht="26" customHeight="1">
      <c r="A6" s="1443" t="s">
        <v>70</v>
      </c>
      <c r="B6" s="1443"/>
      <c r="C6" s="1443"/>
      <c r="D6" s="1444"/>
      <c r="E6" s="1200">
        <f>E4*E5</f>
        <v>0</v>
      </c>
      <c r="F6" s="1201"/>
      <c r="H6" s="1188"/>
      <c r="I6" s="1199"/>
      <c r="J6" s="1276" t="e" vm="1">
        <v>#VALUE!</v>
      </c>
      <c r="K6" s="1277" cm="1">
        <f t="array" aca="1" ref="K6" ca="1">_FV(J6,"High")</f>
        <v>17.475000000000001</v>
      </c>
      <c r="L6" s="1199"/>
      <c r="M6" s="1194"/>
      <c r="N6" s="1193"/>
      <c r="O6" s="1194"/>
      <c r="P6" s="1194"/>
      <c r="Q6" s="1194"/>
      <c r="R6" s="1194"/>
      <c r="S6" s="1194"/>
      <c r="T6" s="1194"/>
      <c r="U6" s="1194"/>
      <c r="V6" s="1194"/>
      <c r="W6" s="1172"/>
      <c r="X6" s="1194"/>
      <c r="Y6" s="1431"/>
      <c r="Z6" s="1187"/>
      <c r="AA6" s="1188"/>
      <c r="AF6" s="1187"/>
      <c r="AG6"/>
      <c r="AH6"/>
    </row>
    <row r="7" spans="1:48" ht="16" customHeight="1">
      <c r="D7" s="1194"/>
      <c r="E7" s="1194"/>
      <c r="F7" s="1194"/>
      <c r="H7" s="1188"/>
      <c r="I7" s="1199"/>
      <c r="J7" s="1199"/>
      <c r="K7" s="1198"/>
      <c r="L7" s="1199"/>
      <c r="M7" s="1195"/>
      <c r="N7" s="1202"/>
      <c r="O7" s="1194"/>
      <c r="P7" s="1194"/>
      <c r="Q7" s="1194"/>
      <c r="R7" s="1194"/>
      <c r="S7" s="1194"/>
      <c r="T7" s="1194"/>
      <c r="U7" s="1194"/>
      <c r="V7" s="1194"/>
      <c r="W7" s="1172"/>
      <c r="X7" s="1194"/>
      <c r="Y7" s="1431"/>
      <c r="Z7" s="1187"/>
      <c r="AA7" s="1188"/>
      <c r="AF7" s="1187"/>
      <c r="AG7"/>
      <c r="AH7"/>
    </row>
    <row r="8" spans="1:48" ht="26" customHeight="1">
      <c r="A8" s="1445" t="s">
        <v>71</v>
      </c>
      <c r="B8" s="1446"/>
      <c r="C8" s="1446"/>
      <c r="D8" s="1447"/>
      <c r="E8" s="1148" t="e">
        <f>(AC573-M573)/AC573</f>
        <v>#DIV/0!</v>
      </c>
      <c r="F8" s="1197"/>
      <c r="H8" s="1188"/>
      <c r="I8" s="1199"/>
      <c r="J8" s="1272" t="s">
        <v>72</v>
      </c>
      <c r="K8" s="1273" t="e" vm="2">
        <v>#VALUE!</v>
      </c>
      <c r="L8" s="1199"/>
      <c r="M8" s="1195"/>
      <c r="N8" s="1203"/>
      <c r="O8" s="1194"/>
      <c r="P8" s="190" cm="1">
        <f t="array" ref="P8:R8">IFERROR(_xlfn.XLOOKUP(K8,Fletes!C5:C17,Fletes!D5:F17),"No encontrado")</f>
        <v>37000</v>
      </c>
      <c r="Q8" s="1194">
        <v>0</v>
      </c>
      <c r="R8" s="1195">
        <v>0</v>
      </c>
      <c r="S8" s="1194"/>
      <c r="T8" s="1194"/>
      <c r="U8" s="1194"/>
      <c r="V8" s="1194"/>
      <c r="W8" s="1172"/>
      <c r="X8" s="1194"/>
      <c r="Y8" s="1431"/>
      <c r="Z8" s="1187"/>
      <c r="AA8" s="1188"/>
      <c r="AF8" s="1187"/>
      <c r="AG8"/>
      <c r="AH8"/>
      <c r="AI8" s="837"/>
    </row>
    <row r="9" spans="1:48">
      <c r="D9" s="1194"/>
      <c r="E9" s="1194"/>
      <c r="F9" s="1194"/>
      <c r="G9" s="1194"/>
      <c r="J9" s="1199"/>
      <c r="K9" s="1199"/>
      <c r="L9" s="1198"/>
      <c r="M9" s="1199"/>
      <c r="N9" s="1195"/>
      <c r="O9" s="1193"/>
      <c r="P9" s="190" t="e">
        <f>P8/H573</f>
        <v>#DIV/0!</v>
      </c>
      <c r="Q9" s="1194"/>
      <c r="R9" s="1194"/>
      <c r="S9" s="1194"/>
      <c r="T9" s="1194"/>
      <c r="U9" s="1194"/>
      <c r="V9" s="1194"/>
      <c r="W9" s="1194"/>
      <c r="Y9" s="1194"/>
      <c r="Z9" s="1194"/>
      <c r="AH9"/>
      <c r="AJ9" s="837"/>
      <c r="AQ9" s="1153"/>
      <c r="AR9" s="1153"/>
      <c r="AS9" s="1153"/>
      <c r="AT9" s="1154"/>
      <c r="AU9" s="1204"/>
      <c r="AV9" s="1204"/>
    </row>
    <row r="10" spans="1:48" ht="15.5">
      <c r="A10" s="1205" t="s">
        <v>73</v>
      </c>
      <c r="E10" s="1194"/>
      <c r="F10" s="1205"/>
      <c r="G10" s="1205"/>
      <c r="H10" s="1205"/>
      <c r="I10" s="1199"/>
      <c r="J10" s="1194"/>
      <c r="K10" s="1194"/>
      <c r="L10" s="1194"/>
      <c r="M10" s="1194"/>
      <c r="N10" s="1194"/>
      <c r="O10" s="1193"/>
      <c r="P10" s="1194"/>
      <c r="Q10" s="1194"/>
      <c r="R10" s="1194"/>
      <c r="S10" s="1194"/>
      <c r="T10" s="1194"/>
      <c r="U10" s="1194"/>
      <c r="V10" s="1194"/>
      <c r="W10" s="1194"/>
      <c r="Y10" s="1194"/>
      <c r="Z10" s="1194"/>
      <c r="AH10"/>
      <c r="AJ10" s="837"/>
      <c r="AQ10" s="1153"/>
      <c r="AR10" s="1153"/>
      <c r="AS10" s="1153"/>
      <c r="AT10" s="1154"/>
      <c r="AU10" s="1204"/>
      <c r="AV10" s="1204"/>
    </row>
    <row r="11" spans="1:48" ht="21" customHeight="1" thickBot="1">
      <c r="A11" s="1448" t="s">
        <v>74</v>
      </c>
      <c r="B11" s="1448" t="s">
        <v>75</v>
      </c>
      <c r="C11" s="1448" t="s">
        <v>76</v>
      </c>
      <c r="D11" s="1448" t="s">
        <v>77</v>
      </c>
      <c r="E11" s="1429" t="s">
        <v>78</v>
      </c>
      <c r="F11" s="1448" t="s">
        <v>79</v>
      </c>
      <c r="G11" s="1448" t="s">
        <v>80</v>
      </c>
      <c r="H11" s="1450" t="s">
        <v>81</v>
      </c>
      <c r="I11" s="1424" t="s">
        <v>82</v>
      </c>
      <c r="J11" s="1425"/>
      <c r="K11" s="1425"/>
      <c r="L11" s="1425"/>
      <c r="M11" s="1425"/>
      <c r="N11" s="1425"/>
      <c r="O11" s="1425"/>
      <c r="P11" s="1425"/>
      <c r="Q11" s="1425"/>
      <c r="R11" s="1425"/>
      <c r="S11" s="1425"/>
      <c r="T11" s="1425"/>
      <c r="U11" s="1425"/>
      <c r="V11" s="1425"/>
      <c r="W11" s="1426" t="s">
        <v>83</v>
      </c>
      <c r="X11" s="1426"/>
      <c r="Y11" s="1426"/>
      <c r="Z11" s="1426"/>
      <c r="AA11" s="1426"/>
      <c r="AB11" s="1426"/>
      <c r="AC11" s="1426"/>
      <c r="AD11" s="1426"/>
      <c r="AE11" s="1426"/>
      <c r="AF11" s="1426"/>
      <c r="AG11" s="1206"/>
      <c r="AH11"/>
      <c r="AJ11" s="1173"/>
      <c r="AQ11" s="1153"/>
      <c r="AR11" s="1153"/>
      <c r="AS11" s="1153"/>
      <c r="AT11" s="1184" t="b">
        <f>IF(F15="Requiez",W15&lt;=$AM$577,IF(F15="Labenze",W15&lt;=$AM$578,IF(F15="Infinity",W15&lt;=$AL$579,IF(F15="Offiho",W15&lt;=$AL$580,IF(F15="MetalWork",W15&lt;=$AL$581,IF(F15="Jome",W15&lt;=$AL$582,IF(F15="Sunon Inc",W15&lt;=$AL$583,IF(F15="Vandesk",W15&lt;=$AL$584,IF(F15="Conceptos",W15&lt;=$AL$585,IF(F15="Tarkett",W15&lt;=$AL$586,IF(F15="Tarkett Stock",W15&lt;=$AL$587,IF(F15="Tarkett Europa",W15&lt;=$AL$588,IF(F15="Tarkett - Santeco /Nva.Ave",W15&lt;=$AL$589,IF(F15="Lumbro",W15&lt;=$AL$590,IF(F15="Cristales",W15&lt;=$AL$591,IF(F15="Sunon Mty",W15&lt;=$AL$592,IF(F15="Leds",W15&lt;=$AL$593,IF(F15="Herrajes",W15&lt;=$AL$594,IF(F15="Acabados",W15&lt;=$AL$595,IF(F15="Andreu World",W15&lt;=$AL$596,IF(F15="Lauco",W15&lt;=$AL$597,IF(F15="Mamparas",W15&lt;=$AL$598))))))))))))))))))))))</f>
        <v>0</v>
      </c>
      <c r="AU11" s="1204"/>
      <c r="AV11" s="1204"/>
    </row>
    <row r="12" spans="1:48" ht="42">
      <c r="A12" s="1449"/>
      <c r="B12" s="1449"/>
      <c r="C12" s="1449"/>
      <c r="D12" s="1449"/>
      <c r="E12" s="1430"/>
      <c r="F12" s="1449"/>
      <c r="G12" s="1449"/>
      <c r="H12" s="1451"/>
      <c r="I12" s="1208" t="s">
        <v>84</v>
      </c>
      <c r="J12" s="1208" t="s">
        <v>85</v>
      </c>
      <c r="K12" s="1209" t="s">
        <v>86</v>
      </c>
      <c r="L12" s="1208" t="s">
        <v>87</v>
      </c>
      <c r="M12" s="1208" t="s">
        <v>88</v>
      </c>
      <c r="N12" s="1208" t="s">
        <v>89</v>
      </c>
      <c r="O12" s="1207" t="s">
        <v>90</v>
      </c>
      <c r="P12" s="1207" t="s">
        <v>91</v>
      </c>
      <c r="Q12" s="1207" t="s">
        <v>92</v>
      </c>
      <c r="R12" s="1207" t="s">
        <v>92</v>
      </c>
      <c r="S12" s="1207" t="s">
        <v>93</v>
      </c>
      <c r="T12" s="1207" t="s">
        <v>93</v>
      </c>
      <c r="U12" s="1207" t="s">
        <v>94</v>
      </c>
      <c r="V12" s="1207" t="s">
        <v>94</v>
      </c>
      <c r="W12" s="1210" t="s">
        <v>95</v>
      </c>
      <c r="X12" s="1210" t="s">
        <v>96</v>
      </c>
      <c r="Y12" s="1207" t="s">
        <v>97</v>
      </c>
      <c r="Z12" s="1207" t="s">
        <v>98</v>
      </c>
      <c r="AA12" s="1207" t="s">
        <v>99</v>
      </c>
      <c r="AB12" s="1211" t="s">
        <v>100</v>
      </c>
      <c r="AC12" s="1211" t="s">
        <v>101</v>
      </c>
      <c r="AD12" s="1212" t="s">
        <v>102</v>
      </c>
      <c r="AE12" s="1212" t="s">
        <v>103</v>
      </c>
      <c r="AF12" s="1212" t="s">
        <v>104</v>
      </c>
      <c r="AG12" s="1207" t="s">
        <v>105</v>
      </c>
      <c r="AH12"/>
      <c r="AI12" s="1174"/>
      <c r="AK12" s="1175"/>
      <c r="AQ12" s="1150"/>
      <c r="AR12" s="1150"/>
      <c r="AS12" s="1151"/>
      <c r="AT12" s="1163"/>
      <c r="AU12" s="1410" t="s">
        <v>106</v>
      </c>
      <c r="AV12" s="1204"/>
    </row>
    <row r="13" spans="1:48" ht="26" customHeight="1">
      <c r="A13" s="1125" t="b">
        <v>1</v>
      </c>
      <c r="B13" s="1213"/>
      <c r="C13" s="1269" t="s">
        <v>107</v>
      </c>
      <c r="D13" s="1421" t="s">
        <v>108</v>
      </c>
      <c r="E13" s="1419"/>
      <c r="F13" s="1419"/>
      <c r="G13" s="1419"/>
      <c r="H13" s="1419"/>
      <c r="I13" s="1419"/>
      <c r="J13" s="1420"/>
      <c r="K13" s="1214"/>
      <c r="L13" s="1214"/>
      <c r="M13" s="1214"/>
      <c r="N13" s="1214"/>
      <c r="O13" s="1213"/>
      <c r="P13" s="1213"/>
      <c r="Q13" s="1213"/>
      <c r="R13" s="1213"/>
      <c r="S13" s="1213"/>
      <c r="T13" s="1213"/>
      <c r="U13" s="1213"/>
      <c r="V13" s="1213"/>
      <c r="W13" s="1213"/>
      <c r="X13" s="1213"/>
      <c r="Y13" s="1213"/>
      <c r="Z13" s="1213"/>
      <c r="AA13" s="1213"/>
      <c r="AB13" s="1213"/>
      <c r="AC13" s="1213"/>
      <c r="AD13" s="1213"/>
      <c r="AE13" s="1213"/>
      <c r="AF13" s="1213"/>
      <c r="AG13" s="1215"/>
      <c r="AH13"/>
      <c r="AI13" s="1173"/>
      <c r="AL13" s="1173"/>
      <c r="AQ13" s="1152"/>
      <c r="AR13" s="1152"/>
      <c r="AS13" s="1153"/>
      <c r="AT13" s="1164"/>
      <c r="AU13" s="1411"/>
      <c r="AV13" s="1204"/>
    </row>
    <row r="14" spans="1:48" ht="15.5">
      <c r="A14" s="1216" t="b">
        <f t="shared" ref="A14:A46" si="0">$A$13</f>
        <v>1</v>
      </c>
      <c r="B14" s="1217" t="b">
        <f>A14</f>
        <v>1</v>
      </c>
      <c r="C14" s="1218" t="str">
        <f>C13</f>
        <v>Dólares</v>
      </c>
      <c r="D14" s="44"/>
      <c r="E14" s="836"/>
      <c r="F14" s="50"/>
      <c r="G14" s="50" t="str">
        <f t="shared" ref="G14:G46" si="1">IFERROR(VLOOKUP(F14,Tabla_Proveedores_1,2,0)," ")</f>
        <v xml:space="preserve"> </v>
      </c>
      <c r="H14" s="45">
        <v>0</v>
      </c>
      <c r="I14" s="49" t="str">
        <f>IFERROR(VLOOKUP(G14,Proveedores!B:C,2,0)," ")</f>
        <v xml:space="preserve"> </v>
      </c>
      <c r="J14" s="838">
        <v>0</v>
      </c>
      <c r="K14" s="1124">
        <v>0</v>
      </c>
      <c r="L14" s="1266">
        <f t="shared" ref="L14:L46" si="2">K14*H14</f>
        <v>0</v>
      </c>
      <c r="M14" s="1267">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Brasil"),J14,IFERROR(IF(K573&lt;=$AO$578,J14*2.14,IF(K573&lt;=$AN$579,J14*1.8,IF(K573&gt;$AN$580,J14*1.5))),J14))*1.1)</f>
        <v>0</v>
      </c>
      <c r="N14" s="1268">
        <f>M14*H14</f>
        <v>0</v>
      </c>
      <c r="O14" s="836" t="str">
        <f>IFERROR(VLOOKUP(G14,Proveedores!B:D,3,0)," ")</f>
        <v xml:space="preserve"> </v>
      </c>
      <c r="P14" s="836"/>
      <c r="Q14" s="1127" t="e">
        <f t="shared" ref="Q14:Q46" si="3">VLOOKUP(E14,Tabla_Fletes,3,FALSE)</f>
        <v>#N/A</v>
      </c>
      <c r="R14" s="1127" t="b">
        <f>IF(P14="Centro",Q14,IF(P14="Norte",Q14*1.6,IF(P14="Occidente",Q14*1.2,IF(P14="Sur",Q14*2))))</f>
        <v>0</v>
      </c>
      <c r="S14" s="1127" t="e">
        <f t="shared" ref="S14:S46" si="4">VLOOKUP(E14,Tabla_Instalacion,2,FALSE)</f>
        <v>#N/A</v>
      </c>
      <c r="T14" s="1127" t="b">
        <f>IF(P14="Centro",S14,IF(P14="Norte",S14*1.1,IF(P14="Occidente",S14*1.1,IF(P14="Sur",S14*1.1))))</f>
        <v>0</v>
      </c>
      <c r="U14" s="1127">
        <f>IF(F14="Offiho",0,R14+T14)</f>
        <v>0</v>
      </c>
      <c r="V14" s="1127" t="e">
        <f>IF(K14=0,U14/$H$573,U14*(K14/L14))*H14</f>
        <v>#DIV/0!</v>
      </c>
      <c r="W14" s="1127" t="e">
        <f>IF(F14="Offiho",J14,IF(_xlfn.XLOOKUP(F14,Proveedores!A$2:A$50,Proveedores!E$2:E$50,"")="Nacional",(J14/0.5)+(V14*H14),((J14/0.3/0.5)+(V14*H14))))</f>
        <v>#DIV/0!</v>
      </c>
      <c r="X14" s="1127" t="e">
        <f>(W14*H14)</f>
        <v>#DIV/0!</v>
      </c>
      <c r="Y14" s="1126" t="b">
        <f t="shared" ref="Y14:Y46" si="5">IF(F14="Sunon Inc",$AJ$577,IF(F14="Alma - Exterior",$AJ$578,IF(F14="Yabo - Hotelería",$AJ$579,IF(F14="OSJ - Medical",$AJ$580,IF(F14="Seezo - Home",$AJ$581,IF(F14="A&amp;D - Home",$AJ$582,IF(F14="Encore Alfombras Hoteleria Asia",$AJ$583,IF(F14="Zhong Xian - Leds",$AJ$584,IF(F14="Tarkett Europa",$AJ$585,IF(F14="2tec2",$AJ$586,IF(F14="Balsan Europa",$AJ$587,IF(F14="Armstrong Pisos USA",$AJ$588,IF(F14="Tarkett USA",$AJ$589,IF(F14="Tarkett Brasil",$AJ$590,IF(F14="Tarkett MX",$AJ$591,IF(F14="Jome",$AJ$592,IF(F14="Offiho",$AJ$593,IF(F14="Lumbro",$AJ$594,IF(F14="Sunon Mty",$AJ$595,IF(F14="Conceptos Sofas",$AJ$596,IF(F14="Lauco Sofas",$AJ$597,IF(F14="CR Global - Mesas Ajustables",$AJ$598,IF(F14="Vandesk",$AJ$599,IF(F14="Mamparas Tela",$AJ$600,IF(F14="Mampara Cristales",$AJ$601,IF(F14="Herrajes",$AJ$602,IF(F14="MetalWork",$AJ$603,IF(F14="Requiez",$AJ$604,IF(F14="Labenze",$AJ$605,IF(F14="Infinity",$AJ$606,IF(F14="Proveedor Externo",$AJ$607)))))))))))))))))))))))))))))))</f>
        <v>0</v>
      </c>
      <c r="Z14" s="43">
        <v>0.5</v>
      </c>
      <c r="AA14" s="1219" t="e">
        <f>W14*Z14</f>
        <v>#DIV/0!</v>
      </c>
      <c r="AB14" s="1219" t="e">
        <f>IF(Z14&gt;Y14,"ERROR",(W14-AA14))</f>
        <v>#DIV/0!</v>
      </c>
      <c r="AC14" s="1219" t="e">
        <f>AB14*H14</f>
        <v>#DIV/0!</v>
      </c>
      <c r="AD14" s="1126" t="e">
        <f>IF(A15=TRUE,MAX(0,1-(AE14/W14)),"NA")</f>
        <v>#DIV/0!</v>
      </c>
      <c r="AE14" s="1217" t="e">
        <f t="shared" ref="AE14:AE46" si="6">IF(A13=FALSE,"NO APLICA",AB14*1.2)</f>
        <v>#DIV/0!</v>
      </c>
      <c r="AF14" s="1220" t="e">
        <f t="shared" ref="AF14:AF46" si="7">AE14*H14</f>
        <v>#DIV/0!</v>
      </c>
      <c r="AG14" s="1176" t="e">
        <f t="shared" ref="AG14:AG46" si="8">(AC14-N14)/AC14</f>
        <v>#DIV/0!</v>
      </c>
      <c r="AH14" s="1221" t="e">
        <f>IF(AG14&lt;30%,"ERROR","OK")</f>
        <v>#DIV/0!</v>
      </c>
      <c r="AI14" s="1173"/>
      <c r="AK14" s="1173"/>
      <c r="AL14" s="1174"/>
      <c r="AM14" s="1174"/>
      <c r="AP14" s="1173"/>
      <c r="AQ14" s="1152"/>
      <c r="AR14" s="1413" t="s">
        <v>109</v>
      </c>
      <c r="AS14" s="1414"/>
      <c r="AT14" s="1415"/>
      <c r="AU14" s="1411"/>
      <c r="AV14" s="1204"/>
    </row>
    <row r="15" spans="1:48" ht="15.5">
      <c r="A15" s="1216" t="b">
        <f t="shared" si="0"/>
        <v>1</v>
      </c>
      <c r="B15" s="1217" t="b">
        <f t="shared" ref="B15:B46" si="9">A15</f>
        <v>1</v>
      </c>
      <c r="C15" s="1218" t="str">
        <f t="shared" ref="C15:C46" si="10">$C$13</f>
        <v>Dólares</v>
      </c>
      <c r="D15" s="44"/>
      <c r="E15" s="836"/>
      <c r="F15" s="50"/>
      <c r="G15" s="50" t="str">
        <f t="shared" si="1"/>
        <v xml:space="preserve"> </v>
      </c>
      <c r="H15" s="45">
        <v>0</v>
      </c>
      <c r="I15" s="49" t="str">
        <f>IFERROR(VLOOKUP(G15,Proveedores!B:C,2,0)," ")</f>
        <v xml:space="preserve"> </v>
      </c>
      <c r="J15" s="838">
        <v>0</v>
      </c>
      <c r="K15" s="1124">
        <v>0</v>
      </c>
      <c r="L15" s="1266">
        <f t="shared" si="2"/>
        <v>0</v>
      </c>
      <c r="M15" s="1267">
        <f t="shared" ref="M15:M19"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Brasil"),J15,IFERROR(IF(K574&lt;=$AO$578,J15*2.14,IF(K574&lt;=$AN$579,J15*1.8,IF(K574&gt;$AN$580,J15*1.5))),J15))*1.1)</f>
        <v>0</v>
      </c>
      <c r="N15" s="1268">
        <f>M15*H15</f>
        <v>0</v>
      </c>
      <c r="O15" s="836" t="str">
        <f>IFERROR(VLOOKUP(G15,Proveedores!B:D,3,0)," ")</f>
        <v xml:space="preserve"> </v>
      </c>
      <c r="P15" s="836"/>
      <c r="Q15" s="1127" t="e">
        <f t="shared" si="3"/>
        <v>#N/A</v>
      </c>
      <c r="R15" s="1127" t="b">
        <f>IF(P15="Centro",Q15,IF(P15="Norte",Q15*1.6,IF(P15="Occidente",Q15*1.2,IF(P15="Sur",Q15*2))))</f>
        <v>0</v>
      </c>
      <c r="S15" s="1127" t="e">
        <f>VLOOKUP(E15,Tabla_Instalacion,2,FALSE)</f>
        <v>#N/A</v>
      </c>
      <c r="T15" s="1127" t="b">
        <f t="shared" ref="T15:T46" si="12">IF(P15="Centro",S15,IF(P15="Norte",S15*1.1,IF(P15="Occidente",S15*1.1,IF(P15="Sur",S15*1.1))))</f>
        <v>0</v>
      </c>
      <c r="U15" s="1127">
        <f t="shared" ref="U15:U46" si="13">IF(F15="Offiho",0,R15+T15)</f>
        <v>0</v>
      </c>
      <c r="V15" s="1127" t="e">
        <f t="shared" ref="V15:V46" si="14">IF(K15=0,U15/$H$573,U15*(K15/L15))*H15</f>
        <v>#DIV/0!</v>
      </c>
      <c r="W15" s="1127" t="e">
        <f>IF(F15="Offiho",J15,IF(_xlfn.XLOOKUP(F15,Proveedores!A$2:A$50,Proveedores!E$2:E$50,"")="Nacional",(J15/0.5)+(V15*H15),((J15/0.3/0.5)+(V15*H15))))</f>
        <v>#DIV/0!</v>
      </c>
      <c r="X15" s="1127" t="e">
        <f t="shared" ref="X15:X46" si="15">(W15*H15)</f>
        <v>#DIV/0!</v>
      </c>
      <c r="Y15" s="1126" t="b">
        <f t="shared" si="5"/>
        <v>0</v>
      </c>
      <c r="Z15" s="43">
        <v>0.5</v>
      </c>
      <c r="AA15" s="1219" t="e">
        <f t="shared" ref="AA15:AA46" si="16">W15*Z15</f>
        <v>#DIV/0!</v>
      </c>
      <c r="AB15" s="1219" t="e">
        <f t="shared" ref="AB15:AB46" si="17">IF(Z15&gt;Y15,"ERROR",(W15-AA15))</f>
        <v>#DIV/0!</v>
      </c>
      <c r="AC15" s="1219" t="e">
        <f t="shared" ref="AC15:AC46" si="18">AB15*H15</f>
        <v>#DIV/0!</v>
      </c>
      <c r="AD15" s="1126" t="e">
        <f t="shared" ref="AD15:AD46" si="19">IF(A16=TRUE,MAX(0,1-(AE15/W15)),"NA")</f>
        <v>#DIV/0!</v>
      </c>
      <c r="AE15" s="1217" t="e">
        <f t="shared" si="6"/>
        <v>#DIV/0!</v>
      </c>
      <c r="AF15" s="1220" t="e">
        <f t="shared" si="7"/>
        <v>#DIV/0!</v>
      </c>
      <c r="AG15" s="1176" t="e">
        <f t="shared" si="8"/>
        <v>#DIV/0!</v>
      </c>
      <c r="AH15" s="1221" t="e">
        <f>IF(AG15&lt;30%,"ERROR","OK")</f>
        <v>#DIV/0!</v>
      </c>
      <c r="AI15" s="1173"/>
      <c r="AK15" s="1173"/>
      <c r="AL15" s="1173"/>
      <c r="AM15" s="1173"/>
      <c r="AQ15" s="1152"/>
      <c r="AR15" s="1165" t="s">
        <v>110</v>
      </c>
      <c r="AS15" s="1155">
        <f>AC573</f>
        <v>0</v>
      </c>
      <c r="AT15" s="1164"/>
      <c r="AU15" s="1411"/>
      <c r="AV15" s="1204"/>
    </row>
    <row r="16" spans="1:48" ht="15.5">
      <c r="A16" s="1216" t="b">
        <f t="shared" si="0"/>
        <v>1</v>
      </c>
      <c r="B16" s="1217" t="b">
        <f t="shared" si="9"/>
        <v>1</v>
      </c>
      <c r="C16" s="1218" t="str">
        <f t="shared" si="10"/>
        <v>Dólares</v>
      </c>
      <c r="D16" s="44"/>
      <c r="E16" s="836"/>
      <c r="F16" s="50"/>
      <c r="G16" s="50" t="str">
        <f t="shared" si="1"/>
        <v xml:space="preserve"> </v>
      </c>
      <c r="H16" s="45">
        <v>0</v>
      </c>
      <c r="I16" s="49" t="str">
        <f>IFERROR(VLOOKUP(G16,Proveedores!B:C,2,0)," ")</f>
        <v xml:space="preserve"> </v>
      </c>
      <c r="J16" s="838">
        <v>0</v>
      </c>
      <c r="K16" s="1124">
        <v>0</v>
      </c>
      <c r="L16" s="1266">
        <f t="shared" si="2"/>
        <v>0</v>
      </c>
      <c r="M16" s="1267">
        <f t="shared" si="11"/>
        <v>0</v>
      </c>
      <c r="N16" s="1268">
        <f>M16*H16</f>
        <v>0</v>
      </c>
      <c r="O16" s="836" t="str">
        <f>IFERROR(VLOOKUP(G16,Proveedores!B:D,3,0)," ")</f>
        <v xml:space="preserve"> </v>
      </c>
      <c r="P16" s="836"/>
      <c r="Q16" s="1127" t="e">
        <f t="shared" si="3"/>
        <v>#N/A</v>
      </c>
      <c r="R16" s="1127" t="b">
        <f t="shared" ref="R16:R46" si="20">IF(P16="Centro",Q16,IF(P16="Norte",Q16*1.6,IF(P16="Occidente",Q16*1.2,IF(P16="Sur",Q16*2))))</f>
        <v>0</v>
      </c>
      <c r="S16" s="1127" t="e">
        <f t="shared" si="4"/>
        <v>#N/A</v>
      </c>
      <c r="T16" s="1127" t="b">
        <f t="shared" si="12"/>
        <v>0</v>
      </c>
      <c r="U16" s="1127">
        <f t="shared" si="13"/>
        <v>0</v>
      </c>
      <c r="V16" s="1127" t="e">
        <f t="shared" si="14"/>
        <v>#DIV/0!</v>
      </c>
      <c r="W16" s="1127" t="e">
        <f>IF(F16="Offiho",J16,IF(_xlfn.XLOOKUP(F16,Proveedores!A$2:A$50,Proveedores!E$2:E$50,"")="Nacional",(J16/0.5)+(V16*H16),((J16/0.3/0.5)+(V16*H16))))</f>
        <v>#DIV/0!</v>
      </c>
      <c r="X16" s="1127" t="e">
        <f t="shared" si="15"/>
        <v>#DIV/0!</v>
      </c>
      <c r="Y16" s="1126" t="b">
        <f t="shared" si="5"/>
        <v>0</v>
      </c>
      <c r="Z16" s="43">
        <v>0.5</v>
      </c>
      <c r="AA16" s="1219" t="e">
        <f t="shared" si="16"/>
        <v>#DIV/0!</v>
      </c>
      <c r="AB16" s="1219" t="e">
        <f t="shared" si="17"/>
        <v>#DIV/0!</v>
      </c>
      <c r="AC16" s="1219" t="e">
        <f t="shared" si="18"/>
        <v>#DIV/0!</v>
      </c>
      <c r="AD16" s="1126" t="e">
        <f t="shared" si="19"/>
        <v>#DIV/0!</v>
      </c>
      <c r="AE16" s="1217" t="e">
        <f t="shared" si="6"/>
        <v>#DIV/0!</v>
      </c>
      <c r="AF16" s="1220" t="e">
        <f t="shared" si="7"/>
        <v>#DIV/0!</v>
      </c>
      <c r="AG16" s="1176" t="e">
        <f t="shared" si="8"/>
        <v>#DIV/0!</v>
      </c>
      <c r="AH16" s="1221" t="e">
        <f t="shared" ref="AH16:AH18" si="21">IF(AG16&lt;30%,"ERROR","OK")</f>
        <v>#DIV/0!</v>
      </c>
      <c r="AK16" s="1173"/>
      <c r="AQ16" s="1152"/>
      <c r="AR16" s="1166" t="s">
        <v>111</v>
      </c>
      <c r="AS16" s="1156">
        <f>AF573</f>
        <v>0</v>
      </c>
      <c r="AT16" s="1164"/>
      <c r="AU16" s="1411"/>
      <c r="AV16" s="1204"/>
    </row>
    <row r="17" spans="1:48" ht="15.5">
      <c r="A17" s="1216" t="b">
        <f t="shared" si="0"/>
        <v>1</v>
      </c>
      <c r="B17" s="1217" t="b">
        <f t="shared" si="9"/>
        <v>1</v>
      </c>
      <c r="C17" s="1218" t="str">
        <f t="shared" si="10"/>
        <v>Dólares</v>
      </c>
      <c r="D17" s="44"/>
      <c r="E17" s="836"/>
      <c r="F17" s="50"/>
      <c r="G17" s="50" t="str">
        <f t="shared" si="1"/>
        <v xml:space="preserve"> </v>
      </c>
      <c r="H17" s="45">
        <v>0</v>
      </c>
      <c r="I17" s="49" t="str">
        <f>IFERROR(VLOOKUP(G17,Proveedores!B:C,2,0)," ")</f>
        <v xml:space="preserve"> </v>
      </c>
      <c r="J17" s="838">
        <v>0</v>
      </c>
      <c r="K17" s="1124">
        <v>0</v>
      </c>
      <c r="L17" s="1266">
        <f t="shared" si="2"/>
        <v>0</v>
      </c>
      <c r="M17" s="1267">
        <f t="shared" si="11"/>
        <v>0</v>
      </c>
      <c r="N17" s="1268">
        <f t="shared" ref="N17:N46" si="22">M17*H17</f>
        <v>0</v>
      </c>
      <c r="O17" s="836" t="str">
        <f>IFERROR(VLOOKUP(G17,Proveedores!B:D,3,0)," ")</f>
        <v xml:space="preserve"> </v>
      </c>
      <c r="P17" s="836"/>
      <c r="Q17" s="1127" t="e">
        <f t="shared" si="3"/>
        <v>#N/A</v>
      </c>
      <c r="R17" s="1127" t="b">
        <f t="shared" si="20"/>
        <v>0</v>
      </c>
      <c r="S17" s="1127" t="e">
        <f t="shared" si="4"/>
        <v>#N/A</v>
      </c>
      <c r="T17" s="1127" t="b">
        <f t="shared" si="12"/>
        <v>0</v>
      </c>
      <c r="U17" s="1127">
        <f t="shared" si="13"/>
        <v>0</v>
      </c>
      <c r="V17" s="1127" t="e">
        <f t="shared" si="14"/>
        <v>#DIV/0!</v>
      </c>
      <c r="W17" s="1127" t="e">
        <f>IF(F17="Offiho",J17,IF(_xlfn.XLOOKUP(F17,Proveedores!A$2:A$50,Proveedores!E$2:E$50,"")="Nacional",(J17/0.5)+(V17*H17),((J17/0.3/0.5)+(V17*H17))))</f>
        <v>#DIV/0!</v>
      </c>
      <c r="X17" s="1127" t="e">
        <f t="shared" si="15"/>
        <v>#DIV/0!</v>
      </c>
      <c r="Y17" s="1126" t="b">
        <f t="shared" si="5"/>
        <v>0</v>
      </c>
      <c r="Z17" s="43">
        <v>0.5</v>
      </c>
      <c r="AA17" s="1219" t="e">
        <f t="shared" si="16"/>
        <v>#DIV/0!</v>
      </c>
      <c r="AB17" s="1219" t="e">
        <f t="shared" si="17"/>
        <v>#DIV/0!</v>
      </c>
      <c r="AC17" s="1219" t="e">
        <f t="shared" si="18"/>
        <v>#DIV/0!</v>
      </c>
      <c r="AD17" s="1126" t="e">
        <f t="shared" si="19"/>
        <v>#DIV/0!</v>
      </c>
      <c r="AE17" s="1217" t="e">
        <f t="shared" si="6"/>
        <v>#DIV/0!</v>
      </c>
      <c r="AF17" s="1220" t="e">
        <f t="shared" si="7"/>
        <v>#DIV/0!</v>
      </c>
      <c r="AG17" s="1176" t="e">
        <f t="shared" si="8"/>
        <v>#DIV/0!</v>
      </c>
      <c r="AH17" s="1221" t="e">
        <f t="shared" si="21"/>
        <v>#DIV/0!</v>
      </c>
      <c r="AQ17" s="1152"/>
      <c r="AR17" s="1166" t="s">
        <v>112</v>
      </c>
      <c r="AS17" s="1156">
        <f>AS16-AS15</f>
        <v>0</v>
      </c>
      <c r="AT17" s="1164"/>
      <c r="AU17" s="1411"/>
      <c r="AV17" s="1204"/>
    </row>
    <row r="18" spans="1:48" ht="15.5">
      <c r="A18" s="1216" t="b">
        <f t="shared" si="0"/>
        <v>1</v>
      </c>
      <c r="B18" s="1217" t="b">
        <f t="shared" si="9"/>
        <v>1</v>
      </c>
      <c r="C18" s="1218" t="str">
        <f t="shared" si="10"/>
        <v>Dólares</v>
      </c>
      <c r="D18" s="44"/>
      <c r="E18" s="836"/>
      <c r="F18" s="50"/>
      <c r="G18" s="50" t="str">
        <f t="shared" si="1"/>
        <v xml:space="preserve"> </v>
      </c>
      <c r="H18" s="45">
        <v>0</v>
      </c>
      <c r="I18" s="49" t="str">
        <f>IFERROR(VLOOKUP(G18,Proveedores!B:C,2,0)," ")</f>
        <v xml:space="preserve"> </v>
      </c>
      <c r="J18" s="838">
        <v>0</v>
      </c>
      <c r="K18" s="1124"/>
      <c r="L18" s="1266">
        <f t="shared" si="2"/>
        <v>0</v>
      </c>
      <c r="M18" s="1267">
        <f t="shared" si="11"/>
        <v>0</v>
      </c>
      <c r="N18" s="1268">
        <f t="shared" si="22"/>
        <v>0</v>
      </c>
      <c r="O18" s="836" t="str">
        <f>IFERROR(VLOOKUP(G18,Proveedores!B:D,3,0)," ")</f>
        <v xml:space="preserve"> </v>
      </c>
      <c r="P18" s="836"/>
      <c r="Q18" s="1127" t="e">
        <f t="shared" si="3"/>
        <v>#N/A</v>
      </c>
      <c r="R18" s="1127" t="b">
        <f t="shared" si="20"/>
        <v>0</v>
      </c>
      <c r="S18" s="1127" t="e">
        <f t="shared" si="4"/>
        <v>#N/A</v>
      </c>
      <c r="T18" s="1127" t="b">
        <f t="shared" si="12"/>
        <v>0</v>
      </c>
      <c r="U18" s="1127">
        <f t="shared" si="13"/>
        <v>0</v>
      </c>
      <c r="V18" s="1127" t="e">
        <f t="shared" si="14"/>
        <v>#DIV/0!</v>
      </c>
      <c r="W18" s="1127" t="e">
        <f>IF(F18="Offiho",J18,IF(_xlfn.XLOOKUP(F18,Proveedores!A$2:A$50,Proveedores!E$2:E$50,"")="Nacional",(J18/0.5)+(V18*H18),((J18/0.3/0.5)+(V18*H18))))</f>
        <v>#DIV/0!</v>
      </c>
      <c r="X18" s="1127" t="e">
        <f t="shared" si="15"/>
        <v>#DIV/0!</v>
      </c>
      <c r="Y18" s="1126" t="b">
        <f t="shared" si="5"/>
        <v>0</v>
      </c>
      <c r="Z18" s="43">
        <v>0</v>
      </c>
      <c r="AA18" s="1219" t="e">
        <f t="shared" si="16"/>
        <v>#DIV/0!</v>
      </c>
      <c r="AB18" s="1219" t="e">
        <f t="shared" si="17"/>
        <v>#DIV/0!</v>
      </c>
      <c r="AC18" s="1219" t="e">
        <f t="shared" si="18"/>
        <v>#DIV/0!</v>
      </c>
      <c r="AD18" s="1126" t="e">
        <f t="shared" si="19"/>
        <v>#DIV/0!</v>
      </c>
      <c r="AE18" s="1217" t="e">
        <f t="shared" si="6"/>
        <v>#DIV/0!</v>
      </c>
      <c r="AF18" s="1220" t="e">
        <f t="shared" si="7"/>
        <v>#DIV/0!</v>
      </c>
      <c r="AG18" s="1176" t="e">
        <f t="shared" si="8"/>
        <v>#DIV/0!</v>
      </c>
      <c r="AH18" s="1221" t="e">
        <f t="shared" si="21"/>
        <v>#DIV/0!</v>
      </c>
      <c r="AQ18" s="1158"/>
      <c r="AR18" s="1166" t="s">
        <v>113</v>
      </c>
      <c r="AS18" s="1157" t="e">
        <f>(AS16/AS15)-1</f>
        <v>#DIV/0!</v>
      </c>
      <c r="AT18" s="1167" t="s">
        <v>114</v>
      </c>
      <c r="AU18" s="1411"/>
      <c r="AV18" s="1222"/>
    </row>
    <row r="19" spans="1:48" ht="16" thickBot="1">
      <c r="A19" s="1216" t="b">
        <f t="shared" si="0"/>
        <v>1</v>
      </c>
      <c r="B19" s="1217" t="b">
        <f t="shared" si="9"/>
        <v>1</v>
      </c>
      <c r="C19" s="1218" t="str">
        <f t="shared" si="10"/>
        <v>Dólares</v>
      </c>
      <c r="D19" s="44"/>
      <c r="E19" s="836"/>
      <c r="F19" s="50"/>
      <c r="G19" s="50" t="str">
        <f t="shared" si="1"/>
        <v xml:space="preserve"> </v>
      </c>
      <c r="H19" s="45">
        <v>0</v>
      </c>
      <c r="I19" s="49" t="str">
        <f>IFERROR(VLOOKUP(G19,Proveedores!B:C,2,0)," ")</f>
        <v xml:space="preserve"> </v>
      </c>
      <c r="J19" s="838">
        <v>0</v>
      </c>
      <c r="K19" s="1124"/>
      <c r="L19" s="1266">
        <f t="shared" si="2"/>
        <v>0</v>
      </c>
      <c r="M19" s="1267">
        <f t="shared" si="11"/>
        <v>0</v>
      </c>
      <c r="N19" s="1268">
        <f t="shared" si="22"/>
        <v>0</v>
      </c>
      <c r="O19" s="836" t="str">
        <f>IFERROR(VLOOKUP(G19,Proveedores!B:D,3,0)," ")</f>
        <v xml:space="preserve"> </v>
      </c>
      <c r="P19" s="836"/>
      <c r="Q19" s="1127" t="e">
        <f t="shared" si="3"/>
        <v>#N/A</v>
      </c>
      <c r="R19" s="1127" t="b">
        <f t="shared" si="20"/>
        <v>0</v>
      </c>
      <c r="S19" s="1127" t="e">
        <f t="shared" si="4"/>
        <v>#N/A</v>
      </c>
      <c r="T19" s="1127" t="b">
        <f t="shared" si="12"/>
        <v>0</v>
      </c>
      <c r="U19" s="1127">
        <f t="shared" si="13"/>
        <v>0</v>
      </c>
      <c r="V19" s="1127" t="e">
        <f t="shared" si="14"/>
        <v>#DIV/0!</v>
      </c>
      <c r="W19" s="1127" t="e">
        <f>IF(F19="Offiho",J19,IF(_xlfn.XLOOKUP(F19,Proveedores!A$2:A$50,Proveedores!E$2:E$50,"")="Nacional",(J19/0.5)+(V19*H19),((J19/0.3/0.5)+(V19*H19))))</f>
        <v>#DIV/0!</v>
      </c>
      <c r="X19" s="1127" t="e">
        <f t="shared" si="15"/>
        <v>#DIV/0!</v>
      </c>
      <c r="Y19" s="1126" t="b">
        <f t="shared" si="5"/>
        <v>0</v>
      </c>
      <c r="Z19" s="43">
        <v>0</v>
      </c>
      <c r="AA19" s="1219" t="e">
        <f t="shared" si="16"/>
        <v>#DIV/0!</v>
      </c>
      <c r="AB19" s="1219" t="e">
        <f t="shared" si="17"/>
        <v>#DIV/0!</v>
      </c>
      <c r="AC19" s="1219" t="e">
        <f t="shared" si="18"/>
        <v>#DIV/0!</v>
      </c>
      <c r="AD19" s="1126" t="e">
        <f t="shared" si="19"/>
        <v>#DIV/0!</v>
      </c>
      <c r="AE19" s="1217" t="e">
        <f t="shared" si="6"/>
        <v>#DIV/0!</v>
      </c>
      <c r="AF19" s="1220" t="e">
        <f t="shared" si="7"/>
        <v>#DIV/0!</v>
      </c>
      <c r="AG19" s="1176" t="e">
        <f t="shared" si="8"/>
        <v>#DIV/0!</v>
      </c>
      <c r="AH19" s="1221" t="e">
        <f>IF(AG19&lt;30%,"ERROR","OK")</f>
        <v>#DIV/0!</v>
      </c>
      <c r="AQ19" s="1160"/>
      <c r="AR19" s="1158"/>
      <c r="AS19" s="1159"/>
      <c r="AT19" s="1223"/>
      <c r="AU19" s="1412"/>
      <c r="AV19" s="1224"/>
    </row>
    <row r="20" spans="1:48" ht="16" thickBot="1">
      <c r="A20" s="1216" t="b">
        <f t="shared" si="0"/>
        <v>1</v>
      </c>
      <c r="B20" s="1217" t="b">
        <f t="shared" si="9"/>
        <v>1</v>
      </c>
      <c r="C20" s="1218" t="str">
        <f t="shared" si="10"/>
        <v>Dólares</v>
      </c>
      <c r="D20" s="44"/>
      <c r="E20" s="836"/>
      <c r="F20" s="50"/>
      <c r="G20" s="50" t="str">
        <f t="shared" si="1"/>
        <v xml:space="preserve"> </v>
      </c>
      <c r="H20" s="45">
        <v>0</v>
      </c>
      <c r="I20" s="49" t="str">
        <f>IFERROR(VLOOKUP(G20,Proveedores!B:C,2,0)," ")</f>
        <v xml:space="preserve"> </v>
      </c>
      <c r="J20" s="838">
        <v>0</v>
      </c>
      <c r="K20" s="1124"/>
      <c r="L20" s="1266">
        <f t="shared" si="2"/>
        <v>0</v>
      </c>
      <c r="M20" s="1267">
        <f t="shared" ref="M20:M46" si="23">IF(F20="Offiho", J20*0.55, IF(AND(F20&lt;&gt;"Sunon Inc",F20&lt;&gt;"Alma - Exterior",F20&lt;&gt;"Yabo - Hotelería",F20&lt;&gt;"OSJ - Medical",F20&lt;&gt;"Seezo - Home",F20&lt;&gt;"A&amp;D -Home",F20&lt;&gt;"Encore Alfombras Hoteleria Asia",F20&lt;&gt;"Zhong Xian - Leds",F20&lt;&gt;"Tarkett Europa",F20&lt;&gt;"2tec2",F20&lt;&gt;"Balsan Europa",F20&lt;&gt;"Armstrong Pisos USA",F20&lt;&gt;"Tarkett USA",F20&lt;&gt;"Tarkett Brasil"),J20,IFERROR(IF(J579&lt;=$AO$578,J20*2.14,IF(J579&lt;=$AN$579,J20*1.8,IF(J579&gt;$AN$580,J20*1.5))),J20))*1.1)</f>
        <v>0</v>
      </c>
      <c r="N20" s="1268">
        <f t="shared" si="22"/>
        <v>0</v>
      </c>
      <c r="O20" s="836" t="str">
        <f>IFERROR(VLOOKUP(G20,Proveedores!B:D,3,0)," ")</f>
        <v xml:space="preserve"> </v>
      </c>
      <c r="P20" s="836"/>
      <c r="Q20" s="1127" t="e">
        <f t="shared" si="3"/>
        <v>#N/A</v>
      </c>
      <c r="R20" s="1127" t="b">
        <f t="shared" si="20"/>
        <v>0</v>
      </c>
      <c r="S20" s="1127" t="e">
        <f t="shared" si="4"/>
        <v>#N/A</v>
      </c>
      <c r="T20" s="1127" t="b">
        <f t="shared" si="12"/>
        <v>0</v>
      </c>
      <c r="U20" s="1127">
        <f t="shared" si="13"/>
        <v>0</v>
      </c>
      <c r="V20" s="1127" t="e">
        <f t="shared" si="14"/>
        <v>#DIV/0!</v>
      </c>
      <c r="W20" s="1127" t="e">
        <f>IF(F20="Offiho",J20,IF(_xlfn.XLOOKUP(F20,Proveedores!A$2:A$50,Proveedores!E$2:E$50,"")="Nacional",(J20/0.5)+(V20*H20),((J20/0.3/0.5)+(V20*H20))))</f>
        <v>#DIV/0!</v>
      </c>
      <c r="X20" s="1127" t="e">
        <f t="shared" si="15"/>
        <v>#DIV/0!</v>
      </c>
      <c r="Y20" s="1126" t="b">
        <f t="shared" si="5"/>
        <v>0</v>
      </c>
      <c r="Z20" s="43">
        <v>0</v>
      </c>
      <c r="AA20" s="1219" t="e">
        <f t="shared" si="16"/>
        <v>#DIV/0!</v>
      </c>
      <c r="AB20" s="1219" t="e">
        <f t="shared" si="17"/>
        <v>#DIV/0!</v>
      </c>
      <c r="AC20" s="1219" t="e">
        <f t="shared" si="18"/>
        <v>#DIV/0!</v>
      </c>
      <c r="AD20" s="1126" t="e">
        <f t="shared" si="19"/>
        <v>#DIV/0!</v>
      </c>
      <c r="AE20" s="1217" t="e">
        <f t="shared" si="6"/>
        <v>#DIV/0!</v>
      </c>
      <c r="AF20" s="1220" t="e">
        <f t="shared" si="7"/>
        <v>#DIV/0!</v>
      </c>
      <c r="AG20" s="1176" t="e">
        <f t="shared" si="8"/>
        <v>#DIV/0!</v>
      </c>
      <c r="AH20" s="1221" t="e">
        <f t="shared" ref="AH20:AH46" si="24">IF(AG20&lt;30%,"ERROR","OK")</f>
        <v>#DIV/0!</v>
      </c>
      <c r="AQ20" s="1185"/>
      <c r="AR20" s="1168"/>
      <c r="AS20" s="1161"/>
      <c r="AT20" s="1225"/>
      <c r="AU20" s="1222"/>
      <c r="AV20" s="1222"/>
    </row>
    <row r="21" spans="1:48" ht="15.5">
      <c r="A21" s="1216" t="b">
        <f t="shared" si="0"/>
        <v>1</v>
      </c>
      <c r="B21" s="1217" t="b">
        <f t="shared" ref="B21" si="25">A21</f>
        <v>1</v>
      </c>
      <c r="C21" s="1218" t="str">
        <f t="shared" si="10"/>
        <v>Dólares</v>
      </c>
      <c r="D21" s="44"/>
      <c r="E21" s="836"/>
      <c r="F21" s="50"/>
      <c r="G21" s="50" t="str">
        <f t="shared" si="1"/>
        <v xml:space="preserve"> </v>
      </c>
      <c r="H21" s="45">
        <v>0</v>
      </c>
      <c r="I21" s="49" t="str">
        <f>IFERROR(VLOOKUP(G21,Proveedores!B:C,2,0)," ")</f>
        <v xml:space="preserve"> </v>
      </c>
      <c r="J21" s="838">
        <v>0</v>
      </c>
      <c r="K21" s="1124"/>
      <c r="L21" s="1266">
        <f t="shared" si="2"/>
        <v>0</v>
      </c>
      <c r="M21" s="1267">
        <f t="shared" si="23"/>
        <v>0</v>
      </c>
      <c r="N21" s="1268">
        <f t="shared" si="22"/>
        <v>0</v>
      </c>
      <c r="O21" s="836" t="str">
        <f>IFERROR(VLOOKUP(G21,Proveedores!B:D,3,0)," ")</f>
        <v xml:space="preserve"> </v>
      </c>
      <c r="P21" s="836"/>
      <c r="Q21" s="1127" t="e">
        <f t="shared" si="3"/>
        <v>#N/A</v>
      </c>
      <c r="R21" s="1127" t="b">
        <f t="shared" si="20"/>
        <v>0</v>
      </c>
      <c r="S21" s="1127" t="e">
        <f t="shared" si="4"/>
        <v>#N/A</v>
      </c>
      <c r="T21" s="1127" t="b">
        <f t="shared" si="12"/>
        <v>0</v>
      </c>
      <c r="U21" s="1127">
        <f t="shared" si="13"/>
        <v>0</v>
      </c>
      <c r="V21" s="1127" t="e">
        <f t="shared" si="14"/>
        <v>#DIV/0!</v>
      </c>
      <c r="W21" s="1127" t="e">
        <f>IF(F21="Offiho",J21,IF(_xlfn.XLOOKUP(F21,Proveedores!A$2:A$50,Proveedores!E$2:E$50,"")="Nacional",(J21/0.5)+(V21*H21),((J21/0.3/0.5)+(V21*H21))))</f>
        <v>#DIV/0!</v>
      </c>
      <c r="X21" s="1127" t="e">
        <f t="shared" si="15"/>
        <v>#DIV/0!</v>
      </c>
      <c r="Y21" s="1126" t="b">
        <f t="shared" si="5"/>
        <v>0</v>
      </c>
      <c r="Z21" s="43">
        <v>0</v>
      </c>
      <c r="AA21" s="1219" t="e">
        <f t="shared" ref="AA21" si="26">W21*Z21</f>
        <v>#DIV/0!</v>
      </c>
      <c r="AB21" s="1219" t="e">
        <f t="shared" si="17"/>
        <v>#DIV/0!</v>
      </c>
      <c r="AC21" s="1219" t="e">
        <f t="shared" si="18"/>
        <v>#DIV/0!</v>
      </c>
      <c r="AD21" s="1126" t="e">
        <f t="shared" si="19"/>
        <v>#DIV/0!</v>
      </c>
      <c r="AE21" s="1217" t="e">
        <f t="shared" si="6"/>
        <v>#DIV/0!</v>
      </c>
      <c r="AF21" s="1220" t="e">
        <f t="shared" si="7"/>
        <v>#DIV/0!</v>
      </c>
      <c r="AG21" s="1176" t="e">
        <f t="shared" si="8"/>
        <v>#DIV/0!</v>
      </c>
      <c r="AH21" s="1221" t="e">
        <f t="shared" ref="AH21" si="27">IF(AG21&lt;30%,"ERROR","OK")</f>
        <v>#DIV/0!</v>
      </c>
      <c r="AQ21" s="1185"/>
      <c r="AR21" s="1185"/>
      <c r="AS21" s="1185"/>
      <c r="AT21" s="1226"/>
      <c r="AU21" s="1222"/>
      <c r="AV21" s="1222"/>
    </row>
    <row r="22" spans="1:48" ht="15.5">
      <c r="A22" s="1216" t="b">
        <f t="shared" si="0"/>
        <v>1</v>
      </c>
      <c r="B22" s="1217" t="b">
        <f t="shared" ref="B22" si="28">A22</f>
        <v>1</v>
      </c>
      <c r="C22" s="1218" t="str">
        <f t="shared" si="10"/>
        <v>Dólares</v>
      </c>
      <c r="D22" s="44"/>
      <c r="E22" s="836"/>
      <c r="F22" s="50"/>
      <c r="G22" s="50" t="str">
        <f t="shared" si="1"/>
        <v xml:space="preserve"> </v>
      </c>
      <c r="H22" s="45">
        <v>0</v>
      </c>
      <c r="I22" s="49" t="str">
        <f>IFERROR(VLOOKUP(G22,Proveedores!B:C,2,0)," ")</f>
        <v xml:space="preserve"> </v>
      </c>
      <c r="J22" s="838">
        <v>0</v>
      </c>
      <c r="K22" s="1124"/>
      <c r="L22" s="1266">
        <f t="shared" si="2"/>
        <v>0</v>
      </c>
      <c r="M22" s="1267">
        <f t="shared" si="23"/>
        <v>0</v>
      </c>
      <c r="N22" s="1268">
        <f t="shared" si="22"/>
        <v>0</v>
      </c>
      <c r="O22" s="836" t="str">
        <f>IFERROR(VLOOKUP(G22,Proveedores!B:D,3,0)," ")</f>
        <v xml:space="preserve"> </v>
      </c>
      <c r="P22" s="836"/>
      <c r="Q22" s="1127" t="e">
        <f t="shared" si="3"/>
        <v>#N/A</v>
      </c>
      <c r="R22" s="1127" t="b">
        <f t="shared" si="20"/>
        <v>0</v>
      </c>
      <c r="S22" s="1127" t="e">
        <f t="shared" si="4"/>
        <v>#N/A</v>
      </c>
      <c r="T22" s="1127" t="b">
        <f t="shared" si="12"/>
        <v>0</v>
      </c>
      <c r="U22" s="1127">
        <f t="shared" si="13"/>
        <v>0</v>
      </c>
      <c r="V22" s="1127" t="e">
        <f t="shared" si="14"/>
        <v>#DIV/0!</v>
      </c>
      <c r="W22" s="1127" t="e">
        <f>IF(F22="Offiho",J22,IF(_xlfn.XLOOKUP(F22,Proveedores!A$2:A$50,Proveedores!E$2:E$50,"")="Nacional",(J22/0.5)+(V22*H22),((J22/0.3/0.5)+(V22*H22))))</f>
        <v>#DIV/0!</v>
      </c>
      <c r="X22" s="1127" t="e">
        <f t="shared" si="15"/>
        <v>#DIV/0!</v>
      </c>
      <c r="Y22" s="1126" t="b">
        <f t="shared" si="5"/>
        <v>0</v>
      </c>
      <c r="Z22" s="43">
        <v>0</v>
      </c>
      <c r="AA22" s="1219" t="e">
        <f t="shared" ref="AA22" si="29">W22*Z22</f>
        <v>#DIV/0!</v>
      </c>
      <c r="AB22" s="1219" t="e">
        <f t="shared" si="17"/>
        <v>#DIV/0!</v>
      </c>
      <c r="AC22" s="1219" t="e">
        <f t="shared" si="18"/>
        <v>#DIV/0!</v>
      </c>
      <c r="AD22" s="1126" t="e">
        <f t="shared" si="19"/>
        <v>#DIV/0!</v>
      </c>
      <c r="AE22" s="1217" t="e">
        <f t="shared" si="6"/>
        <v>#DIV/0!</v>
      </c>
      <c r="AF22" s="1220" t="e">
        <f t="shared" si="7"/>
        <v>#DIV/0!</v>
      </c>
      <c r="AG22" s="1176" t="e">
        <f t="shared" si="8"/>
        <v>#DIV/0!</v>
      </c>
      <c r="AH22" s="1221" t="e">
        <f t="shared" ref="AH22" si="30">IF(AG22&lt;30%,"ERROR","OK")</f>
        <v>#DIV/0!</v>
      </c>
      <c r="AQ22" s="1172"/>
      <c r="AR22" s="1185"/>
      <c r="AS22" s="1185"/>
      <c r="AT22" s="1226"/>
      <c r="AU22" s="1188"/>
      <c r="AV22" s="1188"/>
    </row>
    <row r="23" spans="1:48" ht="15.5">
      <c r="A23" s="1216" t="b">
        <f t="shared" si="0"/>
        <v>1</v>
      </c>
      <c r="B23" s="1217" t="b">
        <f t="shared" si="9"/>
        <v>1</v>
      </c>
      <c r="C23" s="1218" t="str">
        <f t="shared" si="10"/>
        <v>Dólares</v>
      </c>
      <c r="D23" s="44"/>
      <c r="E23" s="836"/>
      <c r="F23" s="50"/>
      <c r="G23" s="50" t="str">
        <f t="shared" si="1"/>
        <v xml:space="preserve"> </v>
      </c>
      <c r="H23" s="45">
        <v>0</v>
      </c>
      <c r="I23" s="49" t="str">
        <f>IFERROR(VLOOKUP(G23,Proveedores!B:C,2,0)," ")</f>
        <v xml:space="preserve"> </v>
      </c>
      <c r="J23" s="838">
        <v>0</v>
      </c>
      <c r="K23" s="1124"/>
      <c r="L23" s="1266">
        <f t="shared" si="2"/>
        <v>0</v>
      </c>
      <c r="M23" s="1267">
        <f t="shared" si="23"/>
        <v>0</v>
      </c>
      <c r="N23" s="1268">
        <f t="shared" si="22"/>
        <v>0</v>
      </c>
      <c r="O23" s="836" t="str">
        <f>IFERROR(VLOOKUP(G23,Proveedores!B:D,3,0)," ")</f>
        <v xml:space="preserve"> </v>
      </c>
      <c r="P23" s="836"/>
      <c r="Q23" s="1127" t="e">
        <f t="shared" si="3"/>
        <v>#N/A</v>
      </c>
      <c r="R23" s="1127" t="b">
        <f t="shared" si="20"/>
        <v>0</v>
      </c>
      <c r="S23" s="1127" t="e">
        <f t="shared" si="4"/>
        <v>#N/A</v>
      </c>
      <c r="T23" s="1127" t="b">
        <f t="shared" si="12"/>
        <v>0</v>
      </c>
      <c r="U23" s="1127">
        <f t="shared" si="13"/>
        <v>0</v>
      </c>
      <c r="V23" s="1127" t="e">
        <f t="shared" si="14"/>
        <v>#DIV/0!</v>
      </c>
      <c r="W23" s="1127" t="e">
        <f>IF(F23="Offiho",J23,IF(_xlfn.XLOOKUP(F23,Proveedores!A$2:A$50,Proveedores!E$2:E$50,"")="Nacional",(J23/0.5)+(V23*H23),((J23/0.3/0.5)+(V23*H23))))</f>
        <v>#DIV/0!</v>
      </c>
      <c r="X23" s="1127" t="e">
        <f t="shared" si="15"/>
        <v>#DIV/0!</v>
      </c>
      <c r="Y23" s="1126" t="b">
        <f t="shared" si="5"/>
        <v>0</v>
      </c>
      <c r="Z23" s="43">
        <v>0</v>
      </c>
      <c r="AA23" s="1219" t="e">
        <f t="shared" si="16"/>
        <v>#DIV/0!</v>
      </c>
      <c r="AB23" s="1219" t="e">
        <f t="shared" si="17"/>
        <v>#DIV/0!</v>
      </c>
      <c r="AC23" s="1219" t="e">
        <f t="shared" si="18"/>
        <v>#DIV/0!</v>
      </c>
      <c r="AD23" s="1126" t="e">
        <f t="shared" si="19"/>
        <v>#DIV/0!</v>
      </c>
      <c r="AE23" s="1217" t="e">
        <f t="shared" si="6"/>
        <v>#DIV/0!</v>
      </c>
      <c r="AF23" s="1220" t="e">
        <f t="shared" si="7"/>
        <v>#DIV/0!</v>
      </c>
      <c r="AG23" s="1176" t="e">
        <f t="shared" si="8"/>
        <v>#DIV/0!</v>
      </c>
      <c r="AH23" s="1221" t="e">
        <f t="shared" si="24"/>
        <v>#DIV/0!</v>
      </c>
      <c r="AQ23" s="1172"/>
      <c r="AR23" s="1172"/>
      <c r="AS23" s="1172"/>
      <c r="AT23" s="1187"/>
      <c r="AU23" s="1188"/>
      <c r="AV23" s="1188"/>
    </row>
    <row r="24" spans="1:48" ht="15.5">
      <c r="A24" s="1216" t="b">
        <f t="shared" si="0"/>
        <v>1</v>
      </c>
      <c r="B24" s="1217" t="b">
        <f t="shared" si="9"/>
        <v>1</v>
      </c>
      <c r="C24" s="1218" t="str">
        <f t="shared" si="10"/>
        <v>Dólares</v>
      </c>
      <c r="D24" s="44"/>
      <c r="E24" s="836"/>
      <c r="F24" s="50"/>
      <c r="G24" s="50" t="str">
        <f t="shared" si="1"/>
        <v xml:space="preserve"> </v>
      </c>
      <c r="H24" s="45">
        <v>0</v>
      </c>
      <c r="I24" s="49" t="str">
        <f>IFERROR(VLOOKUP(G24,Proveedores!B:C,2,0)," ")</f>
        <v xml:space="preserve"> </v>
      </c>
      <c r="J24" s="838">
        <v>0</v>
      </c>
      <c r="K24" s="1124"/>
      <c r="L24" s="1266">
        <f t="shared" si="2"/>
        <v>0</v>
      </c>
      <c r="M24" s="1267">
        <f t="shared" si="23"/>
        <v>0</v>
      </c>
      <c r="N24" s="1268">
        <f t="shared" si="22"/>
        <v>0</v>
      </c>
      <c r="O24" s="836" t="str">
        <f>IFERROR(VLOOKUP(G24,Proveedores!B:D,3,0)," ")</f>
        <v xml:space="preserve"> </v>
      </c>
      <c r="P24" s="836"/>
      <c r="Q24" s="1127" t="e">
        <f t="shared" si="3"/>
        <v>#N/A</v>
      </c>
      <c r="R24" s="1127" t="b">
        <f t="shared" si="20"/>
        <v>0</v>
      </c>
      <c r="S24" s="1127" t="e">
        <f t="shared" si="4"/>
        <v>#N/A</v>
      </c>
      <c r="T24" s="1127" t="b">
        <f t="shared" si="12"/>
        <v>0</v>
      </c>
      <c r="U24" s="1127">
        <f t="shared" si="13"/>
        <v>0</v>
      </c>
      <c r="V24" s="1127" t="e">
        <f t="shared" si="14"/>
        <v>#DIV/0!</v>
      </c>
      <c r="W24" s="1127" t="e">
        <f>IF(F24="Offiho",J24,IF(_xlfn.XLOOKUP(F24,Proveedores!A$2:A$50,Proveedores!E$2:E$50,"")="Nacional",(J24/0.5)+(V24*H24),((J24/0.3/0.5)+(V24*H24))))</f>
        <v>#DIV/0!</v>
      </c>
      <c r="X24" s="1127" t="e">
        <f t="shared" si="15"/>
        <v>#DIV/0!</v>
      </c>
      <c r="Y24" s="1126" t="b">
        <f t="shared" si="5"/>
        <v>0</v>
      </c>
      <c r="Z24" s="43">
        <v>0</v>
      </c>
      <c r="AA24" s="1219" t="e">
        <f t="shared" si="16"/>
        <v>#DIV/0!</v>
      </c>
      <c r="AB24" s="1219" t="e">
        <f t="shared" si="17"/>
        <v>#DIV/0!</v>
      </c>
      <c r="AC24" s="1219" t="e">
        <f t="shared" si="18"/>
        <v>#DIV/0!</v>
      </c>
      <c r="AD24" s="1126" t="e">
        <f t="shared" si="19"/>
        <v>#DIV/0!</v>
      </c>
      <c r="AE24" s="1217" t="e">
        <f t="shared" si="6"/>
        <v>#DIV/0!</v>
      </c>
      <c r="AF24" s="1220" t="e">
        <f t="shared" si="7"/>
        <v>#DIV/0!</v>
      </c>
      <c r="AG24" s="1176" t="e">
        <f t="shared" si="8"/>
        <v>#DIV/0!</v>
      </c>
      <c r="AH24" s="1221" t="e">
        <f t="shared" si="24"/>
        <v>#DIV/0!</v>
      </c>
      <c r="AQ24" s="1172"/>
      <c r="AR24" s="1172"/>
      <c r="AS24" s="1172"/>
      <c r="AT24" s="1187"/>
      <c r="AU24" s="1188"/>
      <c r="AV24" s="1188"/>
    </row>
    <row r="25" spans="1:48" ht="15.5">
      <c r="A25" s="1216" t="b">
        <f t="shared" si="0"/>
        <v>1</v>
      </c>
      <c r="B25" s="1217" t="b">
        <f t="shared" si="9"/>
        <v>1</v>
      </c>
      <c r="C25" s="1218" t="str">
        <f t="shared" si="10"/>
        <v>Dólares</v>
      </c>
      <c r="D25" s="44"/>
      <c r="E25" s="836"/>
      <c r="F25" s="50"/>
      <c r="G25" s="50" t="str">
        <f t="shared" si="1"/>
        <v xml:space="preserve"> </v>
      </c>
      <c r="H25" s="45">
        <v>0</v>
      </c>
      <c r="I25" s="49" t="str">
        <f>IFERROR(VLOOKUP(G25,Proveedores!B:C,2,0)," ")</f>
        <v xml:space="preserve"> </v>
      </c>
      <c r="J25" s="838">
        <v>0</v>
      </c>
      <c r="K25" s="1124"/>
      <c r="L25" s="1266">
        <f t="shared" si="2"/>
        <v>0</v>
      </c>
      <c r="M25" s="1267">
        <f t="shared" si="23"/>
        <v>0</v>
      </c>
      <c r="N25" s="1268">
        <f t="shared" si="22"/>
        <v>0</v>
      </c>
      <c r="O25" s="836" t="str">
        <f>IFERROR(VLOOKUP(G25,Proveedores!B:D,3,0)," ")</f>
        <v xml:space="preserve"> </v>
      </c>
      <c r="P25" s="836"/>
      <c r="Q25" s="1127" t="e">
        <f t="shared" si="3"/>
        <v>#N/A</v>
      </c>
      <c r="R25" s="1127" t="b">
        <f t="shared" si="20"/>
        <v>0</v>
      </c>
      <c r="S25" s="1127" t="e">
        <f t="shared" si="4"/>
        <v>#N/A</v>
      </c>
      <c r="T25" s="1127" t="b">
        <f t="shared" si="12"/>
        <v>0</v>
      </c>
      <c r="U25" s="1127">
        <f t="shared" si="13"/>
        <v>0</v>
      </c>
      <c r="V25" s="1127" t="e">
        <f t="shared" si="14"/>
        <v>#DIV/0!</v>
      </c>
      <c r="W25" s="1127" t="e">
        <f>IF(F25="Offiho",J25,IF(_xlfn.XLOOKUP(F25,Proveedores!A$2:A$50,Proveedores!E$2:E$50,"")="Nacional",(J25/0.5)+(V25*H25),((J25/0.3/0.5)+(V25*H25))))</f>
        <v>#DIV/0!</v>
      </c>
      <c r="X25" s="1127" t="e">
        <f t="shared" si="15"/>
        <v>#DIV/0!</v>
      </c>
      <c r="Y25" s="1126" t="b">
        <f t="shared" si="5"/>
        <v>0</v>
      </c>
      <c r="Z25" s="43">
        <v>0</v>
      </c>
      <c r="AA25" s="1219" t="e">
        <f t="shared" si="16"/>
        <v>#DIV/0!</v>
      </c>
      <c r="AB25" s="1219" t="e">
        <f t="shared" si="17"/>
        <v>#DIV/0!</v>
      </c>
      <c r="AC25" s="1219" t="e">
        <f t="shared" si="18"/>
        <v>#DIV/0!</v>
      </c>
      <c r="AD25" s="1126" t="e">
        <f t="shared" si="19"/>
        <v>#DIV/0!</v>
      </c>
      <c r="AE25" s="1217" t="e">
        <f t="shared" si="6"/>
        <v>#DIV/0!</v>
      </c>
      <c r="AF25" s="1220" t="e">
        <f t="shared" si="7"/>
        <v>#DIV/0!</v>
      </c>
      <c r="AG25" s="1176" t="e">
        <f t="shared" si="8"/>
        <v>#DIV/0!</v>
      </c>
      <c r="AH25" s="1221" t="e">
        <f t="shared" si="24"/>
        <v>#DIV/0!</v>
      </c>
    </row>
    <row r="26" spans="1:48" ht="15.5">
      <c r="A26" s="1216" t="b">
        <f t="shared" si="0"/>
        <v>1</v>
      </c>
      <c r="B26" s="1217" t="b">
        <f t="shared" si="9"/>
        <v>1</v>
      </c>
      <c r="C26" s="1218" t="str">
        <f t="shared" si="10"/>
        <v>Dólares</v>
      </c>
      <c r="D26" s="44"/>
      <c r="E26" s="836"/>
      <c r="F26" s="50"/>
      <c r="G26" s="50" t="str">
        <f t="shared" si="1"/>
        <v xml:space="preserve"> </v>
      </c>
      <c r="H26" s="45">
        <v>0</v>
      </c>
      <c r="I26" s="49" t="str">
        <f>IFERROR(VLOOKUP(G26,Proveedores!B:C,2,0)," ")</f>
        <v xml:space="preserve"> </v>
      </c>
      <c r="J26" s="838">
        <v>0</v>
      </c>
      <c r="K26" s="1124"/>
      <c r="L26" s="1266">
        <f t="shared" si="2"/>
        <v>0</v>
      </c>
      <c r="M26" s="1267">
        <f t="shared" si="23"/>
        <v>0</v>
      </c>
      <c r="N26" s="1268">
        <f t="shared" si="22"/>
        <v>0</v>
      </c>
      <c r="O26" s="836" t="str">
        <f>IFERROR(VLOOKUP(G26,Proveedores!B:D,3,0)," ")</f>
        <v xml:space="preserve"> </v>
      </c>
      <c r="P26" s="836"/>
      <c r="Q26" s="1127" t="e">
        <f t="shared" si="3"/>
        <v>#N/A</v>
      </c>
      <c r="R26" s="1127" t="b">
        <f t="shared" si="20"/>
        <v>0</v>
      </c>
      <c r="S26" s="1127" t="e">
        <f t="shared" si="4"/>
        <v>#N/A</v>
      </c>
      <c r="T26" s="1127" t="b">
        <f t="shared" si="12"/>
        <v>0</v>
      </c>
      <c r="U26" s="1127">
        <f t="shared" si="13"/>
        <v>0</v>
      </c>
      <c r="V26" s="1127" t="e">
        <f t="shared" si="14"/>
        <v>#DIV/0!</v>
      </c>
      <c r="W26" s="1127" t="e">
        <f>IF(F26="Offiho",J26,IF(_xlfn.XLOOKUP(F26,Proveedores!A$2:A$50,Proveedores!E$2:E$50,"")="Nacional",(J26/0.5)+(V26*H26),((J26/0.3/0.5)+(V26*H26))))</f>
        <v>#DIV/0!</v>
      </c>
      <c r="X26" s="1127" t="e">
        <f t="shared" si="15"/>
        <v>#DIV/0!</v>
      </c>
      <c r="Y26" s="1126" t="b">
        <f t="shared" si="5"/>
        <v>0</v>
      </c>
      <c r="Z26" s="43">
        <v>0</v>
      </c>
      <c r="AA26" s="1219" t="e">
        <f t="shared" si="16"/>
        <v>#DIV/0!</v>
      </c>
      <c r="AB26" s="1219" t="e">
        <f t="shared" si="17"/>
        <v>#DIV/0!</v>
      </c>
      <c r="AC26" s="1219" t="e">
        <f t="shared" si="18"/>
        <v>#DIV/0!</v>
      </c>
      <c r="AD26" s="1126" t="e">
        <f t="shared" si="19"/>
        <v>#DIV/0!</v>
      </c>
      <c r="AE26" s="1217" t="e">
        <f t="shared" si="6"/>
        <v>#DIV/0!</v>
      </c>
      <c r="AF26" s="1220" t="e">
        <f t="shared" si="7"/>
        <v>#DIV/0!</v>
      </c>
      <c r="AG26" s="1176" t="e">
        <f t="shared" si="8"/>
        <v>#DIV/0!</v>
      </c>
      <c r="AH26" s="1221" t="e">
        <f t="shared" si="24"/>
        <v>#DIV/0!</v>
      </c>
    </row>
    <row r="27" spans="1:48" ht="15.5">
      <c r="A27" s="1216" t="b">
        <f t="shared" si="0"/>
        <v>1</v>
      </c>
      <c r="B27" s="1217" t="b">
        <f t="shared" si="9"/>
        <v>1</v>
      </c>
      <c r="C27" s="1218" t="str">
        <f t="shared" si="10"/>
        <v>Dólares</v>
      </c>
      <c r="D27" s="44"/>
      <c r="E27" s="836"/>
      <c r="F27" s="50"/>
      <c r="G27" s="50" t="str">
        <f t="shared" si="1"/>
        <v xml:space="preserve"> </v>
      </c>
      <c r="H27" s="45">
        <v>0</v>
      </c>
      <c r="I27" s="49" t="str">
        <f>IFERROR(VLOOKUP(G27,Proveedores!B:C,2,0)," ")</f>
        <v xml:space="preserve"> </v>
      </c>
      <c r="J27" s="838">
        <v>0</v>
      </c>
      <c r="K27" s="1124"/>
      <c r="L27" s="1266">
        <f t="shared" si="2"/>
        <v>0</v>
      </c>
      <c r="M27" s="1267">
        <f t="shared" si="23"/>
        <v>0</v>
      </c>
      <c r="N27" s="1268">
        <f t="shared" si="22"/>
        <v>0</v>
      </c>
      <c r="O27" s="836" t="str">
        <f>IFERROR(VLOOKUP(G27,Proveedores!B:D,3,0)," ")</f>
        <v xml:space="preserve"> </v>
      </c>
      <c r="P27" s="836"/>
      <c r="Q27" s="1127" t="e">
        <f t="shared" si="3"/>
        <v>#N/A</v>
      </c>
      <c r="R27" s="1127" t="b">
        <f t="shared" si="20"/>
        <v>0</v>
      </c>
      <c r="S27" s="1127" t="e">
        <f t="shared" si="4"/>
        <v>#N/A</v>
      </c>
      <c r="T27" s="1127" t="b">
        <f t="shared" si="12"/>
        <v>0</v>
      </c>
      <c r="U27" s="1127">
        <f t="shared" si="13"/>
        <v>0</v>
      </c>
      <c r="V27" s="1127" t="e">
        <f t="shared" si="14"/>
        <v>#DIV/0!</v>
      </c>
      <c r="W27" s="1127" t="e">
        <f>IF(F27="Offiho",J27,IF(_xlfn.XLOOKUP(F27,Proveedores!A$2:A$50,Proveedores!E$2:E$50,"")="Nacional",(J27/0.5)+(V27*H27),((J27/0.3/0.5)+(V27*H27))))</f>
        <v>#DIV/0!</v>
      </c>
      <c r="X27" s="1127" t="e">
        <f t="shared" si="15"/>
        <v>#DIV/0!</v>
      </c>
      <c r="Y27" s="1126" t="b">
        <f t="shared" si="5"/>
        <v>0</v>
      </c>
      <c r="Z27" s="43">
        <v>0</v>
      </c>
      <c r="AA27" s="1219" t="e">
        <f t="shared" si="16"/>
        <v>#DIV/0!</v>
      </c>
      <c r="AB27" s="1219" t="e">
        <f t="shared" si="17"/>
        <v>#DIV/0!</v>
      </c>
      <c r="AC27" s="1219" t="e">
        <f t="shared" si="18"/>
        <v>#DIV/0!</v>
      </c>
      <c r="AD27" s="1126" t="e">
        <f t="shared" si="19"/>
        <v>#DIV/0!</v>
      </c>
      <c r="AE27" s="1217" t="e">
        <f t="shared" si="6"/>
        <v>#DIV/0!</v>
      </c>
      <c r="AF27" s="1220" t="e">
        <f t="shared" si="7"/>
        <v>#DIV/0!</v>
      </c>
      <c r="AG27" s="1176" t="e">
        <f t="shared" si="8"/>
        <v>#DIV/0!</v>
      </c>
      <c r="AH27" s="1221" t="e">
        <f t="shared" si="24"/>
        <v>#DIV/0!</v>
      </c>
    </row>
    <row r="28" spans="1:48" ht="15.5">
      <c r="A28" s="1216" t="b">
        <f t="shared" si="0"/>
        <v>1</v>
      </c>
      <c r="B28" s="1217" t="b">
        <f t="shared" si="9"/>
        <v>1</v>
      </c>
      <c r="C28" s="1218" t="str">
        <f t="shared" si="10"/>
        <v>Dólares</v>
      </c>
      <c r="D28" s="44"/>
      <c r="E28" s="836"/>
      <c r="F28" s="50"/>
      <c r="G28" s="50" t="str">
        <f t="shared" si="1"/>
        <v xml:space="preserve"> </v>
      </c>
      <c r="H28" s="45">
        <v>0</v>
      </c>
      <c r="I28" s="49" t="str">
        <f>IFERROR(VLOOKUP(G28,Proveedores!B:C,2,0)," ")</f>
        <v xml:space="preserve"> </v>
      </c>
      <c r="J28" s="838">
        <v>0</v>
      </c>
      <c r="K28" s="1124"/>
      <c r="L28" s="1266">
        <f t="shared" si="2"/>
        <v>0</v>
      </c>
      <c r="M28" s="1267">
        <f t="shared" si="23"/>
        <v>0</v>
      </c>
      <c r="N28" s="1268">
        <f t="shared" si="22"/>
        <v>0</v>
      </c>
      <c r="O28" s="836" t="str">
        <f>IFERROR(VLOOKUP(G28,Proveedores!B:D,3,0)," ")</f>
        <v xml:space="preserve"> </v>
      </c>
      <c r="P28" s="836"/>
      <c r="Q28" s="1127" t="e">
        <f t="shared" si="3"/>
        <v>#N/A</v>
      </c>
      <c r="R28" s="1127" t="b">
        <f t="shared" si="20"/>
        <v>0</v>
      </c>
      <c r="S28" s="1127" t="e">
        <f t="shared" si="4"/>
        <v>#N/A</v>
      </c>
      <c r="T28" s="1127" t="b">
        <f t="shared" si="12"/>
        <v>0</v>
      </c>
      <c r="U28" s="1127">
        <f t="shared" si="13"/>
        <v>0</v>
      </c>
      <c r="V28" s="1127" t="e">
        <f t="shared" si="14"/>
        <v>#DIV/0!</v>
      </c>
      <c r="W28" s="1127" t="e">
        <f>IF(F28="Offiho",J28,IF(_xlfn.XLOOKUP(F28,Proveedores!A$2:A$50,Proveedores!E$2:E$50,"")="Nacional",(J28/0.5)+(V28*H28),((J28/0.3/0.5)+(V28*H28))))</f>
        <v>#DIV/0!</v>
      </c>
      <c r="X28" s="1127" t="e">
        <f t="shared" si="15"/>
        <v>#DIV/0!</v>
      </c>
      <c r="Y28" s="1126" t="b">
        <f t="shared" si="5"/>
        <v>0</v>
      </c>
      <c r="Z28" s="43">
        <v>0</v>
      </c>
      <c r="AA28" s="1219" t="e">
        <f t="shared" si="16"/>
        <v>#DIV/0!</v>
      </c>
      <c r="AB28" s="1219" t="e">
        <f t="shared" si="17"/>
        <v>#DIV/0!</v>
      </c>
      <c r="AC28" s="1219" t="e">
        <f t="shared" si="18"/>
        <v>#DIV/0!</v>
      </c>
      <c r="AD28" s="1126" t="e">
        <f t="shared" si="19"/>
        <v>#DIV/0!</v>
      </c>
      <c r="AE28" s="1217" t="e">
        <f t="shared" si="6"/>
        <v>#DIV/0!</v>
      </c>
      <c r="AF28" s="1220" t="e">
        <f t="shared" si="7"/>
        <v>#DIV/0!</v>
      </c>
      <c r="AG28" s="1176" t="e">
        <f t="shared" si="8"/>
        <v>#DIV/0!</v>
      </c>
      <c r="AH28" s="1221" t="e">
        <f t="shared" si="24"/>
        <v>#DIV/0!</v>
      </c>
      <c r="AJ28" s="1173"/>
    </row>
    <row r="29" spans="1:48" ht="15.5">
      <c r="A29" s="1216" t="b">
        <f t="shared" si="0"/>
        <v>1</v>
      </c>
      <c r="B29" s="1217" t="b">
        <f t="shared" si="9"/>
        <v>1</v>
      </c>
      <c r="C29" s="1218" t="str">
        <f t="shared" si="10"/>
        <v>Dólares</v>
      </c>
      <c r="D29" s="44"/>
      <c r="E29" s="836"/>
      <c r="F29" s="50"/>
      <c r="G29" s="50" t="str">
        <f t="shared" si="1"/>
        <v xml:space="preserve"> </v>
      </c>
      <c r="H29" s="45">
        <v>0</v>
      </c>
      <c r="I29" s="49" t="str">
        <f>IFERROR(VLOOKUP(G29,Proveedores!B:C,2,0)," ")</f>
        <v xml:space="preserve"> </v>
      </c>
      <c r="J29" s="838">
        <v>0</v>
      </c>
      <c r="K29" s="1124"/>
      <c r="L29" s="1266">
        <f t="shared" si="2"/>
        <v>0</v>
      </c>
      <c r="M29" s="1267">
        <f t="shared" si="23"/>
        <v>0</v>
      </c>
      <c r="N29" s="1268">
        <f t="shared" si="22"/>
        <v>0</v>
      </c>
      <c r="O29" s="836" t="str">
        <f>IFERROR(VLOOKUP(G29,Proveedores!B:D,3,0)," ")</f>
        <v xml:space="preserve"> </v>
      </c>
      <c r="P29" s="836"/>
      <c r="Q29" s="1127" t="e">
        <f t="shared" si="3"/>
        <v>#N/A</v>
      </c>
      <c r="R29" s="1127" t="b">
        <f t="shared" si="20"/>
        <v>0</v>
      </c>
      <c r="S29" s="1127" t="e">
        <f t="shared" si="4"/>
        <v>#N/A</v>
      </c>
      <c r="T29" s="1127" t="b">
        <f t="shared" si="12"/>
        <v>0</v>
      </c>
      <c r="U29" s="1127">
        <f t="shared" si="13"/>
        <v>0</v>
      </c>
      <c r="V29" s="1127" t="e">
        <f t="shared" si="14"/>
        <v>#DIV/0!</v>
      </c>
      <c r="W29" s="1127" t="e">
        <f>IF(F29="Offiho",J29,IF(_xlfn.XLOOKUP(F29,Proveedores!A$2:A$50,Proveedores!E$2:E$50,"")="Nacional",(J29/0.5)+(V29*H29),((J29/0.3/0.5)+(V29*H29))))</f>
        <v>#DIV/0!</v>
      </c>
      <c r="X29" s="1127" t="e">
        <f t="shared" si="15"/>
        <v>#DIV/0!</v>
      </c>
      <c r="Y29" s="1126" t="b">
        <f t="shared" si="5"/>
        <v>0</v>
      </c>
      <c r="Z29" s="43">
        <v>0</v>
      </c>
      <c r="AA29" s="1219" t="e">
        <f t="shared" si="16"/>
        <v>#DIV/0!</v>
      </c>
      <c r="AB29" s="1219" t="e">
        <f t="shared" si="17"/>
        <v>#DIV/0!</v>
      </c>
      <c r="AC29" s="1219" t="e">
        <f t="shared" si="18"/>
        <v>#DIV/0!</v>
      </c>
      <c r="AD29" s="1126" t="e">
        <f t="shared" si="19"/>
        <v>#DIV/0!</v>
      </c>
      <c r="AE29" s="1217" t="e">
        <f t="shared" si="6"/>
        <v>#DIV/0!</v>
      </c>
      <c r="AF29" s="1220" t="e">
        <f t="shared" si="7"/>
        <v>#DIV/0!</v>
      </c>
      <c r="AG29" s="1176" t="e">
        <f t="shared" si="8"/>
        <v>#DIV/0!</v>
      </c>
      <c r="AH29" s="1221" t="e">
        <f t="shared" si="24"/>
        <v>#DIV/0!</v>
      </c>
    </row>
    <row r="30" spans="1:48" ht="15.5">
      <c r="A30" s="1216" t="b">
        <f t="shared" si="0"/>
        <v>1</v>
      </c>
      <c r="B30" s="1217" t="b">
        <f t="shared" si="9"/>
        <v>1</v>
      </c>
      <c r="C30" s="1218" t="str">
        <f t="shared" si="10"/>
        <v>Dólares</v>
      </c>
      <c r="D30" s="44"/>
      <c r="E30" s="836"/>
      <c r="F30" s="50"/>
      <c r="G30" s="50" t="str">
        <f t="shared" si="1"/>
        <v xml:space="preserve"> </v>
      </c>
      <c r="H30" s="45">
        <v>0</v>
      </c>
      <c r="I30" s="49" t="str">
        <f>IFERROR(VLOOKUP(G30,Proveedores!B:C,2,0)," ")</f>
        <v xml:space="preserve"> </v>
      </c>
      <c r="J30" s="838">
        <v>0</v>
      </c>
      <c r="K30" s="1124"/>
      <c r="L30" s="1266">
        <f t="shared" si="2"/>
        <v>0</v>
      </c>
      <c r="M30" s="1267">
        <f t="shared" si="23"/>
        <v>0</v>
      </c>
      <c r="N30" s="1268">
        <f t="shared" si="22"/>
        <v>0</v>
      </c>
      <c r="O30" s="836" t="str">
        <f>IFERROR(VLOOKUP(G30,Proveedores!B:D,3,0)," ")</f>
        <v xml:space="preserve"> </v>
      </c>
      <c r="P30" s="836"/>
      <c r="Q30" s="1127" t="e">
        <f t="shared" si="3"/>
        <v>#N/A</v>
      </c>
      <c r="R30" s="1127" t="b">
        <f t="shared" si="20"/>
        <v>0</v>
      </c>
      <c r="S30" s="1127" t="e">
        <f t="shared" si="4"/>
        <v>#N/A</v>
      </c>
      <c r="T30" s="1127" t="b">
        <f t="shared" si="12"/>
        <v>0</v>
      </c>
      <c r="U30" s="1127">
        <f t="shared" si="13"/>
        <v>0</v>
      </c>
      <c r="V30" s="1127" t="e">
        <f t="shared" si="14"/>
        <v>#DIV/0!</v>
      </c>
      <c r="W30" s="1127" t="e">
        <f>IF(F30="Offiho",J30,IF(_xlfn.XLOOKUP(F30,Proveedores!A$2:A$50,Proveedores!E$2:E$50,"")="Nacional",(J30/0.5)+(V30*H30),((J30/0.3/0.5)+(V30*H30))))</f>
        <v>#DIV/0!</v>
      </c>
      <c r="X30" s="1127" t="e">
        <f t="shared" si="15"/>
        <v>#DIV/0!</v>
      </c>
      <c r="Y30" s="1126" t="b">
        <f t="shared" si="5"/>
        <v>0</v>
      </c>
      <c r="Z30" s="43">
        <v>0</v>
      </c>
      <c r="AA30" s="1219" t="e">
        <f t="shared" si="16"/>
        <v>#DIV/0!</v>
      </c>
      <c r="AB30" s="1219" t="e">
        <f t="shared" si="17"/>
        <v>#DIV/0!</v>
      </c>
      <c r="AC30" s="1219" t="e">
        <f t="shared" si="18"/>
        <v>#DIV/0!</v>
      </c>
      <c r="AD30" s="1126" t="e">
        <f t="shared" si="19"/>
        <v>#DIV/0!</v>
      </c>
      <c r="AE30" s="1217" t="e">
        <f t="shared" si="6"/>
        <v>#DIV/0!</v>
      </c>
      <c r="AF30" s="1220" t="e">
        <f t="shared" si="7"/>
        <v>#DIV/0!</v>
      </c>
      <c r="AG30" s="1176" t="e">
        <f t="shared" si="8"/>
        <v>#DIV/0!</v>
      </c>
      <c r="AH30" s="1221" t="e">
        <f t="shared" si="24"/>
        <v>#DIV/0!</v>
      </c>
    </row>
    <row r="31" spans="1:48" ht="15.5">
      <c r="A31" s="1216" t="b">
        <f t="shared" si="0"/>
        <v>1</v>
      </c>
      <c r="B31" s="1217" t="b">
        <f t="shared" si="9"/>
        <v>1</v>
      </c>
      <c r="C31" s="1218" t="str">
        <f t="shared" si="10"/>
        <v>Dólares</v>
      </c>
      <c r="D31" s="44"/>
      <c r="E31" s="836"/>
      <c r="F31" s="50"/>
      <c r="G31" s="50" t="str">
        <f t="shared" si="1"/>
        <v xml:space="preserve"> </v>
      </c>
      <c r="H31" s="45">
        <v>0</v>
      </c>
      <c r="I31" s="49" t="str">
        <f>IFERROR(VLOOKUP(G31,Proveedores!B:C,2,0)," ")</f>
        <v xml:space="preserve"> </v>
      </c>
      <c r="J31" s="838">
        <v>0</v>
      </c>
      <c r="K31" s="1124"/>
      <c r="L31" s="1266">
        <f t="shared" si="2"/>
        <v>0</v>
      </c>
      <c r="M31" s="1267">
        <f t="shared" si="23"/>
        <v>0</v>
      </c>
      <c r="N31" s="1268">
        <f t="shared" si="22"/>
        <v>0</v>
      </c>
      <c r="O31" s="836" t="str">
        <f>IFERROR(VLOOKUP(G31,Proveedores!B:D,3,0)," ")</f>
        <v xml:space="preserve"> </v>
      </c>
      <c r="P31" s="836"/>
      <c r="Q31" s="1127" t="e">
        <f t="shared" si="3"/>
        <v>#N/A</v>
      </c>
      <c r="R31" s="1127" t="b">
        <f t="shared" si="20"/>
        <v>0</v>
      </c>
      <c r="S31" s="1127" t="e">
        <f t="shared" si="4"/>
        <v>#N/A</v>
      </c>
      <c r="T31" s="1127" t="b">
        <f t="shared" si="12"/>
        <v>0</v>
      </c>
      <c r="U31" s="1127">
        <f t="shared" si="13"/>
        <v>0</v>
      </c>
      <c r="V31" s="1127" t="e">
        <f t="shared" si="14"/>
        <v>#DIV/0!</v>
      </c>
      <c r="W31" s="1127" t="e">
        <f>IF(F31="Offiho",J31,IF(_xlfn.XLOOKUP(F31,Proveedores!A$2:A$50,Proveedores!E$2:E$50,"")="Nacional",(J31/0.5)+(V31*H31),((J31/0.3/0.5)+(V31*H31))))</f>
        <v>#DIV/0!</v>
      </c>
      <c r="X31" s="1127" t="e">
        <f t="shared" si="15"/>
        <v>#DIV/0!</v>
      </c>
      <c r="Y31" s="1126" t="b">
        <f t="shared" si="5"/>
        <v>0</v>
      </c>
      <c r="Z31" s="43">
        <v>0</v>
      </c>
      <c r="AA31" s="1219" t="e">
        <f t="shared" si="16"/>
        <v>#DIV/0!</v>
      </c>
      <c r="AB31" s="1219" t="e">
        <f t="shared" si="17"/>
        <v>#DIV/0!</v>
      </c>
      <c r="AC31" s="1219" t="e">
        <f t="shared" si="18"/>
        <v>#DIV/0!</v>
      </c>
      <c r="AD31" s="1126" t="e">
        <f t="shared" si="19"/>
        <v>#DIV/0!</v>
      </c>
      <c r="AE31" s="1217" t="e">
        <f t="shared" si="6"/>
        <v>#DIV/0!</v>
      </c>
      <c r="AF31" s="1220" t="e">
        <f t="shared" si="7"/>
        <v>#DIV/0!</v>
      </c>
      <c r="AG31" s="1176" t="e">
        <f t="shared" si="8"/>
        <v>#DIV/0!</v>
      </c>
      <c r="AH31" s="1221" t="e">
        <f t="shared" si="24"/>
        <v>#DIV/0!</v>
      </c>
    </row>
    <row r="32" spans="1:48" ht="15.5">
      <c r="A32" s="1216" t="b">
        <f t="shared" si="0"/>
        <v>1</v>
      </c>
      <c r="B32" s="1217" t="b">
        <f t="shared" si="9"/>
        <v>1</v>
      </c>
      <c r="C32" s="1218" t="str">
        <f t="shared" si="10"/>
        <v>Dólares</v>
      </c>
      <c r="D32" s="44"/>
      <c r="E32" s="836"/>
      <c r="F32" s="50"/>
      <c r="G32" s="50" t="str">
        <f t="shared" si="1"/>
        <v xml:space="preserve"> </v>
      </c>
      <c r="H32" s="45">
        <v>0</v>
      </c>
      <c r="I32" s="49" t="str">
        <f>IFERROR(VLOOKUP(G32,Proveedores!B:C,2,0)," ")</f>
        <v xml:space="preserve"> </v>
      </c>
      <c r="J32" s="838">
        <v>0</v>
      </c>
      <c r="K32" s="1124"/>
      <c r="L32" s="1266">
        <f t="shared" si="2"/>
        <v>0</v>
      </c>
      <c r="M32" s="1267">
        <f t="shared" si="23"/>
        <v>0</v>
      </c>
      <c r="N32" s="1268">
        <f t="shared" si="22"/>
        <v>0</v>
      </c>
      <c r="O32" s="836" t="str">
        <f>IFERROR(VLOOKUP(G32,Proveedores!B:D,3,0)," ")</f>
        <v xml:space="preserve"> </v>
      </c>
      <c r="P32" s="836"/>
      <c r="Q32" s="1127" t="e">
        <f t="shared" si="3"/>
        <v>#N/A</v>
      </c>
      <c r="R32" s="1127" t="b">
        <f t="shared" si="20"/>
        <v>0</v>
      </c>
      <c r="S32" s="1127" t="e">
        <f t="shared" si="4"/>
        <v>#N/A</v>
      </c>
      <c r="T32" s="1127" t="b">
        <f t="shared" si="12"/>
        <v>0</v>
      </c>
      <c r="U32" s="1127">
        <f t="shared" si="13"/>
        <v>0</v>
      </c>
      <c r="V32" s="1127" t="e">
        <f t="shared" si="14"/>
        <v>#DIV/0!</v>
      </c>
      <c r="W32" s="1127" t="e">
        <f>IF(F32="Offiho",J32,IF(_xlfn.XLOOKUP(F32,Proveedores!A$2:A$50,Proveedores!E$2:E$50,"")="Nacional",(J32/0.5)+(V32*H32),((J32/0.3/0.5)+(V32*H32))))</f>
        <v>#DIV/0!</v>
      </c>
      <c r="X32" s="1127" t="e">
        <f t="shared" si="15"/>
        <v>#DIV/0!</v>
      </c>
      <c r="Y32" s="1126" t="b">
        <f t="shared" si="5"/>
        <v>0</v>
      </c>
      <c r="Z32" s="43">
        <v>0</v>
      </c>
      <c r="AA32" s="1219" t="e">
        <f t="shared" si="16"/>
        <v>#DIV/0!</v>
      </c>
      <c r="AB32" s="1219" t="e">
        <f t="shared" si="17"/>
        <v>#DIV/0!</v>
      </c>
      <c r="AC32" s="1219" t="e">
        <f t="shared" si="18"/>
        <v>#DIV/0!</v>
      </c>
      <c r="AD32" s="1126" t="e">
        <f t="shared" si="19"/>
        <v>#DIV/0!</v>
      </c>
      <c r="AE32" s="1217" t="e">
        <f t="shared" si="6"/>
        <v>#DIV/0!</v>
      </c>
      <c r="AF32" s="1220" t="e">
        <f t="shared" si="7"/>
        <v>#DIV/0!</v>
      </c>
      <c r="AG32" s="1176" t="e">
        <f t="shared" si="8"/>
        <v>#DIV/0!</v>
      </c>
      <c r="AH32" s="1221" t="e">
        <f t="shared" si="24"/>
        <v>#DIV/0!</v>
      </c>
    </row>
    <row r="33" spans="1:34" ht="15.5">
      <c r="A33" s="1216" t="b">
        <f t="shared" si="0"/>
        <v>1</v>
      </c>
      <c r="B33" s="1217" t="b">
        <f t="shared" si="9"/>
        <v>1</v>
      </c>
      <c r="C33" s="1218" t="str">
        <f t="shared" si="10"/>
        <v>Dólares</v>
      </c>
      <c r="D33" s="44"/>
      <c r="E33" s="836"/>
      <c r="F33" s="50"/>
      <c r="G33" s="50" t="str">
        <f t="shared" si="1"/>
        <v xml:space="preserve"> </v>
      </c>
      <c r="H33" s="45">
        <v>0</v>
      </c>
      <c r="I33" s="49" t="str">
        <f>IFERROR(VLOOKUP(G33,Proveedores!B:C,2,0)," ")</f>
        <v xml:space="preserve"> </v>
      </c>
      <c r="J33" s="838">
        <v>0</v>
      </c>
      <c r="K33" s="1124"/>
      <c r="L33" s="1266">
        <f t="shared" si="2"/>
        <v>0</v>
      </c>
      <c r="M33" s="1267">
        <f t="shared" si="23"/>
        <v>0</v>
      </c>
      <c r="N33" s="1268">
        <f t="shared" si="22"/>
        <v>0</v>
      </c>
      <c r="O33" s="836" t="str">
        <f>IFERROR(VLOOKUP(G33,Proveedores!B:D,3,0)," ")</f>
        <v xml:space="preserve"> </v>
      </c>
      <c r="P33" s="836"/>
      <c r="Q33" s="1127" t="e">
        <f t="shared" si="3"/>
        <v>#N/A</v>
      </c>
      <c r="R33" s="1127" t="b">
        <f t="shared" si="20"/>
        <v>0</v>
      </c>
      <c r="S33" s="1127" t="e">
        <f t="shared" si="4"/>
        <v>#N/A</v>
      </c>
      <c r="T33" s="1127" t="b">
        <f t="shared" si="12"/>
        <v>0</v>
      </c>
      <c r="U33" s="1127">
        <f t="shared" si="13"/>
        <v>0</v>
      </c>
      <c r="V33" s="1127" t="e">
        <f t="shared" si="14"/>
        <v>#DIV/0!</v>
      </c>
      <c r="W33" s="1127" t="e">
        <f>IF(F33="Offiho",J33,IF(_xlfn.XLOOKUP(F33,Proveedores!A$2:A$50,Proveedores!E$2:E$50,"")="Nacional",(J33/0.5)+(V33*H33),((J33/0.3/0.5)+(V33*H33))))</f>
        <v>#DIV/0!</v>
      </c>
      <c r="X33" s="1127" t="e">
        <f t="shared" si="15"/>
        <v>#DIV/0!</v>
      </c>
      <c r="Y33" s="1126" t="b">
        <f t="shared" si="5"/>
        <v>0</v>
      </c>
      <c r="Z33" s="43">
        <v>0</v>
      </c>
      <c r="AA33" s="1219" t="e">
        <f t="shared" si="16"/>
        <v>#DIV/0!</v>
      </c>
      <c r="AB33" s="1219" t="e">
        <f t="shared" si="17"/>
        <v>#DIV/0!</v>
      </c>
      <c r="AC33" s="1219" t="e">
        <f t="shared" si="18"/>
        <v>#DIV/0!</v>
      </c>
      <c r="AD33" s="1126" t="e">
        <f t="shared" si="19"/>
        <v>#DIV/0!</v>
      </c>
      <c r="AE33" s="1217" t="e">
        <f t="shared" si="6"/>
        <v>#DIV/0!</v>
      </c>
      <c r="AF33" s="1220" t="e">
        <f t="shared" si="7"/>
        <v>#DIV/0!</v>
      </c>
      <c r="AG33" s="1176" t="e">
        <f t="shared" si="8"/>
        <v>#DIV/0!</v>
      </c>
      <c r="AH33" s="1221" t="e">
        <f t="shared" si="24"/>
        <v>#DIV/0!</v>
      </c>
    </row>
    <row r="34" spans="1:34" ht="15.5">
      <c r="A34" s="1216" t="b">
        <f t="shared" si="0"/>
        <v>1</v>
      </c>
      <c r="B34" s="1217" t="b">
        <f t="shared" si="9"/>
        <v>1</v>
      </c>
      <c r="C34" s="1218" t="str">
        <f t="shared" si="10"/>
        <v>Dólares</v>
      </c>
      <c r="D34" s="44"/>
      <c r="E34" s="836"/>
      <c r="F34" s="50"/>
      <c r="G34" s="50" t="str">
        <f t="shared" si="1"/>
        <v xml:space="preserve"> </v>
      </c>
      <c r="H34" s="45">
        <v>0</v>
      </c>
      <c r="I34" s="49" t="str">
        <f>IFERROR(VLOOKUP(G34,Proveedores!B:C,2,0)," ")</f>
        <v xml:space="preserve"> </v>
      </c>
      <c r="J34" s="838">
        <v>0</v>
      </c>
      <c r="K34" s="1124"/>
      <c r="L34" s="1266">
        <f t="shared" si="2"/>
        <v>0</v>
      </c>
      <c r="M34" s="1267">
        <f t="shared" si="23"/>
        <v>0</v>
      </c>
      <c r="N34" s="1268">
        <f t="shared" si="22"/>
        <v>0</v>
      </c>
      <c r="O34" s="836" t="str">
        <f>IFERROR(VLOOKUP(G34,Proveedores!B:D,3,0)," ")</f>
        <v xml:space="preserve"> </v>
      </c>
      <c r="P34" s="836"/>
      <c r="Q34" s="1127" t="e">
        <f t="shared" si="3"/>
        <v>#N/A</v>
      </c>
      <c r="R34" s="1127" t="b">
        <f t="shared" si="20"/>
        <v>0</v>
      </c>
      <c r="S34" s="1127" t="e">
        <f t="shared" si="4"/>
        <v>#N/A</v>
      </c>
      <c r="T34" s="1127" t="b">
        <f t="shared" si="12"/>
        <v>0</v>
      </c>
      <c r="U34" s="1127">
        <f t="shared" si="13"/>
        <v>0</v>
      </c>
      <c r="V34" s="1127" t="e">
        <f t="shared" si="14"/>
        <v>#DIV/0!</v>
      </c>
      <c r="W34" s="1127" t="e">
        <f>IF(F34="Offiho",J34,IF(_xlfn.XLOOKUP(F34,Proveedores!A$2:A$50,Proveedores!E$2:E$50,"")="Nacional",(J34/0.5)+(V34*H34),((J34/0.3/0.5)+(V34*H34))))</f>
        <v>#DIV/0!</v>
      </c>
      <c r="X34" s="1127" t="e">
        <f t="shared" si="15"/>
        <v>#DIV/0!</v>
      </c>
      <c r="Y34" s="1126" t="b">
        <f t="shared" si="5"/>
        <v>0</v>
      </c>
      <c r="Z34" s="43">
        <v>0</v>
      </c>
      <c r="AA34" s="1219" t="e">
        <f t="shared" si="16"/>
        <v>#DIV/0!</v>
      </c>
      <c r="AB34" s="1219" t="e">
        <f t="shared" si="17"/>
        <v>#DIV/0!</v>
      </c>
      <c r="AC34" s="1219" t="e">
        <f t="shared" si="18"/>
        <v>#DIV/0!</v>
      </c>
      <c r="AD34" s="1126" t="e">
        <f t="shared" si="19"/>
        <v>#DIV/0!</v>
      </c>
      <c r="AE34" s="1217" t="e">
        <f t="shared" si="6"/>
        <v>#DIV/0!</v>
      </c>
      <c r="AF34" s="1220" t="e">
        <f t="shared" si="7"/>
        <v>#DIV/0!</v>
      </c>
      <c r="AG34" s="1176" t="e">
        <f t="shared" si="8"/>
        <v>#DIV/0!</v>
      </c>
      <c r="AH34" s="1221" t="e">
        <f t="shared" si="24"/>
        <v>#DIV/0!</v>
      </c>
    </row>
    <row r="35" spans="1:34" ht="15.5">
      <c r="A35" s="1216" t="b">
        <f t="shared" si="0"/>
        <v>1</v>
      </c>
      <c r="B35" s="1217" t="b">
        <f t="shared" si="9"/>
        <v>1</v>
      </c>
      <c r="C35" s="1218" t="str">
        <f t="shared" si="10"/>
        <v>Dólares</v>
      </c>
      <c r="D35" s="44"/>
      <c r="E35" s="836"/>
      <c r="F35" s="50"/>
      <c r="G35" s="50" t="str">
        <f t="shared" si="1"/>
        <v xml:space="preserve"> </v>
      </c>
      <c r="H35" s="45">
        <v>0</v>
      </c>
      <c r="I35" s="49" t="str">
        <f>IFERROR(VLOOKUP(G35,Proveedores!B:C,2,0)," ")</f>
        <v xml:space="preserve"> </v>
      </c>
      <c r="J35" s="838">
        <v>0</v>
      </c>
      <c r="K35" s="1124"/>
      <c r="L35" s="1266">
        <f t="shared" si="2"/>
        <v>0</v>
      </c>
      <c r="M35" s="1267">
        <f t="shared" si="23"/>
        <v>0</v>
      </c>
      <c r="N35" s="1268">
        <f t="shared" si="22"/>
        <v>0</v>
      </c>
      <c r="O35" s="836" t="str">
        <f>IFERROR(VLOOKUP(G35,Proveedores!B:D,3,0)," ")</f>
        <v xml:space="preserve"> </v>
      </c>
      <c r="P35" s="836"/>
      <c r="Q35" s="1127" t="e">
        <f t="shared" si="3"/>
        <v>#N/A</v>
      </c>
      <c r="R35" s="1127" t="b">
        <f t="shared" si="20"/>
        <v>0</v>
      </c>
      <c r="S35" s="1127" t="e">
        <f t="shared" si="4"/>
        <v>#N/A</v>
      </c>
      <c r="T35" s="1127" t="b">
        <f t="shared" si="12"/>
        <v>0</v>
      </c>
      <c r="U35" s="1127">
        <f t="shared" si="13"/>
        <v>0</v>
      </c>
      <c r="V35" s="1127" t="e">
        <f t="shared" si="14"/>
        <v>#DIV/0!</v>
      </c>
      <c r="W35" s="1127" t="e">
        <f>IF(F35="Offiho",J35,IF(_xlfn.XLOOKUP(F35,Proveedores!A$2:A$50,Proveedores!E$2:E$50,"")="Nacional",(J35/0.5)+(V35*H35),((J35/0.3/0.5)+(V35*H35))))</f>
        <v>#DIV/0!</v>
      </c>
      <c r="X35" s="1127" t="e">
        <f t="shared" si="15"/>
        <v>#DIV/0!</v>
      </c>
      <c r="Y35" s="1126" t="b">
        <f t="shared" si="5"/>
        <v>0</v>
      </c>
      <c r="Z35" s="43">
        <v>0</v>
      </c>
      <c r="AA35" s="1219" t="e">
        <f t="shared" si="16"/>
        <v>#DIV/0!</v>
      </c>
      <c r="AB35" s="1219" t="e">
        <f t="shared" si="17"/>
        <v>#DIV/0!</v>
      </c>
      <c r="AC35" s="1219" t="e">
        <f t="shared" si="18"/>
        <v>#DIV/0!</v>
      </c>
      <c r="AD35" s="1126" t="e">
        <f t="shared" si="19"/>
        <v>#DIV/0!</v>
      </c>
      <c r="AE35" s="1217" t="e">
        <f t="shared" si="6"/>
        <v>#DIV/0!</v>
      </c>
      <c r="AF35" s="1220" t="e">
        <f t="shared" si="7"/>
        <v>#DIV/0!</v>
      </c>
      <c r="AG35" s="1176" t="e">
        <f t="shared" si="8"/>
        <v>#DIV/0!</v>
      </c>
      <c r="AH35" s="1221" t="e">
        <f t="shared" si="24"/>
        <v>#DIV/0!</v>
      </c>
    </row>
    <row r="36" spans="1:34" ht="15.5">
      <c r="A36" s="1216" t="b">
        <f t="shared" si="0"/>
        <v>1</v>
      </c>
      <c r="B36" s="1217" t="b">
        <f t="shared" si="9"/>
        <v>1</v>
      </c>
      <c r="C36" s="1218" t="str">
        <f t="shared" si="10"/>
        <v>Dólares</v>
      </c>
      <c r="D36" s="44"/>
      <c r="E36" s="836"/>
      <c r="F36" s="50"/>
      <c r="G36" s="50" t="str">
        <f t="shared" si="1"/>
        <v xml:space="preserve"> </v>
      </c>
      <c r="H36" s="45">
        <v>0</v>
      </c>
      <c r="I36" s="49" t="str">
        <f>IFERROR(VLOOKUP(G36,Proveedores!B:C,2,0)," ")</f>
        <v xml:space="preserve"> </v>
      </c>
      <c r="J36" s="838">
        <v>0</v>
      </c>
      <c r="K36" s="1124"/>
      <c r="L36" s="1266">
        <f t="shared" si="2"/>
        <v>0</v>
      </c>
      <c r="M36" s="1267">
        <f t="shared" si="23"/>
        <v>0</v>
      </c>
      <c r="N36" s="1268">
        <f t="shared" si="22"/>
        <v>0</v>
      </c>
      <c r="O36" s="836" t="str">
        <f>IFERROR(VLOOKUP(G36,Proveedores!B:D,3,0)," ")</f>
        <v xml:space="preserve"> </v>
      </c>
      <c r="P36" s="836"/>
      <c r="Q36" s="1127" t="e">
        <f t="shared" si="3"/>
        <v>#N/A</v>
      </c>
      <c r="R36" s="1127" t="b">
        <f t="shared" si="20"/>
        <v>0</v>
      </c>
      <c r="S36" s="1127" t="e">
        <f t="shared" si="4"/>
        <v>#N/A</v>
      </c>
      <c r="T36" s="1127" t="b">
        <f t="shared" si="12"/>
        <v>0</v>
      </c>
      <c r="U36" s="1127">
        <f t="shared" si="13"/>
        <v>0</v>
      </c>
      <c r="V36" s="1127" t="e">
        <f t="shared" si="14"/>
        <v>#DIV/0!</v>
      </c>
      <c r="W36" s="1127" t="e">
        <f>IF(F36="Offiho",J36,IF(_xlfn.XLOOKUP(F36,Proveedores!A$2:A$50,Proveedores!E$2:E$50,"")="Nacional",(J36/0.5)+(V36*H36),((J36/0.3/0.5)+(V36*H36))))</f>
        <v>#DIV/0!</v>
      </c>
      <c r="X36" s="1127" t="e">
        <f t="shared" si="15"/>
        <v>#DIV/0!</v>
      </c>
      <c r="Y36" s="1126" t="b">
        <f t="shared" si="5"/>
        <v>0</v>
      </c>
      <c r="Z36" s="43">
        <v>0</v>
      </c>
      <c r="AA36" s="1219" t="e">
        <f t="shared" si="16"/>
        <v>#DIV/0!</v>
      </c>
      <c r="AB36" s="1219" t="e">
        <f t="shared" si="17"/>
        <v>#DIV/0!</v>
      </c>
      <c r="AC36" s="1219" t="e">
        <f t="shared" si="18"/>
        <v>#DIV/0!</v>
      </c>
      <c r="AD36" s="1126" t="e">
        <f t="shared" si="19"/>
        <v>#DIV/0!</v>
      </c>
      <c r="AE36" s="1217" t="e">
        <f t="shared" si="6"/>
        <v>#DIV/0!</v>
      </c>
      <c r="AF36" s="1220" t="e">
        <f t="shared" si="7"/>
        <v>#DIV/0!</v>
      </c>
      <c r="AG36" s="1176" t="e">
        <f t="shared" si="8"/>
        <v>#DIV/0!</v>
      </c>
      <c r="AH36" s="1221" t="e">
        <f t="shared" si="24"/>
        <v>#DIV/0!</v>
      </c>
    </row>
    <row r="37" spans="1:34" ht="15.5">
      <c r="A37" s="1216" t="b">
        <f t="shared" si="0"/>
        <v>1</v>
      </c>
      <c r="B37" s="1217" t="b">
        <f t="shared" si="9"/>
        <v>1</v>
      </c>
      <c r="C37" s="1218" t="str">
        <f t="shared" si="10"/>
        <v>Dólares</v>
      </c>
      <c r="D37" s="44"/>
      <c r="E37" s="836"/>
      <c r="F37" s="50"/>
      <c r="G37" s="50" t="str">
        <f t="shared" si="1"/>
        <v xml:space="preserve"> </v>
      </c>
      <c r="H37" s="45">
        <v>0</v>
      </c>
      <c r="I37" s="49" t="str">
        <f>IFERROR(VLOOKUP(G37,Proveedores!B:C,2,0)," ")</f>
        <v xml:space="preserve"> </v>
      </c>
      <c r="J37" s="838">
        <v>0</v>
      </c>
      <c r="K37" s="1124"/>
      <c r="L37" s="1266">
        <f t="shared" si="2"/>
        <v>0</v>
      </c>
      <c r="M37" s="1267">
        <f t="shared" si="23"/>
        <v>0</v>
      </c>
      <c r="N37" s="1268">
        <f t="shared" si="22"/>
        <v>0</v>
      </c>
      <c r="O37" s="836" t="str">
        <f>IFERROR(VLOOKUP(G37,Proveedores!B:D,3,0)," ")</f>
        <v xml:space="preserve"> </v>
      </c>
      <c r="P37" s="836"/>
      <c r="Q37" s="1127" t="e">
        <f t="shared" si="3"/>
        <v>#N/A</v>
      </c>
      <c r="R37" s="1127" t="b">
        <f t="shared" si="20"/>
        <v>0</v>
      </c>
      <c r="S37" s="1127" t="e">
        <f t="shared" si="4"/>
        <v>#N/A</v>
      </c>
      <c r="T37" s="1127" t="b">
        <f t="shared" si="12"/>
        <v>0</v>
      </c>
      <c r="U37" s="1127">
        <f t="shared" si="13"/>
        <v>0</v>
      </c>
      <c r="V37" s="1127" t="e">
        <f t="shared" si="14"/>
        <v>#DIV/0!</v>
      </c>
      <c r="W37" s="1127" t="e">
        <f>IF(F37="Offiho",J37,IF(_xlfn.XLOOKUP(F37,Proveedores!A$2:A$50,Proveedores!E$2:E$50,"")="Nacional",(J37/0.5)+(V37*H37),((J37/0.3/0.5)+(V37*H37))))</f>
        <v>#DIV/0!</v>
      </c>
      <c r="X37" s="1127" t="e">
        <f t="shared" si="15"/>
        <v>#DIV/0!</v>
      </c>
      <c r="Y37" s="1126" t="b">
        <f t="shared" si="5"/>
        <v>0</v>
      </c>
      <c r="Z37" s="43">
        <v>0</v>
      </c>
      <c r="AA37" s="1219" t="e">
        <f t="shared" si="16"/>
        <v>#DIV/0!</v>
      </c>
      <c r="AB37" s="1219" t="e">
        <f t="shared" si="17"/>
        <v>#DIV/0!</v>
      </c>
      <c r="AC37" s="1219" t="e">
        <f t="shared" si="18"/>
        <v>#DIV/0!</v>
      </c>
      <c r="AD37" s="1126" t="e">
        <f t="shared" si="19"/>
        <v>#DIV/0!</v>
      </c>
      <c r="AE37" s="1217" t="e">
        <f t="shared" si="6"/>
        <v>#DIV/0!</v>
      </c>
      <c r="AF37" s="1220" t="e">
        <f t="shared" si="7"/>
        <v>#DIV/0!</v>
      </c>
      <c r="AG37" s="1176" t="e">
        <f t="shared" si="8"/>
        <v>#DIV/0!</v>
      </c>
      <c r="AH37" s="1221" t="e">
        <f t="shared" si="24"/>
        <v>#DIV/0!</v>
      </c>
    </row>
    <row r="38" spans="1:34" ht="15.5">
      <c r="A38" s="1216" t="b">
        <f t="shared" si="0"/>
        <v>1</v>
      </c>
      <c r="B38" s="1217" t="b">
        <f t="shared" si="9"/>
        <v>1</v>
      </c>
      <c r="C38" s="1218" t="str">
        <f t="shared" si="10"/>
        <v>Dólares</v>
      </c>
      <c r="D38" s="44"/>
      <c r="E38" s="836"/>
      <c r="F38" s="50"/>
      <c r="G38" s="50" t="str">
        <f t="shared" si="1"/>
        <v xml:space="preserve"> </v>
      </c>
      <c r="H38" s="45">
        <v>0</v>
      </c>
      <c r="I38" s="49" t="str">
        <f>IFERROR(VLOOKUP(G38,Proveedores!B:C,2,0)," ")</f>
        <v xml:space="preserve"> </v>
      </c>
      <c r="J38" s="838">
        <v>0</v>
      </c>
      <c r="K38" s="1124"/>
      <c r="L38" s="1266">
        <f t="shared" si="2"/>
        <v>0</v>
      </c>
      <c r="M38" s="1267">
        <f t="shared" si="23"/>
        <v>0</v>
      </c>
      <c r="N38" s="1268">
        <f t="shared" si="22"/>
        <v>0</v>
      </c>
      <c r="O38" s="836" t="str">
        <f>IFERROR(VLOOKUP(G38,Proveedores!B:D,3,0)," ")</f>
        <v xml:space="preserve"> </v>
      </c>
      <c r="P38" s="836"/>
      <c r="Q38" s="1127" t="e">
        <f t="shared" si="3"/>
        <v>#N/A</v>
      </c>
      <c r="R38" s="1127" t="b">
        <f t="shared" si="20"/>
        <v>0</v>
      </c>
      <c r="S38" s="1127" t="e">
        <f t="shared" si="4"/>
        <v>#N/A</v>
      </c>
      <c r="T38" s="1127" t="b">
        <f t="shared" si="12"/>
        <v>0</v>
      </c>
      <c r="U38" s="1127">
        <f t="shared" si="13"/>
        <v>0</v>
      </c>
      <c r="V38" s="1127" t="e">
        <f t="shared" si="14"/>
        <v>#DIV/0!</v>
      </c>
      <c r="W38" s="1127" t="e">
        <f>IF(F38="Offiho",J38,IF(_xlfn.XLOOKUP(F38,Proveedores!A$2:A$50,Proveedores!E$2:E$50,"")="Nacional",(J38/0.5)+(V38*H38),((J38/0.3/0.5)+(V38*H38))))</f>
        <v>#DIV/0!</v>
      </c>
      <c r="X38" s="1127" t="e">
        <f t="shared" si="15"/>
        <v>#DIV/0!</v>
      </c>
      <c r="Y38" s="1126" t="b">
        <f t="shared" si="5"/>
        <v>0</v>
      </c>
      <c r="Z38" s="43">
        <v>0</v>
      </c>
      <c r="AA38" s="1219" t="e">
        <f t="shared" si="16"/>
        <v>#DIV/0!</v>
      </c>
      <c r="AB38" s="1219" t="e">
        <f t="shared" si="17"/>
        <v>#DIV/0!</v>
      </c>
      <c r="AC38" s="1219" t="e">
        <f t="shared" si="18"/>
        <v>#DIV/0!</v>
      </c>
      <c r="AD38" s="1126" t="e">
        <f t="shared" si="19"/>
        <v>#DIV/0!</v>
      </c>
      <c r="AE38" s="1217" t="e">
        <f t="shared" si="6"/>
        <v>#DIV/0!</v>
      </c>
      <c r="AF38" s="1220" t="e">
        <f t="shared" si="7"/>
        <v>#DIV/0!</v>
      </c>
      <c r="AG38" s="1176" t="e">
        <f t="shared" si="8"/>
        <v>#DIV/0!</v>
      </c>
      <c r="AH38" s="1221" t="e">
        <f t="shared" si="24"/>
        <v>#DIV/0!</v>
      </c>
    </row>
    <row r="39" spans="1:34" ht="15.5">
      <c r="A39" s="1216" t="b">
        <f t="shared" si="0"/>
        <v>1</v>
      </c>
      <c r="B39" s="1217" t="b">
        <f t="shared" si="9"/>
        <v>1</v>
      </c>
      <c r="C39" s="1218" t="str">
        <f t="shared" si="10"/>
        <v>Dólares</v>
      </c>
      <c r="D39" s="44"/>
      <c r="E39" s="836"/>
      <c r="F39" s="50"/>
      <c r="G39" s="50" t="str">
        <f t="shared" si="1"/>
        <v xml:space="preserve"> </v>
      </c>
      <c r="H39" s="45">
        <v>0</v>
      </c>
      <c r="I39" s="49" t="str">
        <f>IFERROR(VLOOKUP(G39,Proveedores!B:C,2,0)," ")</f>
        <v xml:space="preserve"> </v>
      </c>
      <c r="J39" s="838">
        <v>0</v>
      </c>
      <c r="K39" s="1124"/>
      <c r="L39" s="1266">
        <f t="shared" si="2"/>
        <v>0</v>
      </c>
      <c r="M39" s="1267">
        <f t="shared" si="23"/>
        <v>0</v>
      </c>
      <c r="N39" s="1268">
        <f t="shared" si="22"/>
        <v>0</v>
      </c>
      <c r="O39" s="836" t="str">
        <f>IFERROR(VLOOKUP(G39,Proveedores!B:D,3,0)," ")</f>
        <v xml:space="preserve"> </v>
      </c>
      <c r="P39" s="836"/>
      <c r="Q39" s="1127" t="e">
        <f t="shared" si="3"/>
        <v>#N/A</v>
      </c>
      <c r="R39" s="1127" t="b">
        <f t="shared" si="20"/>
        <v>0</v>
      </c>
      <c r="S39" s="1127" t="e">
        <f t="shared" si="4"/>
        <v>#N/A</v>
      </c>
      <c r="T39" s="1127" t="b">
        <f t="shared" si="12"/>
        <v>0</v>
      </c>
      <c r="U39" s="1127">
        <f t="shared" si="13"/>
        <v>0</v>
      </c>
      <c r="V39" s="1127" t="e">
        <f t="shared" si="14"/>
        <v>#DIV/0!</v>
      </c>
      <c r="W39" s="1127" t="e">
        <f>IF(F39="Offiho",J39,IF(_xlfn.XLOOKUP(F39,Proveedores!A$2:A$50,Proveedores!E$2:E$50,"")="Nacional",(J39/0.5)+(V39*H39),((J39/0.3/0.5)+(V39*H39))))</f>
        <v>#DIV/0!</v>
      </c>
      <c r="X39" s="1127" t="e">
        <f t="shared" si="15"/>
        <v>#DIV/0!</v>
      </c>
      <c r="Y39" s="1126" t="b">
        <f t="shared" si="5"/>
        <v>0</v>
      </c>
      <c r="Z39" s="43">
        <v>0</v>
      </c>
      <c r="AA39" s="1219" t="e">
        <f t="shared" si="16"/>
        <v>#DIV/0!</v>
      </c>
      <c r="AB39" s="1219" t="e">
        <f t="shared" si="17"/>
        <v>#DIV/0!</v>
      </c>
      <c r="AC39" s="1219" t="e">
        <f t="shared" si="18"/>
        <v>#DIV/0!</v>
      </c>
      <c r="AD39" s="1126" t="e">
        <f t="shared" si="19"/>
        <v>#DIV/0!</v>
      </c>
      <c r="AE39" s="1217" t="e">
        <f t="shared" si="6"/>
        <v>#DIV/0!</v>
      </c>
      <c r="AF39" s="1220" t="e">
        <f t="shared" si="7"/>
        <v>#DIV/0!</v>
      </c>
      <c r="AG39" s="1176" t="e">
        <f t="shared" si="8"/>
        <v>#DIV/0!</v>
      </c>
      <c r="AH39" s="1221" t="e">
        <f t="shared" si="24"/>
        <v>#DIV/0!</v>
      </c>
    </row>
    <row r="40" spans="1:34" ht="15.5">
      <c r="A40" s="1216" t="b">
        <f t="shared" si="0"/>
        <v>1</v>
      </c>
      <c r="B40" s="1217" t="b">
        <f t="shared" si="9"/>
        <v>1</v>
      </c>
      <c r="C40" s="1218" t="str">
        <f t="shared" si="10"/>
        <v>Dólares</v>
      </c>
      <c r="D40" s="44"/>
      <c r="E40" s="836"/>
      <c r="F40" s="50"/>
      <c r="G40" s="50" t="str">
        <f t="shared" si="1"/>
        <v xml:space="preserve"> </v>
      </c>
      <c r="H40" s="45">
        <v>0</v>
      </c>
      <c r="I40" s="49" t="str">
        <f>IFERROR(VLOOKUP(G40,Proveedores!B:C,2,0)," ")</f>
        <v xml:space="preserve"> </v>
      </c>
      <c r="J40" s="838">
        <v>0</v>
      </c>
      <c r="K40" s="1124"/>
      <c r="L40" s="1266">
        <f t="shared" si="2"/>
        <v>0</v>
      </c>
      <c r="M40" s="1267">
        <f t="shared" si="23"/>
        <v>0</v>
      </c>
      <c r="N40" s="1268">
        <f t="shared" si="22"/>
        <v>0</v>
      </c>
      <c r="O40" s="836" t="str">
        <f>IFERROR(VLOOKUP(G40,Proveedores!B:D,3,0)," ")</f>
        <v xml:space="preserve"> </v>
      </c>
      <c r="P40" s="836"/>
      <c r="Q40" s="1127" t="e">
        <f t="shared" si="3"/>
        <v>#N/A</v>
      </c>
      <c r="R40" s="1127" t="b">
        <f t="shared" si="20"/>
        <v>0</v>
      </c>
      <c r="S40" s="1127" t="e">
        <f t="shared" si="4"/>
        <v>#N/A</v>
      </c>
      <c r="T40" s="1127" t="b">
        <f t="shared" si="12"/>
        <v>0</v>
      </c>
      <c r="U40" s="1127">
        <f t="shared" si="13"/>
        <v>0</v>
      </c>
      <c r="V40" s="1127" t="e">
        <f t="shared" si="14"/>
        <v>#DIV/0!</v>
      </c>
      <c r="W40" s="1127" t="e">
        <f>IF(F40="Offiho",J40,IF(_xlfn.XLOOKUP(F40,Proveedores!A$2:A$50,Proveedores!E$2:E$50,"")="Nacional",(J40/0.5)+(V40*H40),((J40/0.3/0.5)+(V40*H40))))</f>
        <v>#DIV/0!</v>
      </c>
      <c r="X40" s="1127" t="e">
        <f t="shared" si="15"/>
        <v>#DIV/0!</v>
      </c>
      <c r="Y40" s="1126" t="b">
        <f t="shared" si="5"/>
        <v>0</v>
      </c>
      <c r="Z40" s="43">
        <v>0</v>
      </c>
      <c r="AA40" s="1219" t="e">
        <f t="shared" si="16"/>
        <v>#DIV/0!</v>
      </c>
      <c r="AB40" s="1219" t="e">
        <f t="shared" si="17"/>
        <v>#DIV/0!</v>
      </c>
      <c r="AC40" s="1219" t="e">
        <f t="shared" si="18"/>
        <v>#DIV/0!</v>
      </c>
      <c r="AD40" s="1126" t="e">
        <f t="shared" si="19"/>
        <v>#DIV/0!</v>
      </c>
      <c r="AE40" s="1217" t="e">
        <f t="shared" si="6"/>
        <v>#DIV/0!</v>
      </c>
      <c r="AF40" s="1220" t="e">
        <f t="shared" si="7"/>
        <v>#DIV/0!</v>
      </c>
      <c r="AG40" s="1176" t="e">
        <f t="shared" si="8"/>
        <v>#DIV/0!</v>
      </c>
      <c r="AH40" s="1221" t="e">
        <f t="shared" si="24"/>
        <v>#DIV/0!</v>
      </c>
    </row>
    <row r="41" spans="1:34" ht="15.5">
      <c r="A41" s="1216" t="b">
        <f t="shared" si="0"/>
        <v>1</v>
      </c>
      <c r="B41" s="1217" t="b">
        <f t="shared" si="9"/>
        <v>1</v>
      </c>
      <c r="C41" s="1218" t="str">
        <f t="shared" si="10"/>
        <v>Dólares</v>
      </c>
      <c r="D41" s="44"/>
      <c r="E41" s="836"/>
      <c r="F41" s="50"/>
      <c r="G41" s="50" t="str">
        <f t="shared" si="1"/>
        <v xml:space="preserve"> </v>
      </c>
      <c r="H41" s="45">
        <v>0</v>
      </c>
      <c r="I41" s="49" t="str">
        <f>IFERROR(VLOOKUP(G41,Proveedores!B:C,2,0)," ")</f>
        <v xml:space="preserve"> </v>
      </c>
      <c r="J41" s="838">
        <v>0</v>
      </c>
      <c r="K41" s="1124"/>
      <c r="L41" s="1266">
        <f t="shared" si="2"/>
        <v>0</v>
      </c>
      <c r="M41" s="1267">
        <f t="shared" si="23"/>
        <v>0</v>
      </c>
      <c r="N41" s="1268">
        <f t="shared" si="22"/>
        <v>0</v>
      </c>
      <c r="O41" s="836" t="str">
        <f>IFERROR(VLOOKUP(G41,Proveedores!B:D,3,0)," ")</f>
        <v xml:space="preserve"> </v>
      </c>
      <c r="P41" s="836"/>
      <c r="Q41" s="1127" t="e">
        <f t="shared" si="3"/>
        <v>#N/A</v>
      </c>
      <c r="R41" s="1127" t="b">
        <f t="shared" si="20"/>
        <v>0</v>
      </c>
      <c r="S41" s="1127" t="e">
        <f t="shared" si="4"/>
        <v>#N/A</v>
      </c>
      <c r="T41" s="1127" t="b">
        <f t="shared" si="12"/>
        <v>0</v>
      </c>
      <c r="U41" s="1127">
        <f t="shared" si="13"/>
        <v>0</v>
      </c>
      <c r="V41" s="1127" t="e">
        <f t="shared" si="14"/>
        <v>#DIV/0!</v>
      </c>
      <c r="W41" s="1127" t="e">
        <f>IF(F41="Offiho",J41,IF(_xlfn.XLOOKUP(F41,Proveedores!A$2:A$50,Proveedores!E$2:E$50,"")="Nacional",(J41/0.5)+(V41*H41),((J41/0.3/0.5)+(V41*H41))))</f>
        <v>#DIV/0!</v>
      </c>
      <c r="X41" s="1127" t="e">
        <f t="shared" si="15"/>
        <v>#DIV/0!</v>
      </c>
      <c r="Y41" s="1126" t="b">
        <f t="shared" si="5"/>
        <v>0</v>
      </c>
      <c r="Z41" s="43">
        <v>0</v>
      </c>
      <c r="AA41" s="1219" t="e">
        <f t="shared" si="16"/>
        <v>#DIV/0!</v>
      </c>
      <c r="AB41" s="1219" t="e">
        <f t="shared" si="17"/>
        <v>#DIV/0!</v>
      </c>
      <c r="AC41" s="1219" t="e">
        <f t="shared" si="18"/>
        <v>#DIV/0!</v>
      </c>
      <c r="AD41" s="1126" t="e">
        <f t="shared" si="19"/>
        <v>#DIV/0!</v>
      </c>
      <c r="AE41" s="1217" t="e">
        <f t="shared" si="6"/>
        <v>#DIV/0!</v>
      </c>
      <c r="AF41" s="1220" t="e">
        <f t="shared" si="7"/>
        <v>#DIV/0!</v>
      </c>
      <c r="AG41" s="1176" t="e">
        <f t="shared" si="8"/>
        <v>#DIV/0!</v>
      </c>
      <c r="AH41" s="1221" t="e">
        <f t="shared" si="24"/>
        <v>#DIV/0!</v>
      </c>
    </row>
    <row r="42" spans="1:34" ht="15.5">
      <c r="A42" s="1216" t="b">
        <f t="shared" si="0"/>
        <v>1</v>
      </c>
      <c r="B42" s="1217" t="b">
        <f t="shared" si="9"/>
        <v>1</v>
      </c>
      <c r="C42" s="1218" t="str">
        <f t="shared" si="10"/>
        <v>Dólares</v>
      </c>
      <c r="D42" s="44"/>
      <c r="E42" s="836"/>
      <c r="F42" s="50"/>
      <c r="G42" s="50" t="str">
        <f t="shared" si="1"/>
        <v xml:space="preserve"> </v>
      </c>
      <c r="H42" s="45">
        <v>0</v>
      </c>
      <c r="I42" s="49" t="str">
        <f>IFERROR(VLOOKUP(G42,Proveedores!B:C,2,0)," ")</f>
        <v xml:space="preserve"> </v>
      </c>
      <c r="J42" s="838">
        <v>0</v>
      </c>
      <c r="K42" s="1124"/>
      <c r="L42" s="1266">
        <f t="shared" si="2"/>
        <v>0</v>
      </c>
      <c r="M42" s="1267">
        <f t="shared" si="23"/>
        <v>0</v>
      </c>
      <c r="N42" s="1268">
        <f t="shared" si="22"/>
        <v>0</v>
      </c>
      <c r="O42" s="836" t="str">
        <f>IFERROR(VLOOKUP(G42,Proveedores!B:D,3,0)," ")</f>
        <v xml:space="preserve"> </v>
      </c>
      <c r="P42" s="836"/>
      <c r="Q42" s="1127" t="e">
        <f t="shared" si="3"/>
        <v>#N/A</v>
      </c>
      <c r="R42" s="1127" t="b">
        <f t="shared" si="20"/>
        <v>0</v>
      </c>
      <c r="S42" s="1127" t="e">
        <f t="shared" si="4"/>
        <v>#N/A</v>
      </c>
      <c r="T42" s="1127" t="b">
        <f t="shared" si="12"/>
        <v>0</v>
      </c>
      <c r="U42" s="1127">
        <f t="shared" si="13"/>
        <v>0</v>
      </c>
      <c r="V42" s="1127" t="e">
        <f t="shared" si="14"/>
        <v>#DIV/0!</v>
      </c>
      <c r="W42" s="1127" t="e">
        <f>IF(F42="Offiho",J42,IF(_xlfn.XLOOKUP(F42,Proveedores!A$2:A$50,Proveedores!E$2:E$50,"")="Nacional",(J42/0.5)+(V42*H42),((J42/0.3/0.5)+(V42*H42))))</f>
        <v>#DIV/0!</v>
      </c>
      <c r="X42" s="1127" t="e">
        <f t="shared" si="15"/>
        <v>#DIV/0!</v>
      </c>
      <c r="Y42" s="1126" t="b">
        <f t="shared" si="5"/>
        <v>0</v>
      </c>
      <c r="Z42" s="43">
        <v>0</v>
      </c>
      <c r="AA42" s="1219" t="e">
        <f t="shared" si="16"/>
        <v>#DIV/0!</v>
      </c>
      <c r="AB42" s="1219" t="e">
        <f t="shared" si="17"/>
        <v>#DIV/0!</v>
      </c>
      <c r="AC42" s="1219" t="e">
        <f t="shared" si="18"/>
        <v>#DIV/0!</v>
      </c>
      <c r="AD42" s="1126" t="e">
        <f t="shared" si="19"/>
        <v>#DIV/0!</v>
      </c>
      <c r="AE42" s="1217" t="e">
        <f t="shared" si="6"/>
        <v>#DIV/0!</v>
      </c>
      <c r="AF42" s="1220" t="e">
        <f t="shared" si="7"/>
        <v>#DIV/0!</v>
      </c>
      <c r="AG42" s="1176" t="e">
        <f t="shared" si="8"/>
        <v>#DIV/0!</v>
      </c>
      <c r="AH42" s="1221" t="e">
        <f t="shared" si="24"/>
        <v>#DIV/0!</v>
      </c>
    </row>
    <row r="43" spans="1:34" ht="15.5">
      <c r="A43" s="1216" t="b">
        <f t="shared" si="0"/>
        <v>1</v>
      </c>
      <c r="B43" s="1217" t="b">
        <f t="shared" si="9"/>
        <v>1</v>
      </c>
      <c r="C43" s="1218" t="str">
        <f t="shared" si="10"/>
        <v>Dólares</v>
      </c>
      <c r="D43" s="44"/>
      <c r="E43" s="836"/>
      <c r="F43" s="50"/>
      <c r="G43" s="50" t="str">
        <f t="shared" si="1"/>
        <v xml:space="preserve"> </v>
      </c>
      <c r="H43" s="45">
        <v>0</v>
      </c>
      <c r="I43" s="49" t="str">
        <f>IFERROR(VLOOKUP(G43,Proveedores!B:C,2,0)," ")</f>
        <v xml:space="preserve"> </v>
      </c>
      <c r="J43" s="838">
        <v>0</v>
      </c>
      <c r="K43" s="1124"/>
      <c r="L43" s="1266">
        <f t="shared" si="2"/>
        <v>0</v>
      </c>
      <c r="M43" s="1267">
        <f t="shared" si="23"/>
        <v>0</v>
      </c>
      <c r="N43" s="1268">
        <f t="shared" si="22"/>
        <v>0</v>
      </c>
      <c r="O43" s="836" t="str">
        <f>IFERROR(VLOOKUP(G43,Proveedores!B:D,3,0)," ")</f>
        <v xml:space="preserve"> </v>
      </c>
      <c r="P43" s="836"/>
      <c r="Q43" s="1127" t="e">
        <f t="shared" si="3"/>
        <v>#N/A</v>
      </c>
      <c r="R43" s="1127" t="b">
        <f t="shared" si="20"/>
        <v>0</v>
      </c>
      <c r="S43" s="1127" t="e">
        <f t="shared" si="4"/>
        <v>#N/A</v>
      </c>
      <c r="T43" s="1127" t="b">
        <f t="shared" si="12"/>
        <v>0</v>
      </c>
      <c r="U43" s="1127">
        <f t="shared" si="13"/>
        <v>0</v>
      </c>
      <c r="V43" s="1127" t="e">
        <f t="shared" si="14"/>
        <v>#DIV/0!</v>
      </c>
      <c r="W43" s="1127" t="e">
        <f>IF(F43="Offiho",J43,IF(_xlfn.XLOOKUP(F43,Proveedores!A$2:A$50,Proveedores!E$2:E$50,"")="Nacional",(J43/0.5)+(V43*H43),((J43/0.3/0.5)+(V43*H43))))</f>
        <v>#DIV/0!</v>
      </c>
      <c r="X43" s="1127" t="e">
        <f t="shared" si="15"/>
        <v>#DIV/0!</v>
      </c>
      <c r="Y43" s="1126" t="b">
        <f t="shared" si="5"/>
        <v>0</v>
      </c>
      <c r="Z43" s="43">
        <v>0</v>
      </c>
      <c r="AA43" s="1219" t="e">
        <f t="shared" si="16"/>
        <v>#DIV/0!</v>
      </c>
      <c r="AB43" s="1219" t="e">
        <f t="shared" si="17"/>
        <v>#DIV/0!</v>
      </c>
      <c r="AC43" s="1219" t="e">
        <f t="shared" si="18"/>
        <v>#DIV/0!</v>
      </c>
      <c r="AD43" s="1126" t="e">
        <f t="shared" si="19"/>
        <v>#DIV/0!</v>
      </c>
      <c r="AE43" s="1217" t="e">
        <f t="shared" si="6"/>
        <v>#DIV/0!</v>
      </c>
      <c r="AF43" s="1220" t="e">
        <f t="shared" si="7"/>
        <v>#DIV/0!</v>
      </c>
      <c r="AG43" s="1176" t="e">
        <f t="shared" si="8"/>
        <v>#DIV/0!</v>
      </c>
      <c r="AH43" s="1221" t="e">
        <f t="shared" si="24"/>
        <v>#DIV/0!</v>
      </c>
    </row>
    <row r="44" spans="1:34" ht="15.5">
      <c r="A44" s="1216" t="b">
        <f t="shared" si="0"/>
        <v>1</v>
      </c>
      <c r="B44" s="1217" t="b">
        <f t="shared" si="9"/>
        <v>1</v>
      </c>
      <c r="C44" s="1218" t="str">
        <f t="shared" si="10"/>
        <v>Dólares</v>
      </c>
      <c r="D44" s="44"/>
      <c r="E44" s="836"/>
      <c r="F44" s="50"/>
      <c r="G44" s="50" t="str">
        <f t="shared" si="1"/>
        <v xml:space="preserve"> </v>
      </c>
      <c r="H44" s="45">
        <v>0</v>
      </c>
      <c r="I44" s="49" t="str">
        <f>IFERROR(VLOOKUP(G44,Proveedores!B:C,2,0)," ")</f>
        <v xml:space="preserve"> </v>
      </c>
      <c r="J44" s="838">
        <v>0</v>
      </c>
      <c r="K44" s="1124"/>
      <c r="L44" s="1266">
        <f t="shared" si="2"/>
        <v>0</v>
      </c>
      <c r="M44" s="1267">
        <f t="shared" si="23"/>
        <v>0</v>
      </c>
      <c r="N44" s="1268">
        <f t="shared" si="22"/>
        <v>0</v>
      </c>
      <c r="O44" s="836" t="str">
        <f>IFERROR(VLOOKUP(G44,Proveedores!B:D,3,0)," ")</f>
        <v xml:space="preserve"> </v>
      </c>
      <c r="P44" s="836"/>
      <c r="Q44" s="1127" t="e">
        <f t="shared" si="3"/>
        <v>#N/A</v>
      </c>
      <c r="R44" s="1127" t="b">
        <f t="shared" si="20"/>
        <v>0</v>
      </c>
      <c r="S44" s="1127" t="e">
        <f t="shared" si="4"/>
        <v>#N/A</v>
      </c>
      <c r="T44" s="1127" t="b">
        <f t="shared" si="12"/>
        <v>0</v>
      </c>
      <c r="U44" s="1127">
        <f t="shared" si="13"/>
        <v>0</v>
      </c>
      <c r="V44" s="1127" t="e">
        <f t="shared" si="14"/>
        <v>#DIV/0!</v>
      </c>
      <c r="W44" s="1127" t="e">
        <f>IF(F44="Offiho",J44,IF(_xlfn.XLOOKUP(F44,Proveedores!A$2:A$50,Proveedores!E$2:E$50,"")="Nacional",(J44/0.5)+(V44*H44),((J44/0.3/0.5)+(V44*H44))))</f>
        <v>#DIV/0!</v>
      </c>
      <c r="X44" s="1127" t="e">
        <f t="shared" si="15"/>
        <v>#DIV/0!</v>
      </c>
      <c r="Y44" s="1126" t="b">
        <f t="shared" si="5"/>
        <v>0</v>
      </c>
      <c r="Z44" s="43">
        <v>0</v>
      </c>
      <c r="AA44" s="1219" t="e">
        <f t="shared" si="16"/>
        <v>#DIV/0!</v>
      </c>
      <c r="AB44" s="1219" t="e">
        <f t="shared" si="17"/>
        <v>#DIV/0!</v>
      </c>
      <c r="AC44" s="1219" t="e">
        <f t="shared" si="18"/>
        <v>#DIV/0!</v>
      </c>
      <c r="AD44" s="1126" t="e">
        <f t="shared" si="19"/>
        <v>#DIV/0!</v>
      </c>
      <c r="AE44" s="1217" t="e">
        <f t="shared" si="6"/>
        <v>#DIV/0!</v>
      </c>
      <c r="AF44" s="1220" t="e">
        <f t="shared" si="7"/>
        <v>#DIV/0!</v>
      </c>
      <c r="AG44" s="1176" t="e">
        <f t="shared" si="8"/>
        <v>#DIV/0!</v>
      </c>
      <c r="AH44" s="1221" t="e">
        <f t="shared" si="24"/>
        <v>#DIV/0!</v>
      </c>
    </row>
    <row r="45" spans="1:34" ht="15.5">
      <c r="A45" s="1216" t="b">
        <f t="shared" si="0"/>
        <v>1</v>
      </c>
      <c r="B45" s="1217" t="b">
        <f t="shared" si="9"/>
        <v>1</v>
      </c>
      <c r="C45" s="1218" t="str">
        <f t="shared" si="10"/>
        <v>Dólares</v>
      </c>
      <c r="D45" s="44"/>
      <c r="E45" s="836"/>
      <c r="F45" s="50"/>
      <c r="G45" s="50" t="str">
        <f t="shared" si="1"/>
        <v xml:space="preserve"> </v>
      </c>
      <c r="H45" s="45">
        <v>0</v>
      </c>
      <c r="I45" s="49" t="str">
        <f>IFERROR(VLOOKUP(G45,Proveedores!B:C,2,0)," ")</f>
        <v xml:space="preserve"> </v>
      </c>
      <c r="J45" s="838">
        <v>0</v>
      </c>
      <c r="K45" s="1124"/>
      <c r="L45" s="1266">
        <f t="shared" si="2"/>
        <v>0</v>
      </c>
      <c r="M45" s="1267">
        <f t="shared" si="23"/>
        <v>0</v>
      </c>
      <c r="N45" s="1268">
        <f t="shared" si="22"/>
        <v>0</v>
      </c>
      <c r="O45" s="836" t="str">
        <f>IFERROR(VLOOKUP(G45,Proveedores!B:D,3,0)," ")</f>
        <v xml:space="preserve"> </v>
      </c>
      <c r="P45" s="836"/>
      <c r="Q45" s="1127" t="e">
        <f t="shared" si="3"/>
        <v>#N/A</v>
      </c>
      <c r="R45" s="1127" t="b">
        <f t="shared" si="20"/>
        <v>0</v>
      </c>
      <c r="S45" s="1127" t="e">
        <f t="shared" si="4"/>
        <v>#N/A</v>
      </c>
      <c r="T45" s="1127" t="b">
        <f t="shared" si="12"/>
        <v>0</v>
      </c>
      <c r="U45" s="1127">
        <f t="shared" si="13"/>
        <v>0</v>
      </c>
      <c r="V45" s="1127" t="e">
        <f t="shared" si="14"/>
        <v>#DIV/0!</v>
      </c>
      <c r="W45" s="1127" t="e">
        <f>IF(F45="Offiho",J45,IF(_xlfn.XLOOKUP(F45,Proveedores!A$2:A$50,Proveedores!E$2:E$50,"")="Nacional",(J45/0.5)+(V45*H45),((J45/0.3/0.5)+(V45*H45))))</f>
        <v>#DIV/0!</v>
      </c>
      <c r="X45" s="1127" t="e">
        <f t="shared" si="15"/>
        <v>#DIV/0!</v>
      </c>
      <c r="Y45" s="1126" t="b">
        <f t="shared" si="5"/>
        <v>0</v>
      </c>
      <c r="Z45" s="43">
        <v>0</v>
      </c>
      <c r="AA45" s="1219" t="e">
        <f t="shared" si="16"/>
        <v>#DIV/0!</v>
      </c>
      <c r="AB45" s="1219" t="e">
        <f t="shared" si="17"/>
        <v>#DIV/0!</v>
      </c>
      <c r="AC45" s="1219" t="e">
        <f t="shared" si="18"/>
        <v>#DIV/0!</v>
      </c>
      <c r="AD45" s="1126" t="e">
        <f t="shared" si="19"/>
        <v>#DIV/0!</v>
      </c>
      <c r="AE45" s="1217" t="e">
        <f t="shared" si="6"/>
        <v>#DIV/0!</v>
      </c>
      <c r="AF45" s="1220" t="e">
        <f t="shared" si="7"/>
        <v>#DIV/0!</v>
      </c>
      <c r="AG45" s="1176" t="e">
        <f t="shared" si="8"/>
        <v>#DIV/0!</v>
      </c>
      <c r="AH45" s="1221" t="e">
        <f t="shared" si="24"/>
        <v>#DIV/0!</v>
      </c>
    </row>
    <row r="46" spans="1:34" ht="15.5">
      <c r="A46" s="1216" t="b">
        <f t="shared" si="0"/>
        <v>1</v>
      </c>
      <c r="B46" s="1217" t="b">
        <f t="shared" si="9"/>
        <v>1</v>
      </c>
      <c r="C46" s="1218" t="str">
        <f t="shared" si="10"/>
        <v>Dólares</v>
      </c>
      <c r="D46" s="44"/>
      <c r="E46" s="836"/>
      <c r="F46" s="50"/>
      <c r="G46" s="50" t="str">
        <f t="shared" si="1"/>
        <v xml:space="preserve"> </v>
      </c>
      <c r="H46" s="45">
        <v>0</v>
      </c>
      <c r="I46" s="49" t="str">
        <f>IFERROR(VLOOKUP(G46,Proveedores!B:C,2,0)," ")</f>
        <v xml:space="preserve"> </v>
      </c>
      <c r="J46" s="838">
        <v>0</v>
      </c>
      <c r="K46" s="1124"/>
      <c r="L46" s="1266">
        <f t="shared" si="2"/>
        <v>0</v>
      </c>
      <c r="M46" s="1267">
        <f t="shared" si="23"/>
        <v>0</v>
      </c>
      <c r="N46" s="1268">
        <f t="shared" si="22"/>
        <v>0</v>
      </c>
      <c r="O46" s="836" t="str">
        <f>IFERROR(VLOOKUP(G46,Proveedores!B:D,3,0)," ")</f>
        <v xml:space="preserve"> </v>
      </c>
      <c r="P46" s="836"/>
      <c r="Q46" s="1127" t="e">
        <f t="shared" si="3"/>
        <v>#N/A</v>
      </c>
      <c r="R46" s="1127" t="b">
        <f t="shared" si="20"/>
        <v>0</v>
      </c>
      <c r="S46" s="1127" t="e">
        <f t="shared" si="4"/>
        <v>#N/A</v>
      </c>
      <c r="T46" s="1127" t="b">
        <f t="shared" si="12"/>
        <v>0</v>
      </c>
      <c r="U46" s="1127">
        <f t="shared" si="13"/>
        <v>0</v>
      </c>
      <c r="V46" s="1127" t="e">
        <f t="shared" si="14"/>
        <v>#DIV/0!</v>
      </c>
      <c r="W46" s="1127" t="e">
        <f>IF(F46="Offiho",J46,IF(_xlfn.XLOOKUP(F46,Proveedores!A$2:A$50,Proveedores!E$2:E$50,"")="Nacional",(J46/0.5)+(V46*H46),((J46/0.3/0.5)+(V46*H46))))</f>
        <v>#DIV/0!</v>
      </c>
      <c r="X46" s="1127" t="e">
        <f t="shared" si="15"/>
        <v>#DIV/0!</v>
      </c>
      <c r="Y46" s="1126" t="b">
        <f t="shared" si="5"/>
        <v>0</v>
      </c>
      <c r="Z46" s="43">
        <v>0</v>
      </c>
      <c r="AA46" s="1219" t="e">
        <f t="shared" si="16"/>
        <v>#DIV/0!</v>
      </c>
      <c r="AB46" s="1219" t="e">
        <f t="shared" si="17"/>
        <v>#DIV/0!</v>
      </c>
      <c r="AC46" s="1219" t="e">
        <f t="shared" si="18"/>
        <v>#DIV/0!</v>
      </c>
      <c r="AD46" s="1126" t="str">
        <f t="shared" si="19"/>
        <v>NA</v>
      </c>
      <c r="AE46" s="1217" t="e">
        <f t="shared" si="6"/>
        <v>#DIV/0!</v>
      </c>
      <c r="AF46" s="1220" t="e">
        <f t="shared" si="7"/>
        <v>#DIV/0!</v>
      </c>
      <c r="AG46" s="1176" t="e">
        <f t="shared" si="8"/>
        <v>#DIV/0!</v>
      </c>
      <c r="AH46" s="1221" t="e">
        <f t="shared" si="24"/>
        <v>#DIV/0!</v>
      </c>
    </row>
    <row r="47" spans="1:34" ht="24" customHeight="1">
      <c r="A47" s="1422" t="s">
        <v>115</v>
      </c>
      <c r="B47" s="1422"/>
      <c r="C47" s="1422"/>
      <c r="D47" s="1422"/>
      <c r="E47" s="1422"/>
      <c r="F47" s="1422"/>
      <c r="G47" s="1228"/>
      <c r="H47" s="1229" cm="1">
        <f t="array" ref="H47">SUM(IFERROR(H14:H46,0))</f>
        <v>0</v>
      </c>
      <c r="I47" s="1228"/>
      <c r="J47" s="1230"/>
      <c r="K47" s="1231"/>
      <c r="L47" s="1229" cm="1">
        <f t="array" ref="L47">SUM(IFERROR(L14:L46,0))</f>
        <v>0</v>
      </c>
      <c r="M47" s="1231"/>
      <c r="N47" s="1232" cm="1">
        <f t="array" ref="N47">SUM(IFERROR(N14:N46,0))</f>
        <v>0</v>
      </c>
      <c r="O47" s="1233" t="s">
        <v>116</v>
      </c>
      <c r="P47" s="1233"/>
      <c r="Q47" s="1233"/>
      <c r="R47" s="1233"/>
      <c r="S47" s="1233"/>
      <c r="T47" s="1233"/>
      <c r="U47" s="1233"/>
      <c r="V47" s="1233"/>
      <c r="W47" s="1231"/>
      <c r="X47" s="1232" cm="1">
        <f t="array" ref="X47">SUM(IFERROR(X14:X46,0))</f>
        <v>0</v>
      </c>
      <c r="Y47" s="1233" t="s">
        <v>116</v>
      </c>
      <c r="Z47" s="1233"/>
      <c r="AA47" s="1233"/>
      <c r="AB47" s="1233"/>
      <c r="AC47" s="1232" cm="1">
        <f t="array" ref="AC47">SUM(IFERROR(AC14:AC46,0))</f>
        <v>0</v>
      </c>
      <c r="AD47" s="1234" t="e" cm="1">
        <f t="array" ref="AD47">AVERAGE(IFERROR(AD14:AD46,""))</f>
        <v>#DIV/0!</v>
      </c>
      <c r="AE47" s="1232"/>
      <c r="AF47" s="1232" cm="1">
        <f t="array" ref="AF47">SUM(IFERROR(AF14:AF46,0))</f>
        <v>0</v>
      </c>
      <c r="AG47" s="1177">
        <f>IFERROR(1-(N47/AC47),0)</f>
        <v>0</v>
      </c>
      <c r="AH47"/>
    </row>
    <row r="48" spans="1:34" ht="26" customHeight="1">
      <c r="A48" s="1419" t="s">
        <v>117</v>
      </c>
      <c r="B48" s="1419"/>
      <c r="C48" s="1419"/>
      <c r="D48" s="1419"/>
      <c r="E48" s="1419"/>
      <c r="F48" s="1419"/>
      <c r="G48" s="1419"/>
      <c r="H48" s="1419"/>
      <c r="I48" s="1419"/>
      <c r="J48" s="1420"/>
      <c r="K48" s="1214"/>
      <c r="L48" s="1214"/>
      <c r="M48" s="1214"/>
      <c r="N48" s="1214"/>
      <c r="O48" s="1213"/>
      <c r="P48" s="1213"/>
      <c r="Q48" s="1213"/>
      <c r="R48" s="1213"/>
      <c r="S48" s="1213"/>
      <c r="T48" s="1213"/>
      <c r="U48" s="1213"/>
      <c r="V48" s="1213"/>
      <c r="W48" s="1213"/>
      <c r="X48" s="1213"/>
      <c r="Y48" s="1213"/>
      <c r="Z48" s="1213"/>
      <c r="AA48" s="1213"/>
      <c r="AB48" s="1213"/>
      <c r="AC48" s="1213"/>
      <c r="AD48" s="1213"/>
      <c r="AE48" s="1213"/>
      <c r="AF48" s="1213"/>
      <c r="AG48" s="1215"/>
      <c r="AH48"/>
    </row>
    <row r="49" spans="1:34" ht="15.5">
      <c r="A49" s="1216" t="b">
        <f t="shared" ref="A49:A81" si="31">$A$13</f>
        <v>1</v>
      </c>
      <c r="B49" s="1217" t="b">
        <f>A49</f>
        <v>1</v>
      </c>
      <c r="C49" s="1218" t="str">
        <f>$C$13</f>
        <v>Dólares</v>
      </c>
      <c r="D49" s="44"/>
      <c r="E49" s="836"/>
      <c r="F49" s="50"/>
      <c r="G49" s="50" t="str">
        <f t="shared" ref="G49:G81" si="32">IFERROR(VLOOKUP(F49,Tabla_Proveedores_1,2,0)," ")</f>
        <v xml:space="preserve"> </v>
      </c>
      <c r="H49" s="45">
        <v>0</v>
      </c>
      <c r="I49" s="49" t="str">
        <f>IFERROR(VLOOKUP(G49,Proveedores!B:C,2,0)," ")</f>
        <v xml:space="preserve"> </v>
      </c>
      <c r="J49" s="838">
        <v>0</v>
      </c>
      <c r="K49" s="1124" t="e">
        <f>#REF!</f>
        <v>#REF!</v>
      </c>
      <c r="L49" s="1266" t="e">
        <f t="shared" ref="L49:L81" si="33">K49*H49</f>
        <v>#REF!</v>
      </c>
      <c r="M49" s="1267">
        <f t="shared" ref="M49:M81" si="34">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Brasil"),J49,IFERROR(IF(K608&lt;=$AO$578,J49*2.14,IF(K608&lt;=$AN$579,J49*1.8,IF(K608&gt;$AN$580,J49*1.5))),J49))*1.1)</f>
        <v>0</v>
      </c>
      <c r="N49" s="1268">
        <f>M49*H49</f>
        <v>0</v>
      </c>
      <c r="O49" s="836" t="str">
        <f>IFERROR(VLOOKUP(G49,Proveedores!B:D,3,0)," ")</f>
        <v xml:space="preserve"> </v>
      </c>
      <c r="P49" s="836"/>
      <c r="Q49" s="1127" t="e">
        <f t="shared" ref="Q49:Q81" si="35">VLOOKUP(E49,Tabla_Fletes,3,FALSE)</f>
        <v>#N/A</v>
      </c>
      <c r="R49" s="1127" t="b">
        <f>IF(P49="Centro",Q49,IF(P49="Norte",Q49*1.6,IF(P49="Occidente",Q49*1.2,IF(P49="Sur",Q49*2))))</f>
        <v>0</v>
      </c>
      <c r="S49" s="1127" t="e">
        <f t="shared" ref="S49:S81" si="36">VLOOKUP(E49,Tabla_Instalacion,2,FALSE)</f>
        <v>#N/A</v>
      </c>
      <c r="T49" s="1127" t="b">
        <f>IF(P49="Centro",S49,IF(P49="Norte",S49*1.1,IF(P49="Occidente",S49*1.1,IF(P49="Sur",S49*1.1))))</f>
        <v>0</v>
      </c>
      <c r="U49" s="1127" t="e">
        <f t="shared" ref="U49:U81" si="37">IF(F49="Offiho",0,Q49+S49)</f>
        <v>#N/A</v>
      </c>
      <c r="V49" s="1127" t="e">
        <f>IF(K49=0,U49/$H$573,U49*(K49/L49))*H49</f>
        <v>#REF!</v>
      </c>
      <c r="W49" s="1127" t="e">
        <f>IF(F49="Offiho",J49,IF(_xlfn.XLOOKUP(F49,Proveedores!A$2:A$50,Proveedores!E$2:E$50,"")="Nacional",(J49/0.5)+(V49*H49),((J49/0.3/0.5)+(V49*H49))))</f>
        <v>#REF!</v>
      </c>
      <c r="X49" s="1127" t="e">
        <f t="shared" ref="X49:X81" si="38">W49*H49</f>
        <v>#REF!</v>
      </c>
      <c r="Y49" s="1126" t="b">
        <f t="shared" ref="Y49:Y81" si="39">IF(F49="Sunon Inc",$AJ$577,IF(F49="Alma - Exterior",$AJ$578,IF(F49="Yabo - Hotelería",$AJ$579,IF(F49="OSJ - Medical",$AJ$580,IF(F49="Seezo - Home",$AJ$581,IF(F49="A&amp;D - Home",$AJ$582,IF(F49="Encore Alfombras Hoteleria Asia",$AJ$583,IF(F49="Zhong Xian - Leds",$AJ$584,IF(F49="Tarkett Europa",$AJ$585,IF(F49="2tec2",$AJ$586,IF(F49="Balsan Europa",$AJ$587,IF(F49="Armstrong Pisos USA",$AJ$588,IF(F49="Tarkett USA",$AJ$589,IF(F49="Tarkett Brasil",$AJ$590,IF(F49="Tarkett MX",$AJ$591,IF(F49="Jome",$AJ$592,IF(F49="Offiho",$AJ$593,IF(F49="Lumbro",$AJ$594,IF(F49="Sunon Mty",$AJ$595,IF(F49="Conceptos Sofas",$AJ$596,IF(F49="Lauco Sofas",$AJ$597,IF(F49="CR Global - Mesas Ajustables",$AJ$598,IF(F49="Vandesk",$AJ$599,IF(F49="Mamparas Tela",$AJ$600,IF(F49="Mampara Cristales",$AJ$601,IF(F49="Herrajes",$AJ$602,IF(F49="MetalWork",$AJ$603,IF(F49="Requiez",$AJ$604,IF(F49="Labenze",$AJ$605,IF(F49="Infinity",$AJ$606,IF(F49="Proveedor Externo",$AJ$607)))))))))))))))))))))))))))))))</f>
        <v>0</v>
      </c>
      <c r="Z49" s="43">
        <v>0</v>
      </c>
      <c r="AA49" s="1219" t="e">
        <f>W49*Z49</f>
        <v>#REF!</v>
      </c>
      <c r="AB49" s="1219" t="e">
        <f>IF(Z49&gt;Y49,"ERROR",(W49-AA49))</f>
        <v>#REF!</v>
      </c>
      <c r="AC49" s="1219" t="e">
        <f t="shared" ref="AC49:AC81" si="40">AB49*H49</f>
        <v>#REF!</v>
      </c>
      <c r="AD49" s="1126" t="e">
        <f>IF(A50=TRUE,MAX(0,1-(AE49/W49)),"NA")</f>
        <v>#REF!</v>
      </c>
      <c r="AE49" s="1217" t="e">
        <f t="shared" ref="AE49:AE81" si="41">IF(A48=FALSE,"NO APLICA",AB49*1.2)</f>
        <v>#REF!</v>
      </c>
      <c r="AF49" s="1220" t="e">
        <f t="shared" ref="AF49:AF81" si="42">AE49*H49</f>
        <v>#REF!</v>
      </c>
      <c r="AG49" s="1176" t="e">
        <f t="shared" ref="AG49:AG81" si="43">(AC49-N49)/AC49</f>
        <v>#REF!</v>
      </c>
      <c r="AH49" s="1221" t="e">
        <f>IF(AG49&lt;30%,"ERROR","OK")</f>
        <v>#REF!</v>
      </c>
    </row>
    <row r="50" spans="1:34" ht="15.5">
      <c r="A50" s="1216" t="b">
        <f t="shared" si="31"/>
        <v>1</v>
      </c>
      <c r="B50" s="1217" t="b">
        <f t="shared" ref="B50:B81" si="44">A50</f>
        <v>1</v>
      </c>
      <c r="C50" s="1218" t="str">
        <f t="shared" ref="C50:C81" si="45">$C$13</f>
        <v>Dólares</v>
      </c>
      <c r="D50" s="44"/>
      <c r="E50" s="836"/>
      <c r="F50" s="50"/>
      <c r="G50" s="50" t="str">
        <f t="shared" si="32"/>
        <v xml:space="preserve"> </v>
      </c>
      <c r="H50" s="45">
        <v>0</v>
      </c>
      <c r="I50" s="49" t="str">
        <f>IFERROR(VLOOKUP(G50,Proveedores!B:C,2,0)," ")</f>
        <v xml:space="preserve"> </v>
      </c>
      <c r="J50" s="838">
        <v>0</v>
      </c>
      <c r="K50" s="1124" t="e">
        <f>#REF!</f>
        <v>#REF!</v>
      </c>
      <c r="L50" s="1266" t="e">
        <f t="shared" si="33"/>
        <v>#REF!</v>
      </c>
      <c r="M50" s="1267">
        <f t="shared" si="34"/>
        <v>0</v>
      </c>
      <c r="N50" s="1268">
        <f>M50*H50</f>
        <v>0</v>
      </c>
      <c r="O50" s="836" t="str">
        <f>IFERROR(VLOOKUP(G50,Proveedores!B:D,3,0)," ")</f>
        <v xml:space="preserve"> </v>
      </c>
      <c r="P50" s="836"/>
      <c r="Q50" s="1127" t="e">
        <f t="shared" si="35"/>
        <v>#N/A</v>
      </c>
      <c r="R50" s="1127" t="b">
        <f t="shared" ref="R50:R81" si="46">IF(P50="Centro",Q50,IF(P50="Norte",Q50*1.6,IF(P50="Occidente",Q50*1.2,IF(P50="Sur",Q50*2))))</f>
        <v>0</v>
      </c>
      <c r="S50" s="1127" t="e">
        <f t="shared" si="36"/>
        <v>#N/A</v>
      </c>
      <c r="T50" s="1127" t="b">
        <f t="shared" ref="T50:T81" si="47">IF(P50="Centro",S50,IF(P50="Norte",S50*1.1,IF(P50="Occidente",S50*1.1,IF(P50="Sur",S50*1.1))))</f>
        <v>0</v>
      </c>
      <c r="U50" s="1127" t="e">
        <f t="shared" si="37"/>
        <v>#N/A</v>
      </c>
      <c r="V50" s="1127" t="e">
        <f t="shared" ref="V50:V81" si="48">IF(K50=0,U50/$H$573,U50*(K50/L50))*H50</f>
        <v>#REF!</v>
      </c>
      <c r="W50" s="1127" t="e">
        <f>IF(F50="Offiho",J50,IF(_xlfn.XLOOKUP(F50,Proveedores!A$2:A$50,Proveedores!E$2:E$50,"")="Nacional",(J50/0.5)+(V50*H50),((J50/0.3/0.5)+(V50*H50))))</f>
        <v>#REF!</v>
      </c>
      <c r="X50" s="1127" t="e">
        <f t="shared" si="38"/>
        <v>#REF!</v>
      </c>
      <c r="Y50" s="1126" t="b">
        <f t="shared" si="39"/>
        <v>0</v>
      </c>
      <c r="Z50" s="43">
        <v>0</v>
      </c>
      <c r="AA50" s="1219" t="e">
        <f t="shared" ref="AA50:AA81" si="49">W50*Z50</f>
        <v>#REF!</v>
      </c>
      <c r="AB50" s="1219" t="e">
        <f t="shared" ref="AB50:AB81" si="50">IF(Z50&gt;Y50,"ERROR",(W50-AA50))</f>
        <v>#REF!</v>
      </c>
      <c r="AC50" s="1219" t="e">
        <f t="shared" si="40"/>
        <v>#REF!</v>
      </c>
      <c r="AD50" s="1126" t="e">
        <f t="shared" ref="AD50:AD81" si="51">IF(A51=TRUE,MAX(0,1-(AE50/W50)),"NA")</f>
        <v>#REF!</v>
      </c>
      <c r="AE50" s="1217" t="e">
        <f t="shared" si="41"/>
        <v>#REF!</v>
      </c>
      <c r="AF50" s="1220" t="e">
        <f t="shared" si="42"/>
        <v>#REF!</v>
      </c>
      <c r="AG50" s="1176" t="e">
        <f t="shared" si="43"/>
        <v>#REF!</v>
      </c>
      <c r="AH50" s="1221" t="e">
        <f t="shared" ref="AH50:AH81" si="52">IF(AG50&lt;30%,"ERROR","OK")</f>
        <v>#REF!</v>
      </c>
    </row>
    <row r="51" spans="1:34" ht="15.5">
      <c r="A51" s="1216" t="b">
        <f t="shared" si="31"/>
        <v>1</v>
      </c>
      <c r="B51" s="1217" t="b">
        <f t="shared" si="44"/>
        <v>1</v>
      </c>
      <c r="C51" s="1218" t="str">
        <f t="shared" si="45"/>
        <v>Dólares</v>
      </c>
      <c r="D51" s="44"/>
      <c r="E51" s="836"/>
      <c r="F51" s="50"/>
      <c r="G51" s="50" t="str">
        <f t="shared" si="32"/>
        <v xml:space="preserve"> </v>
      </c>
      <c r="H51" s="45">
        <v>0</v>
      </c>
      <c r="I51" s="49" t="str">
        <f>IFERROR(VLOOKUP(G51,Proveedores!B:C,2,0)," ")</f>
        <v xml:space="preserve"> </v>
      </c>
      <c r="J51" s="838">
        <v>0</v>
      </c>
      <c r="K51" s="1124" t="e">
        <f>#REF!</f>
        <v>#REF!</v>
      </c>
      <c r="L51" s="1266" t="e">
        <f t="shared" si="33"/>
        <v>#REF!</v>
      </c>
      <c r="M51" s="1267">
        <f t="shared" si="34"/>
        <v>0</v>
      </c>
      <c r="N51" s="1268">
        <f>(M51*H51)</f>
        <v>0</v>
      </c>
      <c r="O51" s="836" t="str">
        <f>IFERROR(VLOOKUP(G51,Proveedores!B:D,3,0)," ")</f>
        <v xml:space="preserve"> </v>
      </c>
      <c r="P51" s="836"/>
      <c r="Q51" s="1127" t="e">
        <f t="shared" si="35"/>
        <v>#N/A</v>
      </c>
      <c r="R51" s="1127" t="b">
        <f t="shared" si="46"/>
        <v>0</v>
      </c>
      <c r="S51" s="1127" t="e">
        <f t="shared" si="36"/>
        <v>#N/A</v>
      </c>
      <c r="T51" s="1127" t="b">
        <f t="shared" si="47"/>
        <v>0</v>
      </c>
      <c r="U51" s="1127" t="e">
        <f t="shared" si="37"/>
        <v>#N/A</v>
      </c>
      <c r="V51" s="1127" t="e">
        <f t="shared" si="48"/>
        <v>#REF!</v>
      </c>
      <c r="W51" s="1127" t="e">
        <f>IF(F51="Offiho",J51,IF(_xlfn.XLOOKUP(F51,Proveedores!A$2:A$50,Proveedores!E$2:E$50,"")="Nacional",(J51/0.5)+(V51*H51),((J51/0.3/0.5)+(V51*H51))))</f>
        <v>#REF!</v>
      </c>
      <c r="X51" s="1127" t="e">
        <f t="shared" si="38"/>
        <v>#REF!</v>
      </c>
      <c r="Y51" s="1126" t="b">
        <f t="shared" si="39"/>
        <v>0</v>
      </c>
      <c r="Z51" s="43">
        <v>0</v>
      </c>
      <c r="AA51" s="1219" t="e">
        <f t="shared" si="49"/>
        <v>#REF!</v>
      </c>
      <c r="AB51" s="1219" t="e">
        <f t="shared" si="50"/>
        <v>#REF!</v>
      </c>
      <c r="AC51" s="1219" t="e">
        <f t="shared" si="40"/>
        <v>#REF!</v>
      </c>
      <c r="AD51" s="1126" t="e">
        <f t="shared" si="51"/>
        <v>#REF!</v>
      </c>
      <c r="AE51" s="1217" t="e">
        <f t="shared" si="41"/>
        <v>#REF!</v>
      </c>
      <c r="AF51" s="1220" t="e">
        <f t="shared" si="42"/>
        <v>#REF!</v>
      </c>
      <c r="AG51" s="1176" t="e">
        <f t="shared" si="43"/>
        <v>#REF!</v>
      </c>
      <c r="AH51" s="1221" t="e">
        <f t="shared" si="52"/>
        <v>#REF!</v>
      </c>
    </row>
    <row r="52" spans="1:34" ht="15.5">
      <c r="A52" s="1216" t="b">
        <f t="shared" si="31"/>
        <v>1</v>
      </c>
      <c r="B52" s="1217" t="b">
        <f t="shared" si="44"/>
        <v>1</v>
      </c>
      <c r="C52" s="1218" t="str">
        <f t="shared" si="45"/>
        <v>Dólares</v>
      </c>
      <c r="D52" s="44"/>
      <c r="E52" s="836"/>
      <c r="F52" s="50"/>
      <c r="G52" s="50" t="str">
        <f t="shared" si="32"/>
        <v xml:space="preserve"> </v>
      </c>
      <c r="H52" s="45">
        <v>0</v>
      </c>
      <c r="I52" s="49" t="str">
        <f>IFERROR(VLOOKUP(G52,Proveedores!B:C,2,0)," ")</f>
        <v xml:space="preserve"> </v>
      </c>
      <c r="J52" s="838">
        <v>0</v>
      </c>
      <c r="K52" s="1124" t="e">
        <f>#REF!</f>
        <v>#REF!</v>
      </c>
      <c r="L52" s="1266" t="e">
        <f t="shared" si="33"/>
        <v>#REF!</v>
      </c>
      <c r="M52" s="1267">
        <f t="shared" si="34"/>
        <v>0</v>
      </c>
      <c r="N52" s="1268">
        <f t="shared" ref="N52:N81" si="53">M52*H52</f>
        <v>0</v>
      </c>
      <c r="O52" s="836" t="str">
        <f>IFERROR(VLOOKUP(G52,Proveedores!B:D,3,0)," ")</f>
        <v xml:space="preserve"> </v>
      </c>
      <c r="P52" s="836"/>
      <c r="Q52" s="1127" t="e">
        <f t="shared" si="35"/>
        <v>#N/A</v>
      </c>
      <c r="R52" s="1127" t="b">
        <f t="shared" si="46"/>
        <v>0</v>
      </c>
      <c r="S52" s="1127" t="e">
        <f t="shared" si="36"/>
        <v>#N/A</v>
      </c>
      <c r="T52" s="1127" t="b">
        <f t="shared" si="47"/>
        <v>0</v>
      </c>
      <c r="U52" s="1127" t="e">
        <f t="shared" si="37"/>
        <v>#N/A</v>
      </c>
      <c r="V52" s="1127" t="e">
        <f t="shared" si="48"/>
        <v>#REF!</v>
      </c>
      <c r="W52" s="1127" t="e">
        <f>IF(F52="Offiho",J52,IF(_xlfn.XLOOKUP(F52,Proveedores!A$2:A$50,Proveedores!E$2:E$50,"")="Nacional",(J52/0.5)+(V52*H52),((J52/0.3/0.5)+(V52*H52))))</f>
        <v>#REF!</v>
      </c>
      <c r="X52" s="1127" t="e">
        <f t="shared" si="38"/>
        <v>#REF!</v>
      </c>
      <c r="Y52" s="1126" t="b">
        <f t="shared" si="39"/>
        <v>0</v>
      </c>
      <c r="Z52" s="43">
        <v>0</v>
      </c>
      <c r="AA52" s="1219" t="e">
        <f t="shared" si="49"/>
        <v>#REF!</v>
      </c>
      <c r="AB52" s="1219" t="e">
        <f t="shared" si="50"/>
        <v>#REF!</v>
      </c>
      <c r="AC52" s="1219" t="e">
        <f t="shared" si="40"/>
        <v>#REF!</v>
      </c>
      <c r="AD52" s="1126" t="e">
        <f t="shared" si="51"/>
        <v>#REF!</v>
      </c>
      <c r="AE52" s="1217" t="e">
        <f t="shared" si="41"/>
        <v>#REF!</v>
      </c>
      <c r="AF52" s="1220" t="e">
        <f t="shared" si="42"/>
        <v>#REF!</v>
      </c>
      <c r="AG52" s="1176" t="e">
        <f t="shared" si="43"/>
        <v>#REF!</v>
      </c>
      <c r="AH52" s="1221" t="e">
        <f t="shared" si="52"/>
        <v>#REF!</v>
      </c>
    </row>
    <row r="53" spans="1:34" ht="15.5">
      <c r="A53" s="1216" t="b">
        <f t="shared" si="31"/>
        <v>1</v>
      </c>
      <c r="B53" s="1217" t="b">
        <f t="shared" si="44"/>
        <v>1</v>
      </c>
      <c r="C53" s="1218" t="str">
        <f t="shared" si="45"/>
        <v>Dólares</v>
      </c>
      <c r="D53" s="44"/>
      <c r="E53" s="836"/>
      <c r="F53" s="50"/>
      <c r="G53" s="50" t="str">
        <f t="shared" si="32"/>
        <v xml:space="preserve"> </v>
      </c>
      <c r="H53" s="45">
        <v>0</v>
      </c>
      <c r="I53" s="49" t="str">
        <f>IFERROR(VLOOKUP(G53,Proveedores!B:C,2,0)," ")</f>
        <v xml:space="preserve"> </v>
      </c>
      <c r="J53" s="838">
        <v>0</v>
      </c>
      <c r="K53" s="1124" t="e">
        <f>#REF!</f>
        <v>#REF!</v>
      </c>
      <c r="L53" s="1266" t="e">
        <f t="shared" si="33"/>
        <v>#REF!</v>
      </c>
      <c r="M53" s="1267">
        <f t="shared" si="34"/>
        <v>0</v>
      </c>
      <c r="N53" s="1268">
        <f t="shared" si="53"/>
        <v>0</v>
      </c>
      <c r="O53" s="836" t="str">
        <f>IFERROR(VLOOKUP(G53,Proveedores!B:D,3,0)," ")</f>
        <v xml:space="preserve"> </v>
      </c>
      <c r="P53" s="836"/>
      <c r="Q53" s="1127" t="e">
        <f t="shared" si="35"/>
        <v>#N/A</v>
      </c>
      <c r="R53" s="1127" t="b">
        <f t="shared" si="46"/>
        <v>0</v>
      </c>
      <c r="S53" s="1127" t="e">
        <f t="shared" si="36"/>
        <v>#N/A</v>
      </c>
      <c r="T53" s="1127" t="b">
        <f t="shared" si="47"/>
        <v>0</v>
      </c>
      <c r="U53" s="1127" t="e">
        <f t="shared" si="37"/>
        <v>#N/A</v>
      </c>
      <c r="V53" s="1127" t="e">
        <f t="shared" si="48"/>
        <v>#REF!</v>
      </c>
      <c r="W53" s="1127" t="e">
        <f>IF(F53="Offiho",J53,IF(_xlfn.XLOOKUP(F53,Proveedores!A$2:A$50,Proveedores!E$2:E$50,"")="Nacional",(J53/0.5)+(V53*H53),((J53/0.3/0.5)+(V53*H53))))</f>
        <v>#REF!</v>
      </c>
      <c r="X53" s="1127" t="e">
        <f t="shared" si="38"/>
        <v>#REF!</v>
      </c>
      <c r="Y53" s="1126" t="b">
        <f t="shared" si="39"/>
        <v>0</v>
      </c>
      <c r="Z53" s="43">
        <v>0</v>
      </c>
      <c r="AA53" s="1219" t="e">
        <f t="shared" si="49"/>
        <v>#REF!</v>
      </c>
      <c r="AB53" s="1219" t="e">
        <f t="shared" si="50"/>
        <v>#REF!</v>
      </c>
      <c r="AC53" s="1219" t="e">
        <f t="shared" si="40"/>
        <v>#REF!</v>
      </c>
      <c r="AD53" s="1126" t="e">
        <f t="shared" si="51"/>
        <v>#REF!</v>
      </c>
      <c r="AE53" s="1217" t="e">
        <f t="shared" si="41"/>
        <v>#REF!</v>
      </c>
      <c r="AF53" s="1220" t="e">
        <f t="shared" si="42"/>
        <v>#REF!</v>
      </c>
      <c r="AG53" s="1176" t="e">
        <f t="shared" si="43"/>
        <v>#REF!</v>
      </c>
      <c r="AH53" s="1221" t="e">
        <f t="shared" si="52"/>
        <v>#REF!</v>
      </c>
    </row>
    <row r="54" spans="1:34" ht="15.5">
      <c r="A54" s="1216" t="b">
        <f t="shared" si="31"/>
        <v>1</v>
      </c>
      <c r="B54" s="1217" t="b">
        <f t="shared" si="44"/>
        <v>1</v>
      </c>
      <c r="C54" s="1218" t="str">
        <f t="shared" si="45"/>
        <v>Dólares</v>
      </c>
      <c r="D54" s="44"/>
      <c r="E54" s="836"/>
      <c r="F54" s="50"/>
      <c r="G54" s="50" t="str">
        <f t="shared" si="32"/>
        <v xml:space="preserve"> </v>
      </c>
      <c r="H54" s="45">
        <v>0</v>
      </c>
      <c r="I54" s="49" t="str">
        <f>IFERROR(VLOOKUP(G54,Proveedores!B:C,2,0)," ")</f>
        <v xml:space="preserve"> </v>
      </c>
      <c r="J54" s="838">
        <v>0</v>
      </c>
      <c r="K54" s="1124" t="e">
        <f>#REF!</f>
        <v>#REF!</v>
      </c>
      <c r="L54" s="1266" t="e">
        <f t="shared" si="33"/>
        <v>#REF!</v>
      </c>
      <c r="M54" s="1267">
        <f t="shared" si="34"/>
        <v>0</v>
      </c>
      <c r="N54" s="1268">
        <f t="shared" si="53"/>
        <v>0</v>
      </c>
      <c r="O54" s="836" t="str">
        <f>IFERROR(VLOOKUP(G54,Proveedores!B:D,3,0)," ")</f>
        <v xml:space="preserve"> </v>
      </c>
      <c r="P54" s="836"/>
      <c r="Q54" s="1127" t="e">
        <f t="shared" si="35"/>
        <v>#N/A</v>
      </c>
      <c r="R54" s="1127" t="b">
        <f t="shared" si="46"/>
        <v>0</v>
      </c>
      <c r="S54" s="1127" t="e">
        <f t="shared" si="36"/>
        <v>#N/A</v>
      </c>
      <c r="T54" s="1127" t="b">
        <f t="shared" si="47"/>
        <v>0</v>
      </c>
      <c r="U54" s="1127" t="e">
        <f t="shared" si="37"/>
        <v>#N/A</v>
      </c>
      <c r="V54" s="1127" t="e">
        <f t="shared" si="48"/>
        <v>#REF!</v>
      </c>
      <c r="W54" s="1127" t="e">
        <f>IF(F54="Offiho",J54,IF(_xlfn.XLOOKUP(F54,Proveedores!A$2:A$50,Proveedores!E$2:E$50,"")="Nacional",(J54/0.5)+(V54*H54),((J54/0.3/0.5)+(V54*H54))))</f>
        <v>#REF!</v>
      </c>
      <c r="X54" s="1127" t="e">
        <f t="shared" si="38"/>
        <v>#REF!</v>
      </c>
      <c r="Y54" s="1126" t="b">
        <f t="shared" si="39"/>
        <v>0</v>
      </c>
      <c r="Z54" s="43">
        <v>0</v>
      </c>
      <c r="AA54" s="1219" t="e">
        <f t="shared" si="49"/>
        <v>#REF!</v>
      </c>
      <c r="AB54" s="1219" t="e">
        <f t="shared" si="50"/>
        <v>#REF!</v>
      </c>
      <c r="AC54" s="1219" t="e">
        <f t="shared" si="40"/>
        <v>#REF!</v>
      </c>
      <c r="AD54" s="1126" t="e">
        <f t="shared" si="51"/>
        <v>#REF!</v>
      </c>
      <c r="AE54" s="1217" t="e">
        <f t="shared" si="41"/>
        <v>#REF!</v>
      </c>
      <c r="AF54" s="1220" t="e">
        <f t="shared" si="42"/>
        <v>#REF!</v>
      </c>
      <c r="AG54" s="1176" t="e">
        <f t="shared" si="43"/>
        <v>#REF!</v>
      </c>
      <c r="AH54" s="1221" t="e">
        <f t="shared" si="52"/>
        <v>#REF!</v>
      </c>
    </row>
    <row r="55" spans="1:34" ht="15.5">
      <c r="A55" s="1216" t="b">
        <f t="shared" si="31"/>
        <v>1</v>
      </c>
      <c r="B55" s="1217" t="b">
        <f t="shared" si="44"/>
        <v>1</v>
      </c>
      <c r="C55" s="1218" t="str">
        <f t="shared" si="45"/>
        <v>Dólares</v>
      </c>
      <c r="D55" s="44"/>
      <c r="E55" s="836"/>
      <c r="F55" s="50"/>
      <c r="G55" s="50" t="str">
        <f t="shared" si="32"/>
        <v xml:space="preserve"> </v>
      </c>
      <c r="H55" s="45">
        <v>0</v>
      </c>
      <c r="I55" s="49" t="str">
        <f>IFERROR(VLOOKUP(G55,Proveedores!B:C,2,0)," ")</f>
        <v xml:space="preserve"> </v>
      </c>
      <c r="J55" s="838">
        <v>0</v>
      </c>
      <c r="K55" s="1124" t="e">
        <f>#REF!</f>
        <v>#REF!</v>
      </c>
      <c r="L55" s="1266" t="e">
        <f t="shared" si="33"/>
        <v>#REF!</v>
      </c>
      <c r="M55" s="1267">
        <f t="shared" si="34"/>
        <v>0</v>
      </c>
      <c r="N55" s="1268">
        <f t="shared" si="53"/>
        <v>0</v>
      </c>
      <c r="O55" s="836" t="str">
        <f>IFERROR(VLOOKUP(G55,Proveedores!B:D,3,0)," ")</f>
        <v xml:space="preserve"> </v>
      </c>
      <c r="P55" s="836"/>
      <c r="Q55" s="1127" t="e">
        <f t="shared" si="35"/>
        <v>#N/A</v>
      </c>
      <c r="R55" s="1127" t="b">
        <f t="shared" si="46"/>
        <v>0</v>
      </c>
      <c r="S55" s="1127" t="e">
        <f t="shared" si="36"/>
        <v>#N/A</v>
      </c>
      <c r="T55" s="1127" t="b">
        <f t="shared" si="47"/>
        <v>0</v>
      </c>
      <c r="U55" s="1127" t="e">
        <f t="shared" si="37"/>
        <v>#N/A</v>
      </c>
      <c r="V55" s="1127" t="e">
        <f t="shared" si="48"/>
        <v>#REF!</v>
      </c>
      <c r="W55" s="1127" t="e">
        <f>IF(F55="Offiho",J55,IF(_xlfn.XLOOKUP(F55,Proveedores!A$2:A$50,Proveedores!E$2:E$50,"")="Nacional",(J55/0.5)+(V55*H55),((J55/0.3/0.5)+(V55*H55))))</f>
        <v>#REF!</v>
      </c>
      <c r="X55" s="1127" t="e">
        <f t="shared" si="38"/>
        <v>#REF!</v>
      </c>
      <c r="Y55" s="1126" t="b">
        <f t="shared" si="39"/>
        <v>0</v>
      </c>
      <c r="Z55" s="43">
        <v>0</v>
      </c>
      <c r="AA55" s="1219" t="e">
        <f t="shared" si="49"/>
        <v>#REF!</v>
      </c>
      <c r="AB55" s="1219" t="e">
        <f t="shared" si="50"/>
        <v>#REF!</v>
      </c>
      <c r="AC55" s="1219" t="e">
        <f t="shared" si="40"/>
        <v>#REF!</v>
      </c>
      <c r="AD55" s="1126" t="e">
        <f t="shared" si="51"/>
        <v>#REF!</v>
      </c>
      <c r="AE55" s="1217" t="e">
        <f t="shared" si="41"/>
        <v>#REF!</v>
      </c>
      <c r="AF55" s="1220" t="e">
        <f t="shared" si="42"/>
        <v>#REF!</v>
      </c>
      <c r="AG55" s="1176" t="e">
        <f t="shared" si="43"/>
        <v>#REF!</v>
      </c>
      <c r="AH55" s="1221" t="e">
        <f t="shared" si="52"/>
        <v>#REF!</v>
      </c>
    </row>
    <row r="56" spans="1:34" ht="15.5">
      <c r="A56" s="1216" t="b">
        <f t="shared" si="31"/>
        <v>1</v>
      </c>
      <c r="B56" s="1217" t="b">
        <f t="shared" si="44"/>
        <v>1</v>
      </c>
      <c r="C56" s="1218" t="str">
        <f t="shared" si="45"/>
        <v>Dólares</v>
      </c>
      <c r="D56" s="44"/>
      <c r="E56" s="836"/>
      <c r="F56" s="50"/>
      <c r="G56" s="50" t="str">
        <f t="shared" si="32"/>
        <v xml:space="preserve"> </v>
      </c>
      <c r="H56" s="45">
        <v>0</v>
      </c>
      <c r="I56" s="49" t="str">
        <f>IFERROR(VLOOKUP(G56,Proveedores!B:C,2,0)," ")</f>
        <v xml:space="preserve"> </v>
      </c>
      <c r="J56" s="838">
        <v>0</v>
      </c>
      <c r="K56" s="1124" t="e">
        <f>#REF!</f>
        <v>#REF!</v>
      </c>
      <c r="L56" s="1266" t="e">
        <f t="shared" si="33"/>
        <v>#REF!</v>
      </c>
      <c r="M56" s="1267">
        <f t="shared" si="34"/>
        <v>0</v>
      </c>
      <c r="N56" s="1268">
        <f t="shared" si="53"/>
        <v>0</v>
      </c>
      <c r="O56" s="836" t="str">
        <f>IFERROR(VLOOKUP(G56,Proveedores!B:D,3,0)," ")</f>
        <v xml:space="preserve"> </v>
      </c>
      <c r="P56" s="836"/>
      <c r="Q56" s="1127" t="e">
        <f t="shared" si="35"/>
        <v>#N/A</v>
      </c>
      <c r="R56" s="1127" t="b">
        <f t="shared" si="46"/>
        <v>0</v>
      </c>
      <c r="S56" s="1127" t="e">
        <f t="shared" si="36"/>
        <v>#N/A</v>
      </c>
      <c r="T56" s="1127" t="b">
        <f t="shared" si="47"/>
        <v>0</v>
      </c>
      <c r="U56" s="1127" t="e">
        <f t="shared" si="37"/>
        <v>#N/A</v>
      </c>
      <c r="V56" s="1127" t="e">
        <f t="shared" si="48"/>
        <v>#REF!</v>
      </c>
      <c r="W56" s="1127" t="e">
        <f>IF(F56="Offiho",J56,IF(_xlfn.XLOOKUP(F56,Proveedores!A$2:A$50,Proveedores!E$2:E$50,"")="Nacional",(J56/0.5)+(V56*H56),((J56/0.3/0.5)+(V56*H56))))</f>
        <v>#REF!</v>
      </c>
      <c r="X56" s="1127" t="e">
        <f t="shared" si="38"/>
        <v>#REF!</v>
      </c>
      <c r="Y56" s="1126" t="b">
        <f t="shared" si="39"/>
        <v>0</v>
      </c>
      <c r="Z56" s="43">
        <v>0</v>
      </c>
      <c r="AA56" s="1219" t="e">
        <f t="shared" si="49"/>
        <v>#REF!</v>
      </c>
      <c r="AB56" s="1219" t="e">
        <f t="shared" si="50"/>
        <v>#REF!</v>
      </c>
      <c r="AC56" s="1219" t="e">
        <f t="shared" si="40"/>
        <v>#REF!</v>
      </c>
      <c r="AD56" s="1126" t="e">
        <f t="shared" si="51"/>
        <v>#REF!</v>
      </c>
      <c r="AE56" s="1217" t="e">
        <f t="shared" si="41"/>
        <v>#REF!</v>
      </c>
      <c r="AF56" s="1220" t="e">
        <f t="shared" si="42"/>
        <v>#REF!</v>
      </c>
      <c r="AG56" s="1176" t="e">
        <f t="shared" si="43"/>
        <v>#REF!</v>
      </c>
      <c r="AH56" s="1221" t="e">
        <f t="shared" si="52"/>
        <v>#REF!</v>
      </c>
    </row>
    <row r="57" spans="1:34" ht="15.5">
      <c r="A57" s="1216" t="b">
        <f t="shared" si="31"/>
        <v>1</v>
      </c>
      <c r="B57" s="1217" t="b">
        <f t="shared" si="44"/>
        <v>1</v>
      </c>
      <c r="C57" s="1218" t="str">
        <f t="shared" si="45"/>
        <v>Dólares</v>
      </c>
      <c r="D57" s="44"/>
      <c r="E57" s="836"/>
      <c r="F57" s="50"/>
      <c r="G57" s="50" t="str">
        <f t="shared" si="32"/>
        <v xml:space="preserve"> </v>
      </c>
      <c r="H57" s="45">
        <v>0</v>
      </c>
      <c r="I57" s="49" t="str">
        <f>IFERROR(VLOOKUP(G57,Proveedores!B:C,2,0)," ")</f>
        <v xml:space="preserve"> </v>
      </c>
      <c r="J57" s="838">
        <v>0</v>
      </c>
      <c r="K57" s="1124" t="e">
        <f>#REF!</f>
        <v>#REF!</v>
      </c>
      <c r="L57" s="1266" t="e">
        <f t="shared" si="33"/>
        <v>#REF!</v>
      </c>
      <c r="M57" s="1267">
        <f t="shared" si="34"/>
        <v>0</v>
      </c>
      <c r="N57" s="1268">
        <f t="shared" si="53"/>
        <v>0</v>
      </c>
      <c r="O57" s="836" t="str">
        <f>IFERROR(VLOOKUP(G57,Proveedores!B:D,3,0)," ")</f>
        <v xml:space="preserve"> </v>
      </c>
      <c r="P57" s="836"/>
      <c r="Q57" s="1127" t="e">
        <f t="shared" si="35"/>
        <v>#N/A</v>
      </c>
      <c r="R57" s="1127" t="b">
        <f t="shared" si="46"/>
        <v>0</v>
      </c>
      <c r="S57" s="1127" t="e">
        <f t="shared" si="36"/>
        <v>#N/A</v>
      </c>
      <c r="T57" s="1127" t="b">
        <f t="shared" si="47"/>
        <v>0</v>
      </c>
      <c r="U57" s="1127" t="e">
        <f t="shared" si="37"/>
        <v>#N/A</v>
      </c>
      <c r="V57" s="1127" t="e">
        <f t="shared" si="48"/>
        <v>#REF!</v>
      </c>
      <c r="W57" s="1127" t="e">
        <f>IF(F57="Offiho",J57,IF(_xlfn.XLOOKUP(F57,Proveedores!A$2:A$50,Proveedores!E$2:E$50,"")="Nacional",(J57/0.5)+(V57*H57),((J57/0.3/0.5)+(V57*H57))))</f>
        <v>#REF!</v>
      </c>
      <c r="X57" s="1127" t="e">
        <f t="shared" si="38"/>
        <v>#REF!</v>
      </c>
      <c r="Y57" s="1126" t="b">
        <f t="shared" si="39"/>
        <v>0</v>
      </c>
      <c r="Z57" s="43">
        <v>0</v>
      </c>
      <c r="AA57" s="1219" t="e">
        <f t="shared" si="49"/>
        <v>#REF!</v>
      </c>
      <c r="AB57" s="1219" t="e">
        <f t="shared" si="50"/>
        <v>#REF!</v>
      </c>
      <c r="AC57" s="1219" t="e">
        <f t="shared" si="40"/>
        <v>#REF!</v>
      </c>
      <c r="AD57" s="1126" t="e">
        <f t="shared" si="51"/>
        <v>#REF!</v>
      </c>
      <c r="AE57" s="1217" t="e">
        <f t="shared" si="41"/>
        <v>#REF!</v>
      </c>
      <c r="AF57" s="1220" t="e">
        <f t="shared" si="42"/>
        <v>#REF!</v>
      </c>
      <c r="AG57" s="1176" t="e">
        <f t="shared" si="43"/>
        <v>#REF!</v>
      </c>
      <c r="AH57" s="1221" t="e">
        <f t="shared" si="52"/>
        <v>#REF!</v>
      </c>
    </row>
    <row r="58" spans="1:34" ht="15.5">
      <c r="A58" s="1216" t="b">
        <f t="shared" si="31"/>
        <v>1</v>
      </c>
      <c r="B58" s="1217" t="b">
        <f t="shared" si="44"/>
        <v>1</v>
      </c>
      <c r="C58" s="1218" t="str">
        <f t="shared" si="45"/>
        <v>Dólares</v>
      </c>
      <c r="D58" s="44"/>
      <c r="E58" s="836"/>
      <c r="F58" s="50"/>
      <c r="G58" s="50" t="str">
        <f t="shared" si="32"/>
        <v xml:space="preserve"> </v>
      </c>
      <c r="H58" s="45">
        <v>0</v>
      </c>
      <c r="I58" s="49" t="str">
        <f>IFERROR(VLOOKUP(G58,Proveedores!B:C,2,0)," ")</f>
        <v xml:space="preserve"> </v>
      </c>
      <c r="J58" s="838">
        <v>0</v>
      </c>
      <c r="K58" s="1124" t="e">
        <f>#REF!</f>
        <v>#REF!</v>
      </c>
      <c r="L58" s="1266" t="e">
        <f t="shared" si="33"/>
        <v>#REF!</v>
      </c>
      <c r="M58" s="1267">
        <f t="shared" si="34"/>
        <v>0</v>
      </c>
      <c r="N58" s="1268">
        <f t="shared" si="53"/>
        <v>0</v>
      </c>
      <c r="O58" s="836" t="str">
        <f>IFERROR(VLOOKUP(G58,Proveedores!B:D,3,0)," ")</f>
        <v xml:space="preserve"> </v>
      </c>
      <c r="P58" s="836"/>
      <c r="Q58" s="1127" t="e">
        <f t="shared" si="35"/>
        <v>#N/A</v>
      </c>
      <c r="R58" s="1127" t="b">
        <f t="shared" si="46"/>
        <v>0</v>
      </c>
      <c r="S58" s="1127" t="e">
        <f t="shared" si="36"/>
        <v>#N/A</v>
      </c>
      <c r="T58" s="1127" t="b">
        <f t="shared" si="47"/>
        <v>0</v>
      </c>
      <c r="U58" s="1127" t="e">
        <f t="shared" si="37"/>
        <v>#N/A</v>
      </c>
      <c r="V58" s="1127" t="e">
        <f t="shared" si="48"/>
        <v>#REF!</v>
      </c>
      <c r="W58" s="1127" t="e">
        <f>IF(F58="Offiho",J58,IF(_xlfn.XLOOKUP(F58,Proveedores!A$2:A$50,Proveedores!E$2:E$50,"")="Nacional",(J58/0.5)+(V58*H58),((J58/0.3/0.5)+(V58*H58))))</f>
        <v>#REF!</v>
      </c>
      <c r="X58" s="1127" t="e">
        <f t="shared" si="38"/>
        <v>#REF!</v>
      </c>
      <c r="Y58" s="1126" t="b">
        <f t="shared" si="39"/>
        <v>0</v>
      </c>
      <c r="Z58" s="43">
        <v>0</v>
      </c>
      <c r="AA58" s="1219" t="e">
        <f t="shared" si="49"/>
        <v>#REF!</v>
      </c>
      <c r="AB58" s="1219" t="e">
        <f t="shared" si="50"/>
        <v>#REF!</v>
      </c>
      <c r="AC58" s="1219" t="e">
        <f t="shared" si="40"/>
        <v>#REF!</v>
      </c>
      <c r="AD58" s="1126" t="e">
        <f t="shared" si="51"/>
        <v>#REF!</v>
      </c>
      <c r="AE58" s="1217" t="e">
        <f t="shared" si="41"/>
        <v>#REF!</v>
      </c>
      <c r="AF58" s="1220" t="e">
        <f t="shared" si="42"/>
        <v>#REF!</v>
      </c>
      <c r="AG58" s="1176" t="e">
        <f t="shared" si="43"/>
        <v>#REF!</v>
      </c>
      <c r="AH58" s="1221" t="e">
        <f t="shared" si="52"/>
        <v>#REF!</v>
      </c>
    </row>
    <row r="59" spans="1:34" ht="15.5">
      <c r="A59" s="1216" t="b">
        <f t="shared" si="31"/>
        <v>1</v>
      </c>
      <c r="B59" s="1217" t="b">
        <f t="shared" si="44"/>
        <v>1</v>
      </c>
      <c r="C59" s="1218" t="str">
        <f t="shared" si="45"/>
        <v>Dólares</v>
      </c>
      <c r="D59" s="44"/>
      <c r="E59" s="836"/>
      <c r="F59" s="50"/>
      <c r="G59" s="50" t="str">
        <f t="shared" si="32"/>
        <v xml:space="preserve"> </v>
      </c>
      <c r="H59" s="45">
        <v>0</v>
      </c>
      <c r="I59" s="49" t="str">
        <f>IFERROR(VLOOKUP(G59,Proveedores!B:C,2,0)," ")</f>
        <v xml:space="preserve"> </v>
      </c>
      <c r="J59" s="838">
        <v>0</v>
      </c>
      <c r="K59" s="1124" t="e">
        <f>#REF!</f>
        <v>#REF!</v>
      </c>
      <c r="L59" s="1266" t="e">
        <f t="shared" si="33"/>
        <v>#REF!</v>
      </c>
      <c r="M59" s="1267">
        <f t="shared" si="34"/>
        <v>0</v>
      </c>
      <c r="N59" s="1268">
        <f t="shared" si="53"/>
        <v>0</v>
      </c>
      <c r="O59" s="836" t="str">
        <f>IFERROR(VLOOKUP(G59,Proveedores!B:D,3,0)," ")</f>
        <v xml:space="preserve"> </v>
      </c>
      <c r="P59" s="836"/>
      <c r="Q59" s="1127" t="e">
        <f t="shared" si="35"/>
        <v>#N/A</v>
      </c>
      <c r="R59" s="1127" t="b">
        <f t="shared" si="46"/>
        <v>0</v>
      </c>
      <c r="S59" s="1127" t="e">
        <f t="shared" si="36"/>
        <v>#N/A</v>
      </c>
      <c r="T59" s="1127" t="b">
        <f t="shared" si="47"/>
        <v>0</v>
      </c>
      <c r="U59" s="1127" t="e">
        <f t="shared" si="37"/>
        <v>#N/A</v>
      </c>
      <c r="V59" s="1127" t="e">
        <f t="shared" si="48"/>
        <v>#REF!</v>
      </c>
      <c r="W59" s="1127" t="e">
        <f>IF(F59="Offiho",J59,IF(_xlfn.XLOOKUP(F59,Proveedores!A$2:A$50,Proveedores!E$2:E$50,"")="Nacional",(J59/0.5)+(V59*H59),((J59/0.3/0.5)+(V59*H59))))</f>
        <v>#REF!</v>
      </c>
      <c r="X59" s="1127" t="e">
        <f t="shared" si="38"/>
        <v>#REF!</v>
      </c>
      <c r="Y59" s="1126" t="b">
        <f t="shared" si="39"/>
        <v>0</v>
      </c>
      <c r="Z59" s="43">
        <v>0</v>
      </c>
      <c r="AA59" s="1219" t="e">
        <f t="shared" si="49"/>
        <v>#REF!</v>
      </c>
      <c r="AB59" s="1219" t="e">
        <f t="shared" si="50"/>
        <v>#REF!</v>
      </c>
      <c r="AC59" s="1219" t="e">
        <f t="shared" si="40"/>
        <v>#REF!</v>
      </c>
      <c r="AD59" s="1126" t="e">
        <f t="shared" si="51"/>
        <v>#REF!</v>
      </c>
      <c r="AE59" s="1217" t="e">
        <f t="shared" si="41"/>
        <v>#REF!</v>
      </c>
      <c r="AF59" s="1220" t="e">
        <f t="shared" si="42"/>
        <v>#REF!</v>
      </c>
      <c r="AG59" s="1176" t="e">
        <f t="shared" si="43"/>
        <v>#REF!</v>
      </c>
      <c r="AH59" s="1221" t="e">
        <f t="shared" si="52"/>
        <v>#REF!</v>
      </c>
    </row>
    <row r="60" spans="1:34" ht="15.5">
      <c r="A60" s="1216" t="b">
        <f t="shared" si="31"/>
        <v>1</v>
      </c>
      <c r="B60" s="1217" t="b">
        <f t="shared" si="44"/>
        <v>1</v>
      </c>
      <c r="C60" s="1218" t="str">
        <f t="shared" si="45"/>
        <v>Dólares</v>
      </c>
      <c r="D60" s="44"/>
      <c r="E60" s="836"/>
      <c r="F60" s="50"/>
      <c r="G60" s="50" t="str">
        <f t="shared" si="32"/>
        <v xml:space="preserve"> </v>
      </c>
      <c r="H60" s="45">
        <v>0</v>
      </c>
      <c r="I60" s="49" t="str">
        <f>IFERROR(VLOOKUP(G60,Proveedores!B:C,2,0)," ")</f>
        <v xml:space="preserve"> </v>
      </c>
      <c r="J60" s="838">
        <v>0</v>
      </c>
      <c r="K60" s="1124" t="e">
        <f>#REF!</f>
        <v>#REF!</v>
      </c>
      <c r="L60" s="1266" t="e">
        <f t="shared" si="33"/>
        <v>#REF!</v>
      </c>
      <c r="M60" s="1267">
        <f t="shared" si="34"/>
        <v>0</v>
      </c>
      <c r="N60" s="1268">
        <f t="shared" si="53"/>
        <v>0</v>
      </c>
      <c r="O60" s="836" t="str">
        <f>IFERROR(VLOOKUP(G60,Proveedores!B:D,3,0)," ")</f>
        <v xml:space="preserve"> </v>
      </c>
      <c r="P60" s="836"/>
      <c r="Q60" s="1127" t="e">
        <f t="shared" si="35"/>
        <v>#N/A</v>
      </c>
      <c r="R60" s="1127" t="b">
        <f t="shared" si="46"/>
        <v>0</v>
      </c>
      <c r="S60" s="1127" t="e">
        <f t="shared" si="36"/>
        <v>#N/A</v>
      </c>
      <c r="T60" s="1127" t="b">
        <f t="shared" si="47"/>
        <v>0</v>
      </c>
      <c r="U60" s="1127" t="e">
        <f t="shared" si="37"/>
        <v>#N/A</v>
      </c>
      <c r="V60" s="1127" t="e">
        <f t="shared" si="48"/>
        <v>#REF!</v>
      </c>
      <c r="W60" s="1127" t="e">
        <f>IF(F60="Offiho",J60,IF(_xlfn.XLOOKUP(F60,Proveedores!A$2:A$50,Proveedores!E$2:E$50,"")="Nacional",(J60/0.5)+(V60*H60),((J60/0.3/0.5)+(V60*H60))))</f>
        <v>#REF!</v>
      </c>
      <c r="X60" s="1127" t="e">
        <f t="shared" si="38"/>
        <v>#REF!</v>
      </c>
      <c r="Y60" s="1126" t="b">
        <f t="shared" si="39"/>
        <v>0</v>
      </c>
      <c r="Z60" s="43">
        <v>0</v>
      </c>
      <c r="AA60" s="1219" t="e">
        <f t="shared" si="49"/>
        <v>#REF!</v>
      </c>
      <c r="AB60" s="1219" t="e">
        <f t="shared" si="50"/>
        <v>#REF!</v>
      </c>
      <c r="AC60" s="1219" t="e">
        <f t="shared" si="40"/>
        <v>#REF!</v>
      </c>
      <c r="AD60" s="1126" t="e">
        <f t="shared" si="51"/>
        <v>#REF!</v>
      </c>
      <c r="AE60" s="1217" t="e">
        <f t="shared" si="41"/>
        <v>#REF!</v>
      </c>
      <c r="AF60" s="1220" t="e">
        <f t="shared" si="42"/>
        <v>#REF!</v>
      </c>
      <c r="AG60" s="1176" t="e">
        <f t="shared" si="43"/>
        <v>#REF!</v>
      </c>
      <c r="AH60" s="1221" t="e">
        <f t="shared" si="52"/>
        <v>#REF!</v>
      </c>
    </row>
    <row r="61" spans="1:34" ht="15.5">
      <c r="A61" s="1216" t="b">
        <f t="shared" si="31"/>
        <v>1</v>
      </c>
      <c r="B61" s="1217" t="b">
        <f t="shared" si="44"/>
        <v>1</v>
      </c>
      <c r="C61" s="1218" t="str">
        <f t="shared" si="45"/>
        <v>Dólares</v>
      </c>
      <c r="D61" s="44"/>
      <c r="E61" s="836"/>
      <c r="F61" s="50"/>
      <c r="G61" s="50" t="str">
        <f t="shared" si="32"/>
        <v xml:space="preserve"> </v>
      </c>
      <c r="H61" s="45">
        <v>0</v>
      </c>
      <c r="I61" s="49" t="str">
        <f>IFERROR(VLOOKUP(G61,Proveedores!B:C,2,0)," ")</f>
        <v xml:space="preserve"> </v>
      </c>
      <c r="J61" s="838">
        <v>0</v>
      </c>
      <c r="K61" s="1124" t="e">
        <f>#REF!</f>
        <v>#REF!</v>
      </c>
      <c r="L61" s="1266" t="e">
        <f t="shared" si="33"/>
        <v>#REF!</v>
      </c>
      <c r="M61" s="1267">
        <f t="shared" si="34"/>
        <v>0</v>
      </c>
      <c r="N61" s="1268">
        <f t="shared" si="53"/>
        <v>0</v>
      </c>
      <c r="O61" s="836" t="str">
        <f>IFERROR(VLOOKUP(G61,Proveedores!B:D,3,0)," ")</f>
        <v xml:space="preserve"> </v>
      </c>
      <c r="P61" s="836"/>
      <c r="Q61" s="1127" t="e">
        <f t="shared" si="35"/>
        <v>#N/A</v>
      </c>
      <c r="R61" s="1127" t="b">
        <f t="shared" si="46"/>
        <v>0</v>
      </c>
      <c r="S61" s="1127" t="e">
        <f t="shared" si="36"/>
        <v>#N/A</v>
      </c>
      <c r="T61" s="1127" t="b">
        <f t="shared" si="47"/>
        <v>0</v>
      </c>
      <c r="U61" s="1127" t="e">
        <f t="shared" si="37"/>
        <v>#N/A</v>
      </c>
      <c r="V61" s="1127" t="e">
        <f t="shared" si="48"/>
        <v>#REF!</v>
      </c>
      <c r="W61" s="1127" t="e">
        <f>IF(F61="Offiho",J61,IF(_xlfn.XLOOKUP(F61,Proveedores!A$2:A$50,Proveedores!E$2:E$50,"")="Nacional",(J61/0.5)+(V61*H61),((J61/0.3/0.5)+(V61*H61))))</f>
        <v>#REF!</v>
      </c>
      <c r="X61" s="1127" t="e">
        <f t="shared" si="38"/>
        <v>#REF!</v>
      </c>
      <c r="Y61" s="1126" t="b">
        <f t="shared" si="39"/>
        <v>0</v>
      </c>
      <c r="Z61" s="43">
        <v>0</v>
      </c>
      <c r="AA61" s="1219" t="e">
        <f t="shared" si="49"/>
        <v>#REF!</v>
      </c>
      <c r="AB61" s="1219" t="e">
        <f t="shared" si="50"/>
        <v>#REF!</v>
      </c>
      <c r="AC61" s="1219" t="e">
        <f t="shared" si="40"/>
        <v>#REF!</v>
      </c>
      <c r="AD61" s="1126" t="e">
        <f t="shared" si="51"/>
        <v>#REF!</v>
      </c>
      <c r="AE61" s="1217" t="e">
        <f t="shared" si="41"/>
        <v>#REF!</v>
      </c>
      <c r="AF61" s="1220" t="e">
        <f t="shared" si="42"/>
        <v>#REF!</v>
      </c>
      <c r="AG61" s="1176" t="e">
        <f t="shared" si="43"/>
        <v>#REF!</v>
      </c>
      <c r="AH61" s="1221" t="e">
        <f t="shared" si="52"/>
        <v>#REF!</v>
      </c>
    </row>
    <row r="62" spans="1:34" ht="15.5">
      <c r="A62" s="1216" t="b">
        <f t="shared" si="31"/>
        <v>1</v>
      </c>
      <c r="B62" s="1217" t="b">
        <f t="shared" si="44"/>
        <v>1</v>
      </c>
      <c r="C62" s="1218" t="str">
        <f t="shared" si="45"/>
        <v>Dólares</v>
      </c>
      <c r="D62" s="44"/>
      <c r="E62" s="836"/>
      <c r="F62" s="50"/>
      <c r="G62" s="50" t="str">
        <f t="shared" si="32"/>
        <v xml:space="preserve"> </v>
      </c>
      <c r="H62" s="45">
        <v>0</v>
      </c>
      <c r="I62" s="49" t="str">
        <f>IFERROR(VLOOKUP(G62,Proveedores!B:C,2,0)," ")</f>
        <v xml:space="preserve"> </v>
      </c>
      <c r="J62" s="838">
        <v>0</v>
      </c>
      <c r="K62" s="1124" t="e">
        <f>#REF!</f>
        <v>#REF!</v>
      </c>
      <c r="L62" s="1266" t="e">
        <f t="shared" si="33"/>
        <v>#REF!</v>
      </c>
      <c r="M62" s="1267">
        <f t="shared" si="34"/>
        <v>0</v>
      </c>
      <c r="N62" s="1268">
        <f t="shared" si="53"/>
        <v>0</v>
      </c>
      <c r="O62" s="836" t="str">
        <f>IFERROR(VLOOKUP(G62,Proveedores!B:D,3,0)," ")</f>
        <v xml:space="preserve"> </v>
      </c>
      <c r="P62" s="836"/>
      <c r="Q62" s="1127" t="e">
        <f t="shared" si="35"/>
        <v>#N/A</v>
      </c>
      <c r="R62" s="1127" t="b">
        <f t="shared" si="46"/>
        <v>0</v>
      </c>
      <c r="S62" s="1127" t="e">
        <f t="shared" si="36"/>
        <v>#N/A</v>
      </c>
      <c r="T62" s="1127" t="b">
        <f t="shared" si="47"/>
        <v>0</v>
      </c>
      <c r="U62" s="1127" t="e">
        <f t="shared" si="37"/>
        <v>#N/A</v>
      </c>
      <c r="V62" s="1127" t="e">
        <f t="shared" si="48"/>
        <v>#REF!</v>
      </c>
      <c r="W62" s="1127" t="e">
        <f>IF(F62="Offiho",J62,IF(_xlfn.XLOOKUP(F62,Proveedores!A$2:A$50,Proveedores!E$2:E$50,"")="Nacional",(J62/0.5)+(V62*H62),((J62/0.3/0.5)+(V62*H62))))</f>
        <v>#REF!</v>
      </c>
      <c r="X62" s="1127" t="e">
        <f t="shared" si="38"/>
        <v>#REF!</v>
      </c>
      <c r="Y62" s="1126" t="b">
        <f t="shared" si="39"/>
        <v>0</v>
      </c>
      <c r="Z62" s="43">
        <v>0</v>
      </c>
      <c r="AA62" s="1219" t="e">
        <f t="shared" si="49"/>
        <v>#REF!</v>
      </c>
      <c r="AB62" s="1219" t="e">
        <f t="shared" si="50"/>
        <v>#REF!</v>
      </c>
      <c r="AC62" s="1219" t="e">
        <f t="shared" si="40"/>
        <v>#REF!</v>
      </c>
      <c r="AD62" s="1126" t="e">
        <f t="shared" si="51"/>
        <v>#REF!</v>
      </c>
      <c r="AE62" s="1217" t="e">
        <f t="shared" si="41"/>
        <v>#REF!</v>
      </c>
      <c r="AF62" s="1220" t="e">
        <f t="shared" si="42"/>
        <v>#REF!</v>
      </c>
      <c r="AG62" s="1176" t="e">
        <f t="shared" si="43"/>
        <v>#REF!</v>
      </c>
      <c r="AH62" s="1221" t="e">
        <f t="shared" si="52"/>
        <v>#REF!</v>
      </c>
    </row>
    <row r="63" spans="1:34" ht="15.5">
      <c r="A63" s="1216" t="b">
        <f t="shared" si="31"/>
        <v>1</v>
      </c>
      <c r="B63" s="1217" t="b">
        <f t="shared" si="44"/>
        <v>1</v>
      </c>
      <c r="C63" s="1218" t="str">
        <f t="shared" si="45"/>
        <v>Dólares</v>
      </c>
      <c r="D63" s="44"/>
      <c r="E63" s="836"/>
      <c r="F63" s="50"/>
      <c r="G63" s="50" t="str">
        <f t="shared" si="32"/>
        <v xml:space="preserve"> </v>
      </c>
      <c r="H63" s="45">
        <v>0</v>
      </c>
      <c r="I63" s="49" t="str">
        <f>IFERROR(VLOOKUP(G63,Proveedores!B:C,2,0)," ")</f>
        <v xml:space="preserve"> </v>
      </c>
      <c r="J63" s="838">
        <v>0</v>
      </c>
      <c r="K63" s="1124" t="e">
        <f>#REF!</f>
        <v>#REF!</v>
      </c>
      <c r="L63" s="1266" t="e">
        <f t="shared" si="33"/>
        <v>#REF!</v>
      </c>
      <c r="M63" s="1267">
        <f t="shared" si="34"/>
        <v>0</v>
      </c>
      <c r="N63" s="1268">
        <f t="shared" si="53"/>
        <v>0</v>
      </c>
      <c r="O63" s="836" t="str">
        <f>IFERROR(VLOOKUP(G63,Proveedores!B:D,3,0)," ")</f>
        <v xml:space="preserve"> </v>
      </c>
      <c r="P63" s="836"/>
      <c r="Q63" s="1127" t="e">
        <f t="shared" si="35"/>
        <v>#N/A</v>
      </c>
      <c r="R63" s="1127" t="b">
        <f t="shared" si="46"/>
        <v>0</v>
      </c>
      <c r="S63" s="1127" t="e">
        <f t="shared" si="36"/>
        <v>#N/A</v>
      </c>
      <c r="T63" s="1127" t="b">
        <f t="shared" si="47"/>
        <v>0</v>
      </c>
      <c r="U63" s="1127" t="e">
        <f t="shared" si="37"/>
        <v>#N/A</v>
      </c>
      <c r="V63" s="1127" t="e">
        <f t="shared" si="48"/>
        <v>#REF!</v>
      </c>
      <c r="W63" s="1127" t="e">
        <f>IF(F63="Offiho",J63,IF(_xlfn.XLOOKUP(F63,Proveedores!A$2:A$50,Proveedores!E$2:E$50,"")="Nacional",(J63/0.5)+(V63*H63),((J63/0.3/0.5)+(V63*H63))))</f>
        <v>#REF!</v>
      </c>
      <c r="X63" s="1127" t="e">
        <f t="shared" si="38"/>
        <v>#REF!</v>
      </c>
      <c r="Y63" s="1126" t="b">
        <f t="shared" si="39"/>
        <v>0</v>
      </c>
      <c r="Z63" s="43">
        <v>0</v>
      </c>
      <c r="AA63" s="1219" t="e">
        <f t="shared" si="49"/>
        <v>#REF!</v>
      </c>
      <c r="AB63" s="1219" t="e">
        <f t="shared" si="50"/>
        <v>#REF!</v>
      </c>
      <c r="AC63" s="1219" t="e">
        <f t="shared" si="40"/>
        <v>#REF!</v>
      </c>
      <c r="AD63" s="1126" t="e">
        <f t="shared" si="51"/>
        <v>#REF!</v>
      </c>
      <c r="AE63" s="1217" t="e">
        <f t="shared" si="41"/>
        <v>#REF!</v>
      </c>
      <c r="AF63" s="1220" t="e">
        <f t="shared" si="42"/>
        <v>#REF!</v>
      </c>
      <c r="AG63" s="1176" t="e">
        <f t="shared" si="43"/>
        <v>#REF!</v>
      </c>
      <c r="AH63" s="1221" t="e">
        <f t="shared" si="52"/>
        <v>#REF!</v>
      </c>
    </row>
    <row r="64" spans="1:34" ht="15.5">
      <c r="A64" s="1216" t="b">
        <f t="shared" si="31"/>
        <v>1</v>
      </c>
      <c r="B64" s="1217" t="b">
        <f t="shared" si="44"/>
        <v>1</v>
      </c>
      <c r="C64" s="1218" t="str">
        <f t="shared" si="45"/>
        <v>Dólares</v>
      </c>
      <c r="D64" s="44"/>
      <c r="E64" s="836"/>
      <c r="F64" s="50"/>
      <c r="G64" s="50" t="str">
        <f t="shared" si="32"/>
        <v xml:space="preserve"> </v>
      </c>
      <c r="H64" s="45">
        <v>0</v>
      </c>
      <c r="I64" s="49" t="str">
        <f>IFERROR(VLOOKUP(G64,Proveedores!B:C,2,0)," ")</f>
        <v xml:space="preserve"> </v>
      </c>
      <c r="J64" s="838">
        <v>0</v>
      </c>
      <c r="K64" s="1124" t="e">
        <f>#REF!</f>
        <v>#REF!</v>
      </c>
      <c r="L64" s="1266" t="e">
        <f t="shared" si="33"/>
        <v>#REF!</v>
      </c>
      <c r="M64" s="1267">
        <f t="shared" si="34"/>
        <v>0</v>
      </c>
      <c r="N64" s="1268">
        <f t="shared" si="53"/>
        <v>0</v>
      </c>
      <c r="O64" s="836" t="str">
        <f>IFERROR(VLOOKUP(G64,Proveedores!B:D,3,0)," ")</f>
        <v xml:space="preserve"> </v>
      </c>
      <c r="P64" s="836"/>
      <c r="Q64" s="1127" t="e">
        <f t="shared" si="35"/>
        <v>#N/A</v>
      </c>
      <c r="R64" s="1127" t="b">
        <f t="shared" si="46"/>
        <v>0</v>
      </c>
      <c r="S64" s="1127" t="e">
        <f t="shared" si="36"/>
        <v>#N/A</v>
      </c>
      <c r="T64" s="1127" t="b">
        <f t="shared" si="47"/>
        <v>0</v>
      </c>
      <c r="U64" s="1127" t="e">
        <f t="shared" si="37"/>
        <v>#N/A</v>
      </c>
      <c r="V64" s="1127" t="e">
        <f t="shared" si="48"/>
        <v>#REF!</v>
      </c>
      <c r="W64" s="1127" t="e">
        <f>IF(F64="Offiho",J64,IF(_xlfn.XLOOKUP(F64,Proveedores!A$2:A$50,Proveedores!E$2:E$50,"")="Nacional",(J64/0.5)+(V64*H64),((J64/0.3/0.5)+(V64*H64))))</f>
        <v>#REF!</v>
      </c>
      <c r="X64" s="1127" t="e">
        <f t="shared" si="38"/>
        <v>#REF!</v>
      </c>
      <c r="Y64" s="1126" t="b">
        <f t="shared" si="39"/>
        <v>0</v>
      </c>
      <c r="Z64" s="43">
        <v>0</v>
      </c>
      <c r="AA64" s="1219" t="e">
        <f t="shared" si="49"/>
        <v>#REF!</v>
      </c>
      <c r="AB64" s="1219" t="e">
        <f t="shared" si="50"/>
        <v>#REF!</v>
      </c>
      <c r="AC64" s="1219" t="e">
        <f t="shared" si="40"/>
        <v>#REF!</v>
      </c>
      <c r="AD64" s="1126" t="e">
        <f t="shared" si="51"/>
        <v>#REF!</v>
      </c>
      <c r="AE64" s="1217" t="e">
        <f t="shared" si="41"/>
        <v>#REF!</v>
      </c>
      <c r="AF64" s="1220" t="e">
        <f t="shared" si="42"/>
        <v>#REF!</v>
      </c>
      <c r="AG64" s="1176" t="e">
        <f t="shared" si="43"/>
        <v>#REF!</v>
      </c>
      <c r="AH64" s="1221" t="e">
        <f t="shared" si="52"/>
        <v>#REF!</v>
      </c>
    </row>
    <row r="65" spans="1:34" ht="15.5">
      <c r="A65" s="1216" t="b">
        <f t="shared" si="31"/>
        <v>1</v>
      </c>
      <c r="B65" s="1217" t="b">
        <f t="shared" si="44"/>
        <v>1</v>
      </c>
      <c r="C65" s="1218" t="str">
        <f t="shared" si="45"/>
        <v>Dólares</v>
      </c>
      <c r="D65" s="44"/>
      <c r="E65" s="836"/>
      <c r="F65" s="50"/>
      <c r="G65" s="50" t="str">
        <f t="shared" si="32"/>
        <v xml:space="preserve"> </v>
      </c>
      <c r="H65" s="45">
        <v>0</v>
      </c>
      <c r="I65" s="49" t="str">
        <f>IFERROR(VLOOKUP(G65,Proveedores!B:C,2,0)," ")</f>
        <v xml:space="preserve"> </v>
      </c>
      <c r="J65" s="838">
        <v>0</v>
      </c>
      <c r="K65" s="1124" t="e">
        <f>#REF!</f>
        <v>#REF!</v>
      </c>
      <c r="L65" s="1266" t="e">
        <f t="shared" si="33"/>
        <v>#REF!</v>
      </c>
      <c r="M65" s="1267">
        <f t="shared" si="34"/>
        <v>0</v>
      </c>
      <c r="N65" s="1268">
        <f t="shared" si="53"/>
        <v>0</v>
      </c>
      <c r="O65" s="836" t="str">
        <f>IFERROR(VLOOKUP(G65,Proveedores!B:D,3,0)," ")</f>
        <v xml:space="preserve"> </v>
      </c>
      <c r="P65" s="836"/>
      <c r="Q65" s="1127" t="e">
        <f t="shared" si="35"/>
        <v>#N/A</v>
      </c>
      <c r="R65" s="1127" t="b">
        <f t="shared" si="46"/>
        <v>0</v>
      </c>
      <c r="S65" s="1127" t="e">
        <f t="shared" si="36"/>
        <v>#N/A</v>
      </c>
      <c r="T65" s="1127" t="b">
        <f t="shared" si="47"/>
        <v>0</v>
      </c>
      <c r="U65" s="1127" t="e">
        <f t="shared" si="37"/>
        <v>#N/A</v>
      </c>
      <c r="V65" s="1127" t="e">
        <f t="shared" si="48"/>
        <v>#REF!</v>
      </c>
      <c r="W65" s="1127" t="e">
        <f>IF(F65="Offiho",J65,IF(_xlfn.XLOOKUP(F65,Proveedores!A$2:A$50,Proveedores!E$2:E$50,"")="Nacional",(J65/0.5)+(V65*H65),((J65/0.3/0.5)+(V65*H65))))</f>
        <v>#REF!</v>
      </c>
      <c r="X65" s="1127" t="e">
        <f t="shared" si="38"/>
        <v>#REF!</v>
      </c>
      <c r="Y65" s="1126" t="b">
        <f t="shared" si="39"/>
        <v>0</v>
      </c>
      <c r="Z65" s="43">
        <v>0</v>
      </c>
      <c r="AA65" s="1219" t="e">
        <f t="shared" si="49"/>
        <v>#REF!</v>
      </c>
      <c r="AB65" s="1219" t="e">
        <f t="shared" si="50"/>
        <v>#REF!</v>
      </c>
      <c r="AC65" s="1219" t="e">
        <f t="shared" si="40"/>
        <v>#REF!</v>
      </c>
      <c r="AD65" s="1126" t="e">
        <f t="shared" si="51"/>
        <v>#REF!</v>
      </c>
      <c r="AE65" s="1217" t="e">
        <f t="shared" si="41"/>
        <v>#REF!</v>
      </c>
      <c r="AF65" s="1220" t="e">
        <f t="shared" si="42"/>
        <v>#REF!</v>
      </c>
      <c r="AG65" s="1176" t="e">
        <f t="shared" si="43"/>
        <v>#REF!</v>
      </c>
      <c r="AH65" s="1221" t="e">
        <f t="shared" si="52"/>
        <v>#REF!</v>
      </c>
    </row>
    <row r="66" spans="1:34" ht="15.5">
      <c r="A66" s="1216" t="b">
        <f t="shared" si="31"/>
        <v>1</v>
      </c>
      <c r="B66" s="1217" t="b">
        <f t="shared" si="44"/>
        <v>1</v>
      </c>
      <c r="C66" s="1218" t="str">
        <f t="shared" si="45"/>
        <v>Dólares</v>
      </c>
      <c r="D66" s="44"/>
      <c r="E66" s="836"/>
      <c r="F66" s="50"/>
      <c r="G66" s="50" t="str">
        <f t="shared" si="32"/>
        <v xml:space="preserve"> </v>
      </c>
      <c r="H66" s="45">
        <v>0</v>
      </c>
      <c r="I66" s="49" t="str">
        <f>IFERROR(VLOOKUP(G66,Proveedores!B:C,2,0)," ")</f>
        <v xml:space="preserve"> </v>
      </c>
      <c r="J66" s="838">
        <v>0</v>
      </c>
      <c r="K66" s="1124" t="e">
        <f>#REF!</f>
        <v>#REF!</v>
      </c>
      <c r="L66" s="1266" t="e">
        <f t="shared" si="33"/>
        <v>#REF!</v>
      </c>
      <c r="M66" s="1267">
        <f t="shared" si="34"/>
        <v>0</v>
      </c>
      <c r="N66" s="1268">
        <f t="shared" si="53"/>
        <v>0</v>
      </c>
      <c r="O66" s="836" t="str">
        <f>IFERROR(VLOOKUP(G66,Proveedores!B:D,3,0)," ")</f>
        <v xml:space="preserve"> </v>
      </c>
      <c r="P66" s="836"/>
      <c r="Q66" s="1127" t="e">
        <f t="shared" si="35"/>
        <v>#N/A</v>
      </c>
      <c r="R66" s="1127" t="b">
        <f t="shared" si="46"/>
        <v>0</v>
      </c>
      <c r="S66" s="1127" t="e">
        <f t="shared" si="36"/>
        <v>#N/A</v>
      </c>
      <c r="T66" s="1127" t="b">
        <f t="shared" si="47"/>
        <v>0</v>
      </c>
      <c r="U66" s="1127" t="e">
        <f t="shared" si="37"/>
        <v>#N/A</v>
      </c>
      <c r="V66" s="1127" t="e">
        <f t="shared" si="48"/>
        <v>#REF!</v>
      </c>
      <c r="W66" s="1127" t="e">
        <f>IF(F66="Offiho",J66,IF(_xlfn.XLOOKUP(F66,Proveedores!A$2:A$50,Proveedores!E$2:E$50,"")="Nacional",(J66/0.5)+(V66*H66),((J66/0.3/0.5)+(V66*H66))))</f>
        <v>#REF!</v>
      </c>
      <c r="X66" s="1127" t="e">
        <f t="shared" si="38"/>
        <v>#REF!</v>
      </c>
      <c r="Y66" s="1126" t="b">
        <f t="shared" si="39"/>
        <v>0</v>
      </c>
      <c r="Z66" s="43">
        <v>0</v>
      </c>
      <c r="AA66" s="1219" t="e">
        <f t="shared" si="49"/>
        <v>#REF!</v>
      </c>
      <c r="AB66" s="1219" t="e">
        <f t="shared" si="50"/>
        <v>#REF!</v>
      </c>
      <c r="AC66" s="1219" t="e">
        <f t="shared" si="40"/>
        <v>#REF!</v>
      </c>
      <c r="AD66" s="1126" t="e">
        <f t="shared" si="51"/>
        <v>#REF!</v>
      </c>
      <c r="AE66" s="1217" t="e">
        <f t="shared" si="41"/>
        <v>#REF!</v>
      </c>
      <c r="AF66" s="1220" t="e">
        <f t="shared" si="42"/>
        <v>#REF!</v>
      </c>
      <c r="AG66" s="1176" t="e">
        <f t="shared" si="43"/>
        <v>#REF!</v>
      </c>
      <c r="AH66" s="1221" t="e">
        <f t="shared" si="52"/>
        <v>#REF!</v>
      </c>
    </row>
    <row r="67" spans="1:34" ht="15.5">
      <c r="A67" s="1216" t="b">
        <f t="shared" si="31"/>
        <v>1</v>
      </c>
      <c r="B67" s="1217" t="b">
        <f t="shared" si="44"/>
        <v>1</v>
      </c>
      <c r="C67" s="1218" t="str">
        <f t="shared" si="45"/>
        <v>Dólares</v>
      </c>
      <c r="D67" s="44"/>
      <c r="E67" s="836"/>
      <c r="F67" s="50"/>
      <c r="G67" s="50" t="str">
        <f t="shared" si="32"/>
        <v xml:space="preserve"> </v>
      </c>
      <c r="H67" s="45">
        <v>0</v>
      </c>
      <c r="I67" s="49" t="str">
        <f>IFERROR(VLOOKUP(G67,Proveedores!B:C,2,0)," ")</f>
        <v xml:space="preserve"> </v>
      </c>
      <c r="J67" s="838">
        <v>0</v>
      </c>
      <c r="K67" s="1124" t="e">
        <f>#REF!</f>
        <v>#REF!</v>
      </c>
      <c r="L67" s="1266" t="e">
        <f t="shared" si="33"/>
        <v>#REF!</v>
      </c>
      <c r="M67" s="1267">
        <f t="shared" si="34"/>
        <v>0</v>
      </c>
      <c r="N67" s="1268">
        <f t="shared" si="53"/>
        <v>0</v>
      </c>
      <c r="O67" s="836" t="str">
        <f>IFERROR(VLOOKUP(G67,Proveedores!B:D,3,0)," ")</f>
        <v xml:space="preserve"> </v>
      </c>
      <c r="P67" s="836"/>
      <c r="Q67" s="1127" t="e">
        <f t="shared" si="35"/>
        <v>#N/A</v>
      </c>
      <c r="R67" s="1127" t="b">
        <f t="shared" si="46"/>
        <v>0</v>
      </c>
      <c r="S67" s="1127" t="e">
        <f t="shared" si="36"/>
        <v>#N/A</v>
      </c>
      <c r="T67" s="1127" t="b">
        <f t="shared" si="47"/>
        <v>0</v>
      </c>
      <c r="U67" s="1127" t="e">
        <f t="shared" si="37"/>
        <v>#N/A</v>
      </c>
      <c r="V67" s="1127" t="e">
        <f t="shared" si="48"/>
        <v>#REF!</v>
      </c>
      <c r="W67" s="1127" t="e">
        <f>IF(F67="Offiho",J67,IF(_xlfn.XLOOKUP(F67,Proveedores!A$2:A$50,Proveedores!E$2:E$50,"")="Nacional",(J67/0.5)+(V67*H67),((J67/0.3/0.5)+(V67*H67))))</f>
        <v>#REF!</v>
      </c>
      <c r="X67" s="1127" t="e">
        <f t="shared" si="38"/>
        <v>#REF!</v>
      </c>
      <c r="Y67" s="1126" t="b">
        <f t="shared" si="39"/>
        <v>0</v>
      </c>
      <c r="Z67" s="43">
        <v>0</v>
      </c>
      <c r="AA67" s="1219" t="e">
        <f t="shared" si="49"/>
        <v>#REF!</v>
      </c>
      <c r="AB67" s="1219" t="e">
        <f t="shared" si="50"/>
        <v>#REF!</v>
      </c>
      <c r="AC67" s="1219" t="e">
        <f t="shared" si="40"/>
        <v>#REF!</v>
      </c>
      <c r="AD67" s="1126" t="e">
        <f t="shared" si="51"/>
        <v>#REF!</v>
      </c>
      <c r="AE67" s="1217" t="e">
        <f t="shared" si="41"/>
        <v>#REF!</v>
      </c>
      <c r="AF67" s="1220" t="e">
        <f t="shared" si="42"/>
        <v>#REF!</v>
      </c>
      <c r="AG67" s="1176" t="e">
        <f t="shared" si="43"/>
        <v>#REF!</v>
      </c>
      <c r="AH67" s="1221" t="e">
        <f t="shared" si="52"/>
        <v>#REF!</v>
      </c>
    </row>
    <row r="68" spans="1:34" ht="15.5">
      <c r="A68" s="1216" t="b">
        <f t="shared" si="31"/>
        <v>1</v>
      </c>
      <c r="B68" s="1217" t="b">
        <f t="shared" si="44"/>
        <v>1</v>
      </c>
      <c r="C68" s="1218" t="str">
        <f t="shared" si="45"/>
        <v>Dólares</v>
      </c>
      <c r="D68" s="44"/>
      <c r="E68" s="836"/>
      <c r="F68" s="50"/>
      <c r="G68" s="50" t="str">
        <f t="shared" si="32"/>
        <v xml:space="preserve"> </v>
      </c>
      <c r="H68" s="45">
        <v>0</v>
      </c>
      <c r="I68" s="49" t="str">
        <f>IFERROR(VLOOKUP(G68,Proveedores!B:C,2,0)," ")</f>
        <v xml:space="preserve"> </v>
      </c>
      <c r="J68" s="838">
        <v>0</v>
      </c>
      <c r="K68" s="1124" t="e">
        <f>#REF!</f>
        <v>#REF!</v>
      </c>
      <c r="L68" s="1266" t="e">
        <f t="shared" si="33"/>
        <v>#REF!</v>
      </c>
      <c r="M68" s="1267">
        <f t="shared" si="34"/>
        <v>0</v>
      </c>
      <c r="N68" s="1268">
        <f t="shared" si="53"/>
        <v>0</v>
      </c>
      <c r="O68" s="836" t="str">
        <f>IFERROR(VLOOKUP(G68,Proveedores!B:D,3,0)," ")</f>
        <v xml:space="preserve"> </v>
      </c>
      <c r="P68" s="836"/>
      <c r="Q68" s="1127" t="e">
        <f t="shared" si="35"/>
        <v>#N/A</v>
      </c>
      <c r="R68" s="1127" t="b">
        <f t="shared" si="46"/>
        <v>0</v>
      </c>
      <c r="S68" s="1127" t="e">
        <f t="shared" si="36"/>
        <v>#N/A</v>
      </c>
      <c r="T68" s="1127" t="b">
        <f t="shared" si="47"/>
        <v>0</v>
      </c>
      <c r="U68" s="1127" t="e">
        <f t="shared" si="37"/>
        <v>#N/A</v>
      </c>
      <c r="V68" s="1127" t="e">
        <f t="shared" si="48"/>
        <v>#REF!</v>
      </c>
      <c r="W68" s="1127" t="e">
        <f>IF(F68="Offiho",J68,IF(_xlfn.XLOOKUP(F68,Proveedores!A$2:A$50,Proveedores!E$2:E$50,"")="Nacional",(J68/0.5)+(V68*H68),((J68/0.3/0.5)+(V68*H68))))</f>
        <v>#REF!</v>
      </c>
      <c r="X68" s="1127" t="e">
        <f t="shared" si="38"/>
        <v>#REF!</v>
      </c>
      <c r="Y68" s="1126" t="b">
        <f t="shared" si="39"/>
        <v>0</v>
      </c>
      <c r="Z68" s="43">
        <v>0</v>
      </c>
      <c r="AA68" s="1219" t="e">
        <f t="shared" si="49"/>
        <v>#REF!</v>
      </c>
      <c r="AB68" s="1219" t="e">
        <f t="shared" si="50"/>
        <v>#REF!</v>
      </c>
      <c r="AC68" s="1219" t="e">
        <f t="shared" si="40"/>
        <v>#REF!</v>
      </c>
      <c r="AD68" s="1126" t="e">
        <f t="shared" si="51"/>
        <v>#REF!</v>
      </c>
      <c r="AE68" s="1217" t="e">
        <f t="shared" si="41"/>
        <v>#REF!</v>
      </c>
      <c r="AF68" s="1220" t="e">
        <f t="shared" si="42"/>
        <v>#REF!</v>
      </c>
      <c r="AG68" s="1176" t="e">
        <f t="shared" si="43"/>
        <v>#REF!</v>
      </c>
      <c r="AH68" s="1221" t="e">
        <f t="shared" si="52"/>
        <v>#REF!</v>
      </c>
    </row>
    <row r="69" spans="1:34" ht="15.5">
      <c r="A69" s="1216" t="b">
        <f t="shared" si="31"/>
        <v>1</v>
      </c>
      <c r="B69" s="1217" t="b">
        <f t="shared" si="44"/>
        <v>1</v>
      </c>
      <c r="C69" s="1218" t="str">
        <f t="shared" si="45"/>
        <v>Dólares</v>
      </c>
      <c r="D69" s="44"/>
      <c r="E69" s="836"/>
      <c r="F69" s="50"/>
      <c r="G69" s="50" t="str">
        <f t="shared" si="32"/>
        <v xml:space="preserve"> </v>
      </c>
      <c r="H69" s="45">
        <v>0</v>
      </c>
      <c r="I69" s="49" t="str">
        <f>IFERROR(VLOOKUP(G69,Proveedores!B:C,2,0)," ")</f>
        <v xml:space="preserve"> </v>
      </c>
      <c r="J69" s="838">
        <v>0</v>
      </c>
      <c r="K69" s="1124" t="e">
        <f>#REF!</f>
        <v>#REF!</v>
      </c>
      <c r="L69" s="1266" t="e">
        <f t="shared" si="33"/>
        <v>#REF!</v>
      </c>
      <c r="M69" s="1267">
        <f t="shared" si="34"/>
        <v>0</v>
      </c>
      <c r="N69" s="1268">
        <f t="shared" si="53"/>
        <v>0</v>
      </c>
      <c r="O69" s="836" t="str">
        <f>IFERROR(VLOOKUP(G69,Proveedores!B:D,3,0)," ")</f>
        <v xml:space="preserve"> </v>
      </c>
      <c r="P69" s="836"/>
      <c r="Q69" s="1127" t="e">
        <f t="shared" si="35"/>
        <v>#N/A</v>
      </c>
      <c r="R69" s="1127" t="b">
        <f t="shared" si="46"/>
        <v>0</v>
      </c>
      <c r="S69" s="1127" t="e">
        <f t="shared" si="36"/>
        <v>#N/A</v>
      </c>
      <c r="T69" s="1127" t="b">
        <f t="shared" si="47"/>
        <v>0</v>
      </c>
      <c r="U69" s="1127" t="e">
        <f t="shared" si="37"/>
        <v>#N/A</v>
      </c>
      <c r="V69" s="1127" t="e">
        <f t="shared" si="48"/>
        <v>#REF!</v>
      </c>
      <c r="W69" s="1127" t="e">
        <f>IF(F69="Offiho",J69,IF(_xlfn.XLOOKUP(F69,Proveedores!A$2:A$50,Proveedores!E$2:E$50,"")="Nacional",(J69/0.5)+(V69*H69),((J69/0.3/0.5)+(V69*H69))))</f>
        <v>#REF!</v>
      </c>
      <c r="X69" s="1127" t="e">
        <f t="shared" si="38"/>
        <v>#REF!</v>
      </c>
      <c r="Y69" s="1126" t="b">
        <f t="shared" si="39"/>
        <v>0</v>
      </c>
      <c r="Z69" s="43">
        <v>0</v>
      </c>
      <c r="AA69" s="1219" t="e">
        <f t="shared" si="49"/>
        <v>#REF!</v>
      </c>
      <c r="AB69" s="1219" t="e">
        <f t="shared" si="50"/>
        <v>#REF!</v>
      </c>
      <c r="AC69" s="1219" t="e">
        <f t="shared" si="40"/>
        <v>#REF!</v>
      </c>
      <c r="AD69" s="1126" t="e">
        <f t="shared" si="51"/>
        <v>#REF!</v>
      </c>
      <c r="AE69" s="1217" t="e">
        <f t="shared" si="41"/>
        <v>#REF!</v>
      </c>
      <c r="AF69" s="1220" t="e">
        <f t="shared" si="42"/>
        <v>#REF!</v>
      </c>
      <c r="AG69" s="1176" t="e">
        <f t="shared" si="43"/>
        <v>#REF!</v>
      </c>
      <c r="AH69" s="1221" t="e">
        <f t="shared" si="52"/>
        <v>#REF!</v>
      </c>
    </row>
    <row r="70" spans="1:34" ht="15.5">
      <c r="A70" s="1216" t="b">
        <f t="shared" si="31"/>
        <v>1</v>
      </c>
      <c r="B70" s="1217" t="b">
        <f t="shared" si="44"/>
        <v>1</v>
      </c>
      <c r="C70" s="1218" t="str">
        <f t="shared" si="45"/>
        <v>Dólares</v>
      </c>
      <c r="D70" s="44"/>
      <c r="E70" s="836"/>
      <c r="F70" s="50"/>
      <c r="G70" s="50" t="str">
        <f t="shared" si="32"/>
        <v xml:space="preserve"> </v>
      </c>
      <c r="H70" s="45">
        <v>0</v>
      </c>
      <c r="I70" s="49" t="str">
        <f>IFERROR(VLOOKUP(G70,Proveedores!B:C,2,0)," ")</f>
        <v xml:space="preserve"> </v>
      </c>
      <c r="J70" s="838">
        <v>0</v>
      </c>
      <c r="K70" s="1124" t="e">
        <f>#REF!</f>
        <v>#REF!</v>
      </c>
      <c r="L70" s="1266" t="e">
        <f t="shared" si="33"/>
        <v>#REF!</v>
      </c>
      <c r="M70" s="1267">
        <f t="shared" si="34"/>
        <v>0</v>
      </c>
      <c r="N70" s="1268">
        <f t="shared" si="53"/>
        <v>0</v>
      </c>
      <c r="O70" s="836" t="str">
        <f>IFERROR(VLOOKUP(G70,Proveedores!B:D,3,0)," ")</f>
        <v xml:space="preserve"> </v>
      </c>
      <c r="P70" s="836"/>
      <c r="Q70" s="1127" t="e">
        <f t="shared" si="35"/>
        <v>#N/A</v>
      </c>
      <c r="R70" s="1127" t="b">
        <f t="shared" si="46"/>
        <v>0</v>
      </c>
      <c r="S70" s="1127" t="e">
        <f t="shared" si="36"/>
        <v>#N/A</v>
      </c>
      <c r="T70" s="1127" t="b">
        <f t="shared" si="47"/>
        <v>0</v>
      </c>
      <c r="U70" s="1127" t="e">
        <f t="shared" si="37"/>
        <v>#N/A</v>
      </c>
      <c r="V70" s="1127" t="e">
        <f t="shared" si="48"/>
        <v>#REF!</v>
      </c>
      <c r="W70" s="1127" t="e">
        <f>IF(F70="Offiho",J70,IF(_xlfn.XLOOKUP(F70,Proveedores!A$2:A$50,Proveedores!E$2:E$50,"")="Nacional",(J70/0.5)+(V70*H70),((J70/0.3/0.5)+(V70*H70))))</f>
        <v>#REF!</v>
      </c>
      <c r="X70" s="1127" t="e">
        <f t="shared" si="38"/>
        <v>#REF!</v>
      </c>
      <c r="Y70" s="1126" t="b">
        <f t="shared" si="39"/>
        <v>0</v>
      </c>
      <c r="Z70" s="43">
        <v>0</v>
      </c>
      <c r="AA70" s="1219" t="e">
        <f t="shared" si="49"/>
        <v>#REF!</v>
      </c>
      <c r="AB70" s="1219" t="e">
        <f t="shared" si="50"/>
        <v>#REF!</v>
      </c>
      <c r="AC70" s="1219" t="e">
        <f t="shared" si="40"/>
        <v>#REF!</v>
      </c>
      <c r="AD70" s="1126" t="e">
        <f t="shared" si="51"/>
        <v>#REF!</v>
      </c>
      <c r="AE70" s="1217" t="e">
        <f t="shared" si="41"/>
        <v>#REF!</v>
      </c>
      <c r="AF70" s="1220" t="e">
        <f t="shared" si="42"/>
        <v>#REF!</v>
      </c>
      <c r="AG70" s="1176" t="e">
        <f t="shared" si="43"/>
        <v>#REF!</v>
      </c>
      <c r="AH70" s="1221" t="e">
        <f t="shared" si="52"/>
        <v>#REF!</v>
      </c>
    </row>
    <row r="71" spans="1:34" ht="15.5">
      <c r="A71" s="1216" t="b">
        <f t="shared" si="31"/>
        <v>1</v>
      </c>
      <c r="B71" s="1217" t="b">
        <f t="shared" si="44"/>
        <v>1</v>
      </c>
      <c r="C71" s="1218" t="str">
        <f t="shared" si="45"/>
        <v>Dólares</v>
      </c>
      <c r="D71" s="44"/>
      <c r="E71" s="836"/>
      <c r="F71" s="50"/>
      <c r="G71" s="50" t="str">
        <f t="shared" si="32"/>
        <v xml:space="preserve"> </v>
      </c>
      <c r="H71" s="45">
        <v>0</v>
      </c>
      <c r="I71" s="49" t="str">
        <f>IFERROR(VLOOKUP(G71,Proveedores!B:C,2,0)," ")</f>
        <v xml:space="preserve"> </v>
      </c>
      <c r="J71" s="838">
        <v>0</v>
      </c>
      <c r="K71" s="1124" t="e">
        <f>#REF!</f>
        <v>#REF!</v>
      </c>
      <c r="L71" s="1266" t="e">
        <f t="shared" si="33"/>
        <v>#REF!</v>
      </c>
      <c r="M71" s="1267">
        <f t="shared" si="34"/>
        <v>0</v>
      </c>
      <c r="N71" s="1268">
        <f t="shared" si="53"/>
        <v>0</v>
      </c>
      <c r="O71" s="836" t="str">
        <f>IFERROR(VLOOKUP(G71,Proveedores!B:D,3,0)," ")</f>
        <v xml:space="preserve"> </v>
      </c>
      <c r="P71" s="836"/>
      <c r="Q71" s="1127" t="e">
        <f t="shared" si="35"/>
        <v>#N/A</v>
      </c>
      <c r="R71" s="1127" t="b">
        <f t="shared" si="46"/>
        <v>0</v>
      </c>
      <c r="S71" s="1127" t="e">
        <f t="shared" si="36"/>
        <v>#N/A</v>
      </c>
      <c r="T71" s="1127" t="b">
        <f t="shared" si="47"/>
        <v>0</v>
      </c>
      <c r="U71" s="1127" t="e">
        <f t="shared" si="37"/>
        <v>#N/A</v>
      </c>
      <c r="V71" s="1127" t="e">
        <f t="shared" si="48"/>
        <v>#REF!</v>
      </c>
      <c r="W71" s="1127" t="e">
        <f>IF(F71="Offiho",J71,IF(_xlfn.XLOOKUP(F71,Proveedores!A$2:A$50,Proveedores!E$2:E$50,"")="Nacional",(J71/0.5)+(V71*H71),((J71/0.3/0.5)+(V71*H71))))</f>
        <v>#REF!</v>
      </c>
      <c r="X71" s="1127" t="e">
        <f t="shared" si="38"/>
        <v>#REF!</v>
      </c>
      <c r="Y71" s="1126" t="b">
        <f t="shared" si="39"/>
        <v>0</v>
      </c>
      <c r="Z71" s="43">
        <v>0</v>
      </c>
      <c r="AA71" s="1219" t="e">
        <f t="shared" si="49"/>
        <v>#REF!</v>
      </c>
      <c r="AB71" s="1219" t="e">
        <f t="shared" si="50"/>
        <v>#REF!</v>
      </c>
      <c r="AC71" s="1219" t="e">
        <f t="shared" si="40"/>
        <v>#REF!</v>
      </c>
      <c r="AD71" s="1126" t="e">
        <f t="shared" si="51"/>
        <v>#REF!</v>
      </c>
      <c r="AE71" s="1217" t="e">
        <f t="shared" si="41"/>
        <v>#REF!</v>
      </c>
      <c r="AF71" s="1220" t="e">
        <f t="shared" si="42"/>
        <v>#REF!</v>
      </c>
      <c r="AG71" s="1176" t="e">
        <f t="shared" si="43"/>
        <v>#REF!</v>
      </c>
      <c r="AH71" s="1221" t="e">
        <f t="shared" si="52"/>
        <v>#REF!</v>
      </c>
    </row>
    <row r="72" spans="1:34" ht="15.5">
      <c r="A72" s="1216" t="b">
        <f t="shared" si="31"/>
        <v>1</v>
      </c>
      <c r="B72" s="1217" t="b">
        <f t="shared" si="44"/>
        <v>1</v>
      </c>
      <c r="C72" s="1218" t="str">
        <f t="shared" si="45"/>
        <v>Dólares</v>
      </c>
      <c r="D72" s="44"/>
      <c r="E72" s="836"/>
      <c r="F72" s="50"/>
      <c r="G72" s="50" t="str">
        <f t="shared" si="32"/>
        <v xml:space="preserve"> </v>
      </c>
      <c r="H72" s="45">
        <v>0</v>
      </c>
      <c r="I72" s="49" t="str">
        <f>IFERROR(VLOOKUP(G72,Proveedores!B:C,2,0)," ")</f>
        <v xml:space="preserve"> </v>
      </c>
      <c r="J72" s="838">
        <v>0</v>
      </c>
      <c r="K72" s="1124" t="e">
        <f>#REF!</f>
        <v>#REF!</v>
      </c>
      <c r="L72" s="1266" t="e">
        <f t="shared" si="33"/>
        <v>#REF!</v>
      </c>
      <c r="M72" s="1267">
        <f t="shared" si="34"/>
        <v>0</v>
      </c>
      <c r="N72" s="1268">
        <f t="shared" si="53"/>
        <v>0</v>
      </c>
      <c r="O72" s="836" t="str">
        <f>IFERROR(VLOOKUP(G72,Proveedores!B:D,3,0)," ")</f>
        <v xml:space="preserve"> </v>
      </c>
      <c r="P72" s="836"/>
      <c r="Q72" s="1127" t="e">
        <f t="shared" si="35"/>
        <v>#N/A</v>
      </c>
      <c r="R72" s="1127" t="b">
        <f t="shared" si="46"/>
        <v>0</v>
      </c>
      <c r="S72" s="1127" t="e">
        <f t="shared" si="36"/>
        <v>#N/A</v>
      </c>
      <c r="T72" s="1127" t="b">
        <f t="shared" si="47"/>
        <v>0</v>
      </c>
      <c r="U72" s="1127" t="e">
        <f t="shared" si="37"/>
        <v>#N/A</v>
      </c>
      <c r="V72" s="1127" t="e">
        <f t="shared" si="48"/>
        <v>#REF!</v>
      </c>
      <c r="W72" s="1127" t="e">
        <f>IF(F72="Offiho",J72,IF(_xlfn.XLOOKUP(F72,Proveedores!A$2:A$50,Proveedores!E$2:E$50,"")="Nacional",(J72/0.5)+(V72*H72),((J72/0.3/0.5)+(V72*H72))))</f>
        <v>#REF!</v>
      </c>
      <c r="X72" s="1127" t="e">
        <f t="shared" si="38"/>
        <v>#REF!</v>
      </c>
      <c r="Y72" s="1126" t="b">
        <f t="shared" si="39"/>
        <v>0</v>
      </c>
      <c r="Z72" s="43">
        <v>0</v>
      </c>
      <c r="AA72" s="1219" t="e">
        <f t="shared" si="49"/>
        <v>#REF!</v>
      </c>
      <c r="AB72" s="1219" t="e">
        <f t="shared" si="50"/>
        <v>#REF!</v>
      </c>
      <c r="AC72" s="1219" t="e">
        <f t="shared" si="40"/>
        <v>#REF!</v>
      </c>
      <c r="AD72" s="1126" t="e">
        <f t="shared" si="51"/>
        <v>#REF!</v>
      </c>
      <c r="AE72" s="1217" t="e">
        <f t="shared" si="41"/>
        <v>#REF!</v>
      </c>
      <c r="AF72" s="1220" t="e">
        <f t="shared" si="42"/>
        <v>#REF!</v>
      </c>
      <c r="AG72" s="1176" t="e">
        <f t="shared" si="43"/>
        <v>#REF!</v>
      </c>
      <c r="AH72" s="1221" t="e">
        <f t="shared" si="52"/>
        <v>#REF!</v>
      </c>
    </row>
    <row r="73" spans="1:34" ht="15.5">
      <c r="A73" s="1216" t="b">
        <f t="shared" si="31"/>
        <v>1</v>
      </c>
      <c r="B73" s="1217" t="b">
        <f t="shared" si="44"/>
        <v>1</v>
      </c>
      <c r="C73" s="1218" t="str">
        <f t="shared" si="45"/>
        <v>Dólares</v>
      </c>
      <c r="D73" s="44"/>
      <c r="E73" s="836"/>
      <c r="F73" s="50"/>
      <c r="G73" s="50" t="str">
        <f t="shared" si="32"/>
        <v xml:space="preserve"> </v>
      </c>
      <c r="H73" s="45">
        <v>0</v>
      </c>
      <c r="I73" s="49" t="str">
        <f>IFERROR(VLOOKUP(G73,Proveedores!B:C,2,0)," ")</f>
        <v xml:space="preserve"> </v>
      </c>
      <c r="J73" s="838">
        <v>0</v>
      </c>
      <c r="K73" s="1124" t="e">
        <f>#REF!</f>
        <v>#REF!</v>
      </c>
      <c r="L73" s="1266" t="e">
        <f t="shared" si="33"/>
        <v>#REF!</v>
      </c>
      <c r="M73" s="1267">
        <f t="shared" si="34"/>
        <v>0</v>
      </c>
      <c r="N73" s="1268">
        <f t="shared" si="53"/>
        <v>0</v>
      </c>
      <c r="O73" s="836" t="str">
        <f>IFERROR(VLOOKUP(G73,Proveedores!B:D,3,0)," ")</f>
        <v xml:space="preserve"> </v>
      </c>
      <c r="P73" s="836"/>
      <c r="Q73" s="1127" t="e">
        <f t="shared" si="35"/>
        <v>#N/A</v>
      </c>
      <c r="R73" s="1127" t="b">
        <f t="shared" si="46"/>
        <v>0</v>
      </c>
      <c r="S73" s="1127" t="e">
        <f t="shared" si="36"/>
        <v>#N/A</v>
      </c>
      <c r="T73" s="1127" t="b">
        <f t="shared" si="47"/>
        <v>0</v>
      </c>
      <c r="U73" s="1127" t="e">
        <f t="shared" si="37"/>
        <v>#N/A</v>
      </c>
      <c r="V73" s="1127" t="e">
        <f t="shared" si="48"/>
        <v>#REF!</v>
      </c>
      <c r="W73" s="1127" t="e">
        <f>IF(F73="Offiho",J73,IF(_xlfn.XLOOKUP(F73,Proveedores!A$2:A$50,Proveedores!E$2:E$50,"")="Nacional",(J73/0.5)+(V73*H73),((J73/0.3/0.5)+(V73*H73))))</f>
        <v>#REF!</v>
      </c>
      <c r="X73" s="1127" t="e">
        <f t="shared" si="38"/>
        <v>#REF!</v>
      </c>
      <c r="Y73" s="1126" t="b">
        <f t="shared" si="39"/>
        <v>0</v>
      </c>
      <c r="Z73" s="43">
        <v>0</v>
      </c>
      <c r="AA73" s="1219" t="e">
        <f t="shared" si="49"/>
        <v>#REF!</v>
      </c>
      <c r="AB73" s="1219" t="e">
        <f t="shared" si="50"/>
        <v>#REF!</v>
      </c>
      <c r="AC73" s="1219" t="e">
        <f t="shared" si="40"/>
        <v>#REF!</v>
      </c>
      <c r="AD73" s="1126" t="e">
        <f t="shared" si="51"/>
        <v>#REF!</v>
      </c>
      <c r="AE73" s="1217" t="e">
        <f t="shared" si="41"/>
        <v>#REF!</v>
      </c>
      <c r="AF73" s="1220" t="e">
        <f t="shared" si="42"/>
        <v>#REF!</v>
      </c>
      <c r="AG73" s="1176" t="e">
        <f t="shared" si="43"/>
        <v>#REF!</v>
      </c>
      <c r="AH73" s="1221" t="e">
        <f t="shared" si="52"/>
        <v>#REF!</v>
      </c>
    </row>
    <row r="74" spans="1:34" ht="15.5">
      <c r="A74" s="1216" t="b">
        <f t="shared" si="31"/>
        <v>1</v>
      </c>
      <c r="B74" s="1217" t="b">
        <f t="shared" si="44"/>
        <v>1</v>
      </c>
      <c r="C74" s="1218" t="str">
        <f t="shared" si="45"/>
        <v>Dólares</v>
      </c>
      <c r="D74" s="44"/>
      <c r="E74" s="836"/>
      <c r="F74" s="50"/>
      <c r="G74" s="50" t="str">
        <f t="shared" si="32"/>
        <v xml:space="preserve"> </v>
      </c>
      <c r="H74" s="45">
        <v>0</v>
      </c>
      <c r="I74" s="49" t="str">
        <f>IFERROR(VLOOKUP(G74,Proveedores!B:C,2,0)," ")</f>
        <v xml:space="preserve"> </v>
      </c>
      <c r="J74" s="838">
        <v>0</v>
      </c>
      <c r="K74" s="1124" t="e">
        <f>#REF!</f>
        <v>#REF!</v>
      </c>
      <c r="L74" s="1266" t="e">
        <f t="shared" si="33"/>
        <v>#REF!</v>
      </c>
      <c r="M74" s="1267">
        <f t="shared" si="34"/>
        <v>0</v>
      </c>
      <c r="N74" s="1268">
        <f t="shared" si="53"/>
        <v>0</v>
      </c>
      <c r="O74" s="836" t="str">
        <f>IFERROR(VLOOKUP(G74,Proveedores!B:D,3,0)," ")</f>
        <v xml:space="preserve"> </v>
      </c>
      <c r="P74" s="836"/>
      <c r="Q74" s="1127" t="e">
        <f t="shared" si="35"/>
        <v>#N/A</v>
      </c>
      <c r="R74" s="1127" t="b">
        <f t="shared" si="46"/>
        <v>0</v>
      </c>
      <c r="S74" s="1127" t="e">
        <f t="shared" si="36"/>
        <v>#N/A</v>
      </c>
      <c r="T74" s="1127" t="b">
        <f t="shared" si="47"/>
        <v>0</v>
      </c>
      <c r="U74" s="1127" t="e">
        <f t="shared" si="37"/>
        <v>#N/A</v>
      </c>
      <c r="V74" s="1127" t="e">
        <f t="shared" si="48"/>
        <v>#REF!</v>
      </c>
      <c r="W74" s="1127" t="e">
        <f>IF(F74="Offiho",J74,IF(_xlfn.XLOOKUP(F74,Proveedores!A$2:A$50,Proveedores!E$2:E$50,"")="Nacional",(J74/0.5)+(V74*H74),((J74/0.3/0.5)+(V74*H74))))</f>
        <v>#REF!</v>
      </c>
      <c r="X74" s="1127" t="e">
        <f t="shared" si="38"/>
        <v>#REF!</v>
      </c>
      <c r="Y74" s="1126" t="b">
        <f t="shared" si="39"/>
        <v>0</v>
      </c>
      <c r="Z74" s="43">
        <v>0</v>
      </c>
      <c r="AA74" s="1219" t="e">
        <f t="shared" si="49"/>
        <v>#REF!</v>
      </c>
      <c r="AB74" s="1219" t="e">
        <f t="shared" si="50"/>
        <v>#REF!</v>
      </c>
      <c r="AC74" s="1219" t="e">
        <f t="shared" si="40"/>
        <v>#REF!</v>
      </c>
      <c r="AD74" s="1126" t="e">
        <f t="shared" si="51"/>
        <v>#REF!</v>
      </c>
      <c r="AE74" s="1217" t="e">
        <f t="shared" si="41"/>
        <v>#REF!</v>
      </c>
      <c r="AF74" s="1220" t="e">
        <f t="shared" si="42"/>
        <v>#REF!</v>
      </c>
      <c r="AG74" s="1176" t="e">
        <f t="shared" si="43"/>
        <v>#REF!</v>
      </c>
      <c r="AH74" s="1221" t="e">
        <f t="shared" si="52"/>
        <v>#REF!</v>
      </c>
    </row>
    <row r="75" spans="1:34" ht="15.5">
      <c r="A75" s="1216" t="b">
        <f t="shared" si="31"/>
        <v>1</v>
      </c>
      <c r="B75" s="1217" t="b">
        <f t="shared" si="44"/>
        <v>1</v>
      </c>
      <c r="C75" s="1218" t="str">
        <f t="shared" si="45"/>
        <v>Dólares</v>
      </c>
      <c r="D75" s="44"/>
      <c r="E75" s="836"/>
      <c r="F75" s="50"/>
      <c r="G75" s="50" t="str">
        <f t="shared" si="32"/>
        <v xml:space="preserve"> </v>
      </c>
      <c r="H75" s="45">
        <v>0</v>
      </c>
      <c r="I75" s="49" t="str">
        <f>IFERROR(VLOOKUP(G75,Proveedores!B:C,2,0)," ")</f>
        <v xml:space="preserve"> </v>
      </c>
      <c r="J75" s="838">
        <v>0</v>
      </c>
      <c r="K75" s="1124" t="e">
        <f>#REF!</f>
        <v>#REF!</v>
      </c>
      <c r="L75" s="1266" t="e">
        <f t="shared" si="33"/>
        <v>#REF!</v>
      </c>
      <c r="M75" s="1267">
        <f t="shared" si="34"/>
        <v>0</v>
      </c>
      <c r="N75" s="1268">
        <f t="shared" si="53"/>
        <v>0</v>
      </c>
      <c r="O75" s="836" t="str">
        <f>IFERROR(VLOOKUP(G75,Proveedores!B:D,3,0)," ")</f>
        <v xml:space="preserve"> </v>
      </c>
      <c r="P75" s="836"/>
      <c r="Q75" s="1127" t="e">
        <f t="shared" si="35"/>
        <v>#N/A</v>
      </c>
      <c r="R75" s="1127" t="b">
        <f t="shared" si="46"/>
        <v>0</v>
      </c>
      <c r="S75" s="1127" t="e">
        <f t="shared" si="36"/>
        <v>#N/A</v>
      </c>
      <c r="T75" s="1127" t="b">
        <f t="shared" si="47"/>
        <v>0</v>
      </c>
      <c r="U75" s="1127" t="e">
        <f t="shared" si="37"/>
        <v>#N/A</v>
      </c>
      <c r="V75" s="1127" t="e">
        <f t="shared" si="48"/>
        <v>#REF!</v>
      </c>
      <c r="W75" s="1127" t="e">
        <f>IF(F75="Offiho",J75,IF(_xlfn.XLOOKUP(F75,Proveedores!A$2:A$50,Proveedores!E$2:E$50,"")="Nacional",(J75/0.5)+(V75*H75),((J75/0.3/0.5)+(V75*H75))))</f>
        <v>#REF!</v>
      </c>
      <c r="X75" s="1127" t="e">
        <f t="shared" si="38"/>
        <v>#REF!</v>
      </c>
      <c r="Y75" s="1126" t="b">
        <f t="shared" si="39"/>
        <v>0</v>
      </c>
      <c r="Z75" s="43">
        <v>0</v>
      </c>
      <c r="AA75" s="1219" t="e">
        <f t="shared" si="49"/>
        <v>#REF!</v>
      </c>
      <c r="AB75" s="1219" t="e">
        <f t="shared" si="50"/>
        <v>#REF!</v>
      </c>
      <c r="AC75" s="1219" t="e">
        <f t="shared" si="40"/>
        <v>#REF!</v>
      </c>
      <c r="AD75" s="1126" t="e">
        <f t="shared" si="51"/>
        <v>#REF!</v>
      </c>
      <c r="AE75" s="1217" t="e">
        <f t="shared" si="41"/>
        <v>#REF!</v>
      </c>
      <c r="AF75" s="1220" t="e">
        <f t="shared" si="42"/>
        <v>#REF!</v>
      </c>
      <c r="AG75" s="1176" t="e">
        <f t="shared" si="43"/>
        <v>#REF!</v>
      </c>
      <c r="AH75" s="1221" t="e">
        <f t="shared" si="52"/>
        <v>#REF!</v>
      </c>
    </row>
    <row r="76" spans="1:34" ht="15.5">
      <c r="A76" s="1216" t="b">
        <f t="shared" si="31"/>
        <v>1</v>
      </c>
      <c r="B76" s="1217" t="b">
        <f t="shared" si="44"/>
        <v>1</v>
      </c>
      <c r="C76" s="1218" t="str">
        <f t="shared" si="45"/>
        <v>Dólares</v>
      </c>
      <c r="D76" s="44"/>
      <c r="E76" s="836"/>
      <c r="F76" s="50"/>
      <c r="G76" s="50" t="str">
        <f t="shared" si="32"/>
        <v xml:space="preserve"> </v>
      </c>
      <c r="H76" s="45">
        <v>0</v>
      </c>
      <c r="I76" s="49" t="str">
        <f>IFERROR(VLOOKUP(G76,Proveedores!B:C,2,0)," ")</f>
        <v xml:space="preserve"> </v>
      </c>
      <c r="J76" s="838">
        <v>0</v>
      </c>
      <c r="K76" s="1124" t="e">
        <f>#REF!</f>
        <v>#REF!</v>
      </c>
      <c r="L76" s="1266" t="e">
        <f t="shared" si="33"/>
        <v>#REF!</v>
      </c>
      <c r="M76" s="1267">
        <f t="shared" si="34"/>
        <v>0</v>
      </c>
      <c r="N76" s="1268">
        <f t="shared" si="53"/>
        <v>0</v>
      </c>
      <c r="O76" s="836" t="str">
        <f>IFERROR(VLOOKUP(G76,Proveedores!B:D,3,0)," ")</f>
        <v xml:space="preserve"> </v>
      </c>
      <c r="P76" s="836"/>
      <c r="Q76" s="1127" t="e">
        <f t="shared" si="35"/>
        <v>#N/A</v>
      </c>
      <c r="R76" s="1127" t="b">
        <f t="shared" si="46"/>
        <v>0</v>
      </c>
      <c r="S76" s="1127" t="e">
        <f t="shared" si="36"/>
        <v>#N/A</v>
      </c>
      <c r="T76" s="1127" t="b">
        <f t="shared" si="47"/>
        <v>0</v>
      </c>
      <c r="U76" s="1127" t="e">
        <f t="shared" si="37"/>
        <v>#N/A</v>
      </c>
      <c r="V76" s="1127" t="e">
        <f t="shared" si="48"/>
        <v>#REF!</v>
      </c>
      <c r="W76" s="1127" t="e">
        <f>IF(F76="Offiho",J76,IF(_xlfn.XLOOKUP(F76,Proveedores!A$2:A$50,Proveedores!E$2:E$50,"")="Nacional",(J76/0.5)+(V76*H76),((J76/0.3/0.5)+(V76*H76))))</f>
        <v>#REF!</v>
      </c>
      <c r="X76" s="1127" t="e">
        <f t="shared" si="38"/>
        <v>#REF!</v>
      </c>
      <c r="Y76" s="1126" t="b">
        <f t="shared" si="39"/>
        <v>0</v>
      </c>
      <c r="Z76" s="43">
        <v>0</v>
      </c>
      <c r="AA76" s="1219" t="e">
        <f t="shared" si="49"/>
        <v>#REF!</v>
      </c>
      <c r="AB76" s="1219" t="e">
        <f t="shared" si="50"/>
        <v>#REF!</v>
      </c>
      <c r="AC76" s="1219" t="e">
        <f t="shared" si="40"/>
        <v>#REF!</v>
      </c>
      <c r="AD76" s="1126" t="e">
        <f t="shared" si="51"/>
        <v>#REF!</v>
      </c>
      <c r="AE76" s="1217" t="e">
        <f t="shared" si="41"/>
        <v>#REF!</v>
      </c>
      <c r="AF76" s="1220" t="e">
        <f t="shared" si="42"/>
        <v>#REF!</v>
      </c>
      <c r="AG76" s="1176" t="e">
        <f t="shared" si="43"/>
        <v>#REF!</v>
      </c>
      <c r="AH76" s="1221" t="e">
        <f t="shared" si="52"/>
        <v>#REF!</v>
      </c>
    </row>
    <row r="77" spans="1:34" ht="15.5">
      <c r="A77" s="1216" t="b">
        <f t="shared" si="31"/>
        <v>1</v>
      </c>
      <c r="B77" s="1217" t="b">
        <f t="shared" si="44"/>
        <v>1</v>
      </c>
      <c r="C77" s="1218" t="str">
        <f t="shared" si="45"/>
        <v>Dólares</v>
      </c>
      <c r="D77" s="44"/>
      <c r="E77" s="836"/>
      <c r="F77" s="50"/>
      <c r="G77" s="50" t="str">
        <f t="shared" si="32"/>
        <v xml:space="preserve"> </v>
      </c>
      <c r="H77" s="45">
        <v>0</v>
      </c>
      <c r="I77" s="49" t="str">
        <f>IFERROR(VLOOKUP(G77,Proveedores!B:C,2,0)," ")</f>
        <v xml:space="preserve"> </v>
      </c>
      <c r="J77" s="838">
        <v>0</v>
      </c>
      <c r="K77" s="1124" t="e">
        <f>#REF!</f>
        <v>#REF!</v>
      </c>
      <c r="L77" s="1266" t="e">
        <f t="shared" si="33"/>
        <v>#REF!</v>
      </c>
      <c r="M77" s="1267">
        <f t="shared" si="34"/>
        <v>0</v>
      </c>
      <c r="N77" s="1268">
        <f t="shared" si="53"/>
        <v>0</v>
      </c>
      <c r="O77" s="836" t="str">
        <f>IFERROR(VLOOKUP(G77,Proveedores!B:D,3,0)," ")</f>
        <v xml:space="preserve"> </v>
      </c>
      <c r="P77" s="836"/>
      <c r="Q77" s="1127" t="e">
        <f t="shared" si="35"/>
        <v>#N/A</v>
      </c>
      <c r="R77" s="1127" t="b">
        <f t="shared" si="46"/>
        <v>0</v>
      </c>
      <c r="S77" s="1127" t="e">
        <f t="shared" si="36"/>
        <v>#N/A</v>
      </c>
      <c r="T77" s="1127" t="b">
        <f t="shared" si="47"/>
        <v>0</v>
      </c>
      <c r="U77" s="1127" t="e">
        <f t="shared" si="37"/>
        <v>#N/A</v>
      </c>
      <c r="V77" s="1127" t="e">
        <f t="shared" si="48"/>
        <v>#REF!</v>
      </c>
      <c r="W77" s="1127" t="e">
        <f>IF(F77="Offiho",J77,IF(_xlfn.XLOOKUP(F77,Proveedores!A$2:A$50,Proveedores!E$2:E$50,"")="Nacional",(J77/0.5)+(V77*H77),((J77/0.3/0.5)+(V77*H77))))</f>
        <v>#REF!</v>
      </c>
      <c r="X77" s="1127" t="e">
        <f t="shared" si="38"/>
        <v>#REF!</v>
      </c>
      <c r="Y77" s="1126" t="b">
        <f t="shared" si="39"/>
        <v>0</v>
      </c>
      <c r="Z77" s="43">
        <v>0</v>
      </c>
      <c r="AA77" s="1219" t="e">
        <f t="shared" si="49"/>
        <v>#REF!</v>
      </c>
      <c r="AB77" s="1219" t="e">
        <f t="shared" si="50"/>
        <v>#REF!</v>
      </c>
      <c r="AC77" s="1219" t="e">
        <f t="shared" si="40"/>
        <v>#REF!</v>
      </c>
      <c r="AD77" s="1126" t="e">
        <f t="shared" si="51"/>
        <v>#REF!</v>
      </c>
      <c r="AE77" s="1217" t="e">
        <f t="shared" si="41"/>
        <v>#REF!</v>
      </c>
      <c r="AF77" s="1220" t="e">
        <f t="shared" si="42"/>
        <v>#REF!</v>
      </c>
      <c r="AG77" s="1176" t="e">
        <f t="shared" si="43"/>
        <v>#REF!</v>
      </c>
      <c r="AH77" s="1221" t="e">
        <f t="shared" si="52"/>
        <v>#REF!</v>
      </c>
    </row>
    <row r="78" spans="1:34" ht="15.5">
      <c r="A78" s="1216" t="b">
        <f t="shared" si="31"/>
        <v>1</v>
      </c>
      <c r="B78" s="1217" t="b">
        <f t="shared" si="44"/>
        <v>1</v>
      </c>
      <c r="C78" s="1218" t="str">
        <f t="shared" si="45"/>
        <v>Dólares</v>
      </c>
      <c r="D78" s="44"/>
      <c r="E78" s="836"/>
      <c r="F78" s="50"/>
      <c r="G78" s="50" t="str">
        <f t="shared" si="32"/>
        <v xml:space="preserve"> </v>
      </c>
      <c r="H78" s="45">
        <v>0</v>
      </c>
      <c r="I78" s="49" t="str">
        <f>IFERROR(VLOOKUP(G78,Proveedores!B:C,2,0)," ")</f>
        <v xml:space="preserve"> </v>
      </c>
      <c r="J78" s="838">
        <v>0</v>
      </c>
      <c r="K78" s="1124" t="e">
        <f>#REF!</f>
        <v>#REF!</v>
      </c>
      <c r="L78" s="1266" t="e">
        <f t="shared" si="33"/>
        <v>#REF!</v>
      </c>
      <c r="M78" s="1267">
        <f t="shared" si="34"/>
        <v>0</v>
      </c>
      <c r="N78" s="1268">
        <f t="shared" si="53"/>
        <v>0</v>
      </c>
      <c r="O78" s="836" t="str">
        <f>IFERROR(VLOOKUP(G78,Proveedores!B:D,3,0)," ")</f>
        <v xml:space="preserve"> </v>
      </c>
      <c r="P78" s="836"/>
      <c r="Q78" s="1127" t="e">
        <f t="shared" si="35"/>
        <v>#N/A</v>
      </c>
      <c r="R78" s="1127" t="b">
        <f t="shared" si="46"/>
        <v>0</v>
      </c>
      <c r="S78" s="1127" t="e">
        <f t="shared" si="36"/>
        <v>#N/A</v>
      </c>
      <c r="T78" s="1127" t="b">
        <f t="shared" si="47"/>
        <v>0</v>
      </c>
      <c r="U78" s="1127" t="e">
        <f t="shared" si="37"/>
        <v>#N/A</v>
      </c>
      <c r="V78" s="1127" t="e">
        <f t="shared" si="48"/>
        <v>#REF!</v>
      </c>
      <c r="W78" s="1127" t="e">
        <f>IF(F78="Offiho",J78,IF(_xlfn.XLOOKUP(F78,Proveedores!A$2:A$50,Proveedores!E$2:E$50,"")="Nacional",(J78/0.5)+(V78*H78),((J78/0.3/0.5)+(V78*H78))))</f>
        <v>#REF!</v>
      </c>
      <c r="X78" s="1127" t="e">
        <f t="shared" si="38"/>
        <v>#REF!</v>
      </c>
      <c r="Y78" s="1126" t="b">
        <f t="shared" si="39"/>
        <v>0</v>
      </c>
      <c r="Z78" s="43">
        <v>0</v>
      </c>
      <c r="AA78" s="1219" t="e">
        <f t="shared" si="49"/>
        <v>#REF!</v>
      </c>
      <c r="AB78" s="1219" t="e">
        <f t="shared" si="50"/>
        <v>#REF!</v>
      </c>
      <c r="AC78" s="1219" t="e">
        <f t="shared" si="40"/>
        <v>#REF!</v>
      </c>
      <c r="AD78" s="1126" t="e">
        <f t="shared" si="51"/>
        <v>#REF!</v>
      </c>
      <c r="AE78" s="1217" t="e">
        <f t="shared" si="41"/>
        <v>#REF!</v>
      </c>
      <c r="AF78" s="1220" t="e">
        <f t="shared" si="42"/>
        <v>#REF!</v>
      </c>
      <c r="AG78" s="1176" t="e">
        <f t="shared" si="43"/>
        <v>#REF!</v>
      </c>
      <c r="AH78" s="1221" t="e">
        <f t="shared" si="52"/>
        <v>#REF!</v>
      </c>
    </row>
    <row r="79" spans="1:34" ht="15.5">
      <c r="A79" s="1216" t="b">
        <f t="shared" si="31"/>
        <v>1</v>
      </c>
      <c r="B79" s="1217" t="b">
        <f t="shared" si="44"/>
        <v>1</v>
      </c>
      <c r="C79" s="1218" t="str">
        <f t="shared" si="45"/>
        <v>Dólares</v>
      </c>
      <c r="D79" s="44"/>
      <c r="E79" s="836"/>
      <c r="F79" s="50"/>
      <c r="G79" s="50" t="str">
        <f t="shared" si="32"/>
        <v xml:space="preserve"> </v>
      </c>
      <c r="H79" s="45">
        <v>0</v>
      </c>
      <c r="I79" s="49" t="str">
        <f>IFERROR(VLOOKUP(G79,Proveedores!B:C,2,0)," ")</f>
        <v xml:space="preserve"> </v>
      </c>
      <c r="J79" s="838">
        <v>0</v>
      </c>
      <c r="K79" s="1124" t="e">
        <f>#REF!</f>
        <v>#REF!</v>
      </c>
      <c r="L79" s="1266" t="e">
        <f t="shared" si="33"/>
        <v>#REF!</v>
      </c>
      <c r="M79" s="1267">
        <f t="shared" si="34"/>
        <v>0</v>
      </c>
      <c r="N79" s="1268">
        <f t="shared" si="53"/>
        <v>0</v>
      </c>
      <c r="O79" s="836" t="str">
        <f>IFERROR(VLOOKUP(G79,Proveedores!B:D,3,0)," ")</f>
        <v xml:space="preserve"> </v>
      </c>
      <c r="P79" s="836"/>
      <c r="Q79" s="1127" t="e">
        <f t="shared" si="35"/>
        <v>#N/A</v>
      </c>
      <c r="R79" s="1127" t="b">
        <f t="shared" si="46"/>
        <v>0</v>
      </c>
      <c r="S79" s="1127" t="e">
        <f t="shared" si="36"/>
        <v>#N/A</v>
      </c>
      <c r="T79" s="1127" t="b">
        <f t="shared" si="47"/>
        <v>0</v>
      </c>
      <c r="U79" s="1127" t="e">
        <f t="shared" si="37"/>
        <v>#N/A</v>
      </c>
      <c r="V79" s="1127" t="e">
        <f t="shared" si="48"/>
        <v>#REF!</v>
      </c>
      <c r="W79" s="1127" t="e">
        <f>IF(F79="Offiho",J79,IF(_xlfn.XLOOKUP(F79,Proveedores!A$2:A$50,Proveedores!E$2:E$50,"")="Nacional",(J79/0.5)+(V79*H79),((J79/0.3/0.5)+(V79*H79))))</f>
        <v>#REF!</v>
      </c>
      <c r="X79" s="1127" t="e">
        <f t="shared" si="38"/>
        <v>#REF!</v>
      </c>
      <c r="Y79" s="1126" t="b">
        <f t="shared" si="39"/>
        <v>0</v>
      </c>
      <c r="Z79" s="43">
        <v>0</v>
      </c>
      <c r="AA79" s="1219" t="e">
        <f t="shared" si="49"/>
        <v>#REF!</v>
      </c>
      <c r="AB79" s="1219" t="e">
        <f t="shared" si="50"/>
        <v>#REF!</v>
      </c>
      <c r="AC79" s="1219" t="e">
        <f t="shared" si="40"/>
        <v>#REF!</v>
      </c>
      <c r="AD79" s="1126" t="e">
        <f t="shared" si="51"/>
        <v>#REF!</v>
      </c>
      <c r="AE79" s="1217" t="e">
        <f t="shared" si="41"/>
        <v>#REF!</v>
      </c>
      <c r="AF79" s="1220" t="e">
        <f t="shared" si="42"/>
        <v>#REF!</v>
      </c>
      <c r="AG79" s="1176" t="e">
        <f t="shared" si="43"/>
        <v>#REF!</v>
      </c>
      <c r="AH79" s="1221" t="e">
        <f t="shared" si="52"/>
        <v>#REF!</v>
      </c>
    </row>
    <row r="80" spans="1:34" ht="15.5">
      <c r="A80" s="1216" t="b">
        <f t="shared" si="31"/>
        <v>1</v>
      </c>
      <c r="B80" s="1217" t="b">
        <f t="shared" si="44"/>
        <v>1</v>
      </c>
      <c r="C80" s="1218" t="str">
        <f t="shared" si="45"/>
        <v>Dólares</v>
      </c>
      <c r="D80" s="44"/>
      <c r="E80" s="836"/>
      <c r="F80" s="50"/>
      <c r="G80" s="50" t="str">
        <f t="shared" si="32"/>
        <v xml:space="preserve"> </v>
      </c>
      <c r="H80" s="45">
        <v>0</v>
      </c>
      <c r="I80" s="49" t="str">
        <f>IFERROR(VLOOKUP(G80,Proveedores!B:C,2,0)," ")</f>
        <v xml:space="preserve"> </v>
      </c>
      <c r="J80" s="838">
        <v>0</v>
      </c>
      <c r="K80" s="1124" t="e">
        <f>#REF!</f>
        <v>#REF!</v>
      </c>
      <c r="L80" s="1266" t="e">
        <f t="shared" si="33"/>
        <v>#REF!</v>
      </c>
      <c r="M80" s="1267">
        <f t="shared" si="34"/>
        <v>0</v>
      </c>
      <c r="N80" s="1268">
        <f t="shared" si="53"/>
        <v>0</v>
      </c>
      <c r="O80" s="836" t="str">
        <f>IFERROR(VLOOKUP(G80,Proveedores!B:D,3,0)," ")</f>
        <v xml:space="preserve"> </v>
      </c>
      <c r="P80" s="836"/>
      <c r="Q80" s="1127" t="e">
        <f t="shared" si="35"/>
        <v>#N/A</v>
      </c>
      <c r="R80" s="1127" t="b">
        <f t="shared" si="46"/>
        <v>0</v>
      </c>
      <c r="S80" s="1127" t="e">
        <f t="shared" si="36"/>
        <v>#N/A</v>
      </c>
      <c r="T80" s="1127" t="b">
        <f t="shared" si="47"/>
        <v>0</v>
      </c>
      <c r="U80" s="1127" t="e">
        <f t="shared" si="37"/>
        <v>#N/A</v>
      </c>
      <c r="V80" s="1127" t="e">
        <f t="shared" si="48"/>
        <v>#REF!</v>
      </c>
      <c r="W80" s="1127" t="e">
        <f>IF(F80="Offiho",J80,IF(_xlfn.XLOOKUP(F80,Proveedores!A$2:A$50,Proveedores!E$2:E$50,"")="Nacional",(J80/0.5)+(V80*H80),((J80/0.3/0.5)+(V80*H80))))</f>
        <v>#REF!</v>
      </c>
      <c r="X80" s="1127" t="e">
        <f t="shared" si="38"/>
        <v>#REF!</v>
      </c>
      <c r="Y80" s="1126" t="b">
        <f t="shared" si="39"/>
        <v>0</v>
      </c>
      <c r="Z80" s="43">
        <v>0</v>
      </c>
      <c r="AA80" s="1219" t="e">
        <f t="shared" si="49"/>
        <v>#REF!</v>
      </c>
      <c r="AB80" s="1219" t="e">
        <f t="shared" si="50"/>
        <v>#REF!</v>
      </c>
      <c r="AC80" s="1219" t="e">
        <f t="shared" si="40"/>
        <v>#REF!</v>
      </c>
      <c r="AD80" s="1126" t="e">
        <f t="shared" si="51"/>
        <v>#REF!</v>
      </c>
      <c r="AE80" s="1217" t="e">
        <f t="shared" si="41"/>
        <v>#REF!</v>
      </c>
      <c r="AF80" s="1220" t="e">
        <f t="shared" si="42"/>
        <v>#REF!</v>
      </c>
      <c r="AG80" s="1176" t="e">
        <f t="shared" si="43"/>
        <v>#REF!</v>
      </c>
      <c r="AH80" s="1221" t="e">
        <f t="shared" si="52"/>
        <v>#REF!</v>
      </c>
    </row>
    <row r="81" spans="1:34" ht="15.5">
      <c r="A81" s="1216" t="b">
        <f t="shared" si="31"/>
        <v>1</v>
      </c>
      <c r="B81" s="1217" t="b">
        <f t="shared" si="44"/>
        <v>1</v>
      </c>
      <c r="C81" s="1218" t="str">
        <f t="shared" si="45"/>
        <v>Dólares</v>
      </c>
      <c r="D81" s="44"/>
      <c r="E81" s="836"/>
      <c r="F81" s="50"/>
      <c r="G81" s="50" t="str">
        <f t="shared" si="32"/>
        <v xml:space="preserve"> </v>
      </c>
      <c r="H81" s="45">
        <v>0</v>
      </c>
      <c r="I81" s="49" t="str">
        <f>IFERROR(VLOOKUP(G81,Proveedores!B:C,2,0)," ")</f>
        <v xml:space="preserve"> </v>
      </c>
      <c r="J81" s="838">
        <v>0</v>
      </c>
      <c r="K81" s="1124">
        <v>0</v>
      </c>
      <c r="L81" s="1266">
        <f t="shared" si="33"/>
        <v>0</v>
      </c>
      <c r="M81" s="1267">
        <f t="shared" si="34"/>
        <v>0</v>
      </c>
      <c r="N81" s="1268">
        <f t="shared" si="53"/>
        <v>0</v>
      </c>
      <c r="O81" s="836" t="str">
        <f>IFERROR(VLOOKUP(G81,Proveedores!B:D,3,0)," ")</f>
        <v xml:space="preserve"> </v>
      </c>
      <c r="P81" s="836"/>
      <c r="Q81" s="1127" t="e">
        <f t="shared" si="35"/>
        <v>#N/A</v>
      </c>
      <c r="R81" s="1127" t="b">
        <f t="shared" si="46"/>
        <v>0</v>
      </c>
      <c r="S81" s="1127" t="e">
        <f t="shared" si="36"/>
        <v>#N/A</v>
      </c>
      <c r="T81" s="1127" t="b">
        <f t="shared" si="47"/>
        <v>0</v>
      </c>
      <c r="U81" s="1127" t="e">
        <f t="shared" si="37"/>
        <v>#N/A</v>
      </c>
      <c r="V81" s="1127" t="e">
        <f t="shared" si="48"/>
        <v>#N/A</v>
      </c>
      <c r="W81" s="1127" t="e">
        <f>IF(F81="Offiho",J81,IF(_xlfn.XLOOKUP(F81,Proveedores!A$2:A$50,Proveedores!E$2:E$50,"")="Nacional",(J81/0.5)+(V81*H81),((J81/0.3/0.5)+(V81*H81))))</f>
        <v>#N/A</v>
      </c>
      <c r="X81" s="1127" t="e">
        <f t="shared" si="38"/>
        <v>#N/A</v>
      </c>
      <c r="Y81" s="1126" t="b">
        <f t="shared" si="39"/>
        <v>0</v>
      </c>
      <c r="Z81" s="43">
        <v>0</v>
      </c>
      <c r="AA81" s="1219" t="e">
        <f t="shared" si="49"/>
        <v>#N/A</v>
      </c>
      <c r="AB81" s="1219" t="e">
        <f t="shared" si="50"/>
        <v>#N/A</v>
      </c>
      <c r="AC81" s="1219" t="e">
        <f t="shared" si="40"/>
        <v>#N/A</v>
      </c>
      <c r="AD81" s="1126" t="str">
        <f t="shared" si="51"/>
        <v>NA</v>
      </c>
      <c r="AE81" s="1217" t="e">
        <f t="shared" si="41"/>
        <v>#N/A</v>
      </c>
      <c r="AF81" s="1220" t="e">
        <f t="shared" si="42"/>
        <v>#N/A</v>
      </c>
      <c r="AG81" s="1176" t="e">
        <f t="shared" si="43"/>
        <v>#N/A</v>
      </c>
      <c r="AH81" s="1221" t="e">
        <f t="shared" si="52"/>
        <v>#N/A</v>
      </c>
    </row>
    <row r="82" spans="1:34" ht="24" customHeight="1">
      <c r="A82" s="1422" t="s">
        <v>118</v>
      </c>
      <c r="B82" s="1422"/>
      <c r="C82" s="1422"/>
      <c r="D82" s="1422"/>
      <c r="E82" s="1422"/>
      <c r="F82" s="1422"/>
      <c r="G82" s="1228"/>
      <c r="H82" s="1229" cm="1">
        <f t="array" ref="H82">SUM(IFERROR(H49:H81,0))</f>
        <v>0</v>
      </c>
      <c r="I82" s="1228"/>
      <c r="J82" s="1230"/>
      <c r="K82" s="1231"/>
      <c r="L82" s="1229" cm="1">
        <f t="array" ref="L82">SUM(IFERROR(L49:L81,0))</f>
        <v>0</v>
      </c>
      <c r="M82" s="1231"/>
      <c r="N82" s="1232" cm="1">
        <f t="array" ref="N82">SUM(IFERROR(N49:N81,0))</f>
        <v>0</v>
      </c>
      <c r="O82" s="1233" t="s">
        <v>116</v>
      </c>
      <c r="P82" s="1233"/>
      <c r="Q82" s="1233"/>
      <c r="R82" s="1233"/>
      <c r="S82" s="1233"/>
      <c r="T82" s="1233"/>
      <c r="U82" s="1233"/>
      <c r="V82" s="1233"/>
      <c r="W82" s="1231"/>
      <c r="X82" s="1232" cm="1">
        <f t="array" ref="X82">SUM(IFERROR(X49:X81,0))</f>
        <v>0</v>
      </c>
      <c r="Y82" s="1233" t="s">
        <v>116</v>
      </c>
      <c r="Z82" s="1233" t="s">
        <v>116</v>
      </c>
      <c r="AA82" s="1233"/>
      <c r="AB82" s="1233"/>
      <c r="AC82" s="1232" cm="1">
        <f t="array" ref="AC82">SUM(IFERROR(AC49:AC81,0))</f>
        <v>0</v>
      </c>
      <c r="AD82" s="1232"/>
      <c r="AE82" s="1232"/>
      <c r="AF82" s="1232" cm="1">
        <f t="array" ref="AF82">SUM(IFERROR(AF49:AF81,0))</f>
        <v>0</v>
      </c>
      <c r="AG82" s="1177">
        <f>IFERROR(1-(N82/AC82),0)</f>
        <v>0</v>
      </c>
      <c r="AH82"/>
    </row>
    <row r="83" spans="1:34" ht="26" customHeight="1">
      <c r="A83" s="1419" t="s">
        <v>119</v>
      </c>
      <c r="B83" s="1419"/>
      <c r="C83" s="1419"/>
      <c r="D83" s="1419"/>
      <c r="E83" s="1419"/>
      <c r="F83" s="1419"/>
      <c r="G83" s="1419"/>
      <c r="H83" s="1419"/>
      <c r="I83" s="1419"/>
      <c r="J83" s="1420"/>
      <c r="K83" s="1214"/>
      <c r="L83" s="1214"/>
      <c r="M83" s="1214"/>
      <c r="N83" s="1214"/>
      <c r="O83" s="1213"/>
      <c r="P83" s="1213"/>
      <c r="Q83" s="1213"/>
      <c r="R83" s="1213"/>
      <c r="S83" s="1213"/>
      <c r="T83" s="1213"/>
      <c r="U83" s="1213"/>
      <c r="V83" s="1213"/>
      <c r="W83" s="1213"/>
      <c r="X83" s="1213"/>
      <c r="Y83" s="1213"/>
      <c r="Z83" s="1213"/>
      <c r="AA83" s="1213"/>
      <c r="AB83" s="1213"/>
      <c r="AC83" s="1213"/>
      <c r="AD83" s="1213"/>
      <c r="AE83" s="1213"/>
      <c r="AF83" s="1213"/>
      <c r="AG83" s="1215"/>
      <c r="AH83"/>
    </row>
    <row r="84" spans="1:34" ht="15.5">
      <c r="A84" s="1216" t="b">
        <f t="shared" ref="A84:A116" si="54">$A$13</f>
        <v>1</v>
      </c>
      <c r="B84" s="1217" t="b">
        <f>A84</f>
        <v>1</v>
      </c>
      <c r="C84" s="1218" t="str">
        <f>$C$13</f>
        <v>Dólares</v>
      </c>
      <c r="D84" s="44"/>
      <c r="E84" s="836"/>
      <c r="F84" s="50"/>
      <c r="G84" s="50" t="str">
        <f t="shared" ref="G84:G116" si="55">IFERROR(VLOOKUP(F84,Tabla_Proveedores_1,2,0)," ")</f>
        <v xml:space="preserve"> </v>
      </c>
      <c r="H84" s="45">
        <v>0</v>
      </c>
      <c r="I84" s="49" t="str">
        <f>IFERROR(VLOOKUP(G84,Proveedores!B:C,2,0)," ")</f>
        <v xml:space="preserve"> </v>
      </c>
      <c r="J84" s="838">
        <v>0</v>
      </c>
      <c r="K84" s="1124"/>
      <c r="L84" s="1266">
        <f t="shared" ref="L84:L116" si="56">K84*H84</f>
        <v>0</v>
      </c>
      <c r="M84" s="1267">
        <f t="shared" ref="M84:M116" si="57">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Brasil"),J84,IFERROR(IF(K643&lt;=$AO$578,J84*2.14,IF(K643&lt;=$AN$579,J84*1.8,IF(K643&gt;$AN$580,J84*1.5))),J84))*1.1)</f>
        <v>0</v>
      </c>
      <c r="N84" s="1268">
        <f>M84*H84</f>
        <v>0</v>
      </c>
      <c r="O84" s="836" t="str">
        <f>IFERROR(VLOOKUP(G84,Proveedores!B:D,3,0)," ")</f>
        <v xml:space="preserve"> </v>
      </c>
      <c r="P84" s="836"/>
      <c r="Q84" s="1127" t="e">
        <f t="shared" ref="Q84:Q116" si="58">VLOOKUP(E84,Tabla_Fletes,3,FALSE)</f>
        <v>#N/A</v>
      </c>
      <c r="R84" s="1127" t="b">
        <f>IF(P84="Centro",Q84,IF(P84="Norte",Q84*1.6,IF(P84="Occidente",Q84*1.2,IF(P84="Sur",Q84*2))))</f>
        <v>0</v>
      </c>
      <c r="S84" s="1127" t="e">
        <f t="shared" ref="S84:S116" si="59">VLOOKUP(E84,Tabla_Instalacion,2,FALSE)</f>
        <v>#N/A</v>
      </c>
      <c r="T84" s="1127" t="b">
        <f>IF(P84="Centro",S84,IF(P84="Norte",S84*1.1,IF(P84="Occidente",S84*1.1,IF(P84="Sur",S84*1.1))))</f>
        <v>0</v>
      </c>
      <c r="U84" s="1127" t="e">
        <f t="shared" ref="U84:U116" si="60">IF(F84="Offiho",0,Q84+S84)</f>
        <v>#N/A</v>
      </c>
      <c r="V84" s="1127" t="e">
        <f>IF(K84=0,U84/$H$573,U84*(K84/L84))*H84</f>
        <v>#N/A</v>
      </c>
      <c r="W84" s="1127" t="e">
        <f>IF(F84="Offiho",J84,IF(_xlfn.XLOOKUP(F84,Proveedores!A$2:A$50,Proveedores!E$2:E$50,"")="Nacional",(J84/0.5)+(V84*H84),((J84/0.3/0.5)+(V84*H84))))</f>
        <v>#N/A</v>
      </c>
      <c r="X84" s="1127" t="e">
        <f t="shared" ref="X84:X116" si="61">W84*H84</f>
        <v>#N/A</v>
      </c>
      <c r="Y84" s="1126" t="b">
        <f t="shared" ref="Y84:Y116" si="62">IF(F84="Sunon Inc",$AJ$577,IF(F84="Alma - Exterior",$AJ$578,IF(F84="Yabo - Hotelería",$AJ$579,IF(F84="OSJ - Medical",$AJ$580,IF(F84="Seezo - Home",$AJ$581,IF(F84="A&amp;D - Home",$AJ$582,IF(F84="Encore Alfombras Hoteleria Asia",$AJ$583,IF(F84="Zhong Xian - Leds",$AJ$584,IF(F84="Tarkett Europa",$AJ$585,IF(F84="2tec2",$AJ$586,IF(F84="Balsan Europa",$AJ$587,IF(F84="Armstrong Pisos USA",$AJ$588,IF(F84="Tarkett USA",$AJ$589,IF(F84="Tarkett Brasil",$AJ$590,IF(F84="Tarkett MX",$AJ$591,IF(F84="Jome",$AJ$592,IF(F84="Offiho",$AJ$593,IF(F84="Lumbro",$AJ$594,IF(F84="Sunon Mty",$AJ$595,IF(F84="Conceptos Sofas",$AJ$596,IF(F84="Lauco Sofas",$AJ$597,IF(F84="CR Global - Mesas Ajustables",$AJ$598,IF(F84="Vandesk",$AJ$599,IF(F84="Mamparas Tela",$AJ$600,IF(F84="Mampara Cristales",$AJ$601,IF(F84="Herrajes",$AJ$602,IF(F84="MetalWork",$AJ$603,IF(F84="Requiez",$AJ$604,IF(F84="Labenze",$AJ$605,IF(F84="Infinity",$AJ$606,IF(F84="Proveedor Externo",$AJ$607)))))))))))))))))))))))))))))))</f>
        <v>0</v>
      </c>
      <c r="Z84" s="43">
        <v>0</v>
      </c>
      <c r="AA84" s="1219" t="e">
        <f>W84*Z84</f>
        <v>#N/A</v>
      </c>
      <c r="AB84" s="1219" t="e">
        <f>IF(Z84&gt;Y84,"ERROR",(W84-AA84))</f>
        <v>#N/A</v>
      </c>
      <c r="AC84" s="1219" t="e">
        <f t="shared" ref="AC84:AC116" si="63">AB84*H84</f>
        <v>#N/A</v>
      </c>
      <c r="AD84" s="1126" t="e">
        <f>IF(A85=TRUE,MAX(0,1-(AE84/W84)),"NA")</f>
        <v>#N/A</v>
      </c>
      <c r="AE84" s="1217" t="e">
        <f t="shared" ref="AE84:AE116" si="64">IF(A83=FALSE,"NO APLICA",AB84*1.2)</f>
        <v>#N/A</v>
      </c>
      <c r="AF84" s="1220" t="e">
        <f t="shared" ref="AF84:AF116" si="65">AE84*H84</f>
        <v>#N/A</v>
      </c>
      <c r="AG84" s="1176" t="e">
        <f t="shared" ref="AG84:AG116" si="66">(AC84-N84)/AC84</f>
        <v>#N/A</v>
      </c>
      <c r="AH84" s="1221" t="e">
        <f>IF(AG84&lt;30%,"ERROR","OK")</f>
        <v>#N/A</v>
      </c>
    </row>
    <row r="85" spans="1:34" ht="15.5">
      <c r="A85" s="1216" t="b">
        <f t="shared" si="54"/>
        <v>1</v>
      </c>
      <c r="B85" s="1217" t="b">
        <f t="shared" ref="B85:B116" si="67">A85</f>
        <v>1</v>
      </c>
      <c r="C85" s="1218" t="str">
        <f t="shared" ref="C85:C116" si="68">$C$13</f>
        <v>Dólares</v>
      </c>
      <c r="D85" s="44"/>
      <c r="E85" s="836"/>
      <c r="F85" s="50"/>
      <c r="G85" s="50" t="str">
        <f t="shared" si="55"/>
        <v xml:space="preserve"> </v>
      </c>
      <c r="H85" s="45">
        <v>0</v>
      </c>
      <c r="I85" s="49" t="str">
        <f>IFERROR(VLOOKUP(G85,Proveedores!B:C,2,0)," ")</f>
        <v xml:space="preserve"> </v>
      </c>
      <c r="J85" s="838">
        <v>0</v>
      </c>
      <c r="K85" s="1124"/>
      <c r="L85" s="1266">
        <f t="shared" si="56"/>
        <v>0</v>
      </c>
      <c r="M85" s="1267">
        <f t="shared" si="57"/>
        <v>0</v>
      </c>
      <c r="N85" s="1268">
        <f>M85*H85</f>
        <v>0</v>
      </c>
      <c r="O85" s="836" t="str">
        <f>IFERROR(VLOOKUP(G85,Proveedores!B:D,3,0)," ")</f>
        <v xml:space="preserve"> </v>
      </c>
      <c r="P85" s="836"/>
      <c r="Q85" s="1127" t="e">
        <f t="shared" si="58"/>
        <v>#N/A</v>
      </c>
      <c r="R85" s="1127" t="b">
        <f t="shared" ref="R85:R116" si="69">IF(P85="Centro",Q85,IF(P85="Norte",Q85*1.6,IF(P85="Occidente",Q85*1.2,IF(P85="Sur",Q85*2))))</f>
        <v>0</v>
      </c>
      <c r="S85" s="1127" t="e">
        <f t="shared" si="59"/>
        <v>#N/A</v>
      </c>
      <c r="T85" s="1127" t="b">
        <f t="shared" ref="T85:T116" si="70">IF(P85="Centro",S85,IF(P85="Norte",S85*1.1,IF(P85="Occidente",S85*1.1,IF(P85="Sur",S85*1.1))))</f>
        <v>0</v>
      </c>
      <c r="U85" s="1127" t="e">
        <f t="shared" si="60"/>
        <v>#N/A</v>
      </c>
      <c r="V85" s="1127" t="e">
        <f t="shared" ref="V85:V116" si="71">IF(K85=0,U85/$H$573,U85*(K85/L85))*H85</f>
        <v>#N/A</v>
      </c>
      <c r="W85" s="1127" t="e">
        <f>IF(F85="Offiho",J85,IF(_xlfn.XLOOKUP(F85,Proveedores!A$2:A$50,Proveedores!E$2:E$50,"")="Nacional",(J85/0.5)+(V85*H85),((J85/0.3/0.5)+(V85*H85))))</f>
        <v>#N/A</v>
      </c>
      <c r="X85" s="1127" t="e">
        <f t="shared" si="61"/>
        <v>#N/A</v>
      </c>
      <c r="Y85" s="1126" t="b">
        <f t="shared" si="62"/>
        <v>0</v>
      </c>
      <c r="Z85" s="43">
        <v>0</v>
      </c>
      <c r="AA85" s="1219" t="e">
        <f t="shared" ref="AA85:AA116" si="72">W85*Z85</f>
        <v>#N/A</v>
      </c>
      <c r="AB85" s="1219" t="e">
        <f t="shared" ref="AB85:AB116" si="73">IF(Z85&gt;Y85,"ERROR",(W85-AA85))</f>
        <v>#N/A</v>
      </c>
      <c r="AC85" s="1219" t="e">
        <f t="shared" si="63"/>
        <v>#N/A</v>
      </c>
      <c r="AD85" s="1126" t="e">
        <f t="shared" ref="AD85:AD116" si="74">IF(A86=TRUE,MAX(0,1-(AE85/W85)),"NA")</f>
        <v>#N/A</v>
      </c>
      <c r="AE85" s="1217" t="e">
        <f t="shared" si="64"/>
        <v>#N/A</v>
      </c>
      <c r="AF85" s="1220" t="e">
        <f t="shared" si="65"/>
        <v>#N/A</v>
      </c>
      <c r="AG85" s="1176" t="e">
        <f t="shared" si="66"/>
        <v>#N/A</v>
      </c>
      <c r="AH85" s="1221" t="e">
        <f t="shared" ref="AH85:AH116" si="75">IF(AG85&lt;30%,"ERROR","OK")</f>
        <v>#N/A</v>
      </c>
    </row>
    <row r="86" spans="1:34" ht="15.5">
      <c r="A86" s="1216" t="b">
        <f t="shared" si="54"/>
        <v>1</v>
      </c>
      <c r="B86" s="1217" t="b">
        <f t="shared" si="67"/>
        <v>1</v>
      </c>
      <c r="C86" s="1218" t="str">
        <f t="shared" si="68"/>
        <v>Dólares</v>
      </c>
      <c r="D86" s="44"/>
      <c r="E86" s="836"/>
      <c r="F86" s="50"/>
      <c r="G86" s="50" t="str">
        <f t="shared" si="55"/>
        <v xml:space="preserve"> </v>
      </c>
      <c r="H86" s="45">
        <v>0</v>
      </c>
      <c r="I86" s="49" t="str">
        <f>IFERROR(VLOOKUP(G86,Proveedores!B:C,2,0)," ")</f>
        <v xml:space="preserve"> </v>
      </c>
      <c r="J86" s="838">
        <v>0</v>
      </c>
      <c r="K86" s="1124"/>
      <c r="L86" s="1266">
        <f t="shared" si="56"/>
        <v>0</v>
      </c>
      <c r="M86" s="1267">
        <f t="shared" si="57"/>
        <v>0</v>
      </c>
      <c r="N86" s="1268">
        <f>(M86*H86)</f>
        <v>0</v>
      </c>
      <c r="O86" s="836" t="str">
        <f>IFERROR(VLOOKUP(G86,Proveedores!B:D,3,0)," ")</f>
        <v xml:space="preserve"> </v>
      </c>
      <c r="P86" s="836"/>
      <c r="Q86" s="1127" t="e">
        <f t="shared" si="58"/>
        <v>#N/A</v>
      </c>
      <c r="R86" s="1127" t="b">
        <f t="shared" si="69"/>
        <v>0</v>
      </c>
      <c r="S86" s="1127" t="e">
        <f t="shared" si="59"/>
        <v>#N/A</v>
      </c>
      <c r="T86" s="1127" t="b">
        <f t="shared" si="70"/>
        <v>0</v>
      </c>
      <c r="U86" s="1127" t="e">
        <f t="shared" si="60"/>
        <v>#N/A</v>
      </c>
      <c r="V86" s="1127" t="e">
        <f t="shared" si="71"/>
        <v>#N/A</v>
      </c>
      <c r="W86" s="1127" t="e">
        <f>IF(F86="Offiho",J86,IF(_xlfn.XLOOKUP(F86,Proveedores!A$2:A$50,Proveedores!E$2:E$50,"")="Nacional",(J86/0.5)+(V86*H86),((J86/0.3/0.5)+(V86*H86))))</f>
        <v>#N/A</v>
      </c>
      <c r="X86" s="1127" t="e">
        <f t="shared" si="61"/>
        <v>#N/A</v>
      </c>
      <c r="Y86" s="1126" t="b">
        <f t="shared" si="62"/>
        <v>0</v>
      </c>
      <c r="Z86" s="43">
        <v>0</v>
      </c>
      <c r="AA86" s="1219" t="e">
        <f t="shared" si="72"/>
        <v>#N/A</v>
      </c>
      <c r="AB86" s="1219" t="e">
        <f t="shared" si="73"/>
        <v>#N/A</v>
      </c>
      <c r="AC86" s="1219" t="e">
        <f t="shared" si="63"/>
        <v>#N/A</v>
      </c>
      <c r="AD86" s="1126" t="e">
        <f t="shared" si="74"/>
        <v>#N/A</v>
      </c>
      <c r="AE86" s="1217" t="e">
        <f t="shared" si="64"/>
        <v>#N/A</v>
      </c>
      <c r="AF86" s="1220" t="e">
        <f t="shared" si="65"/>
        <v>#N/A</v>
      </c>
      <c r="AG86" s="1176" t="e">
        <f t="shared" si="66"/>
        <v>#N/A</v>
      </c>
      <c r="AH86" s="1221" t="e">
        <f t="shared" si="75"/>
        <v>#N/A</v>
      </c>
    </row>
    <row r="87" spans="1:34" ht="15.5">
      <c r="A87" s="1216" t="b">
        <f t="shared" si="54"/>
        <v>1</v>
      </c>
      <c r="B87" s="1217" t="b">
        <f t="shared" si="67"/>
        <v>1</v>
      </c>
      <c r="C87" s="1218" t="str">
        <f t="shared" si="68"/>
        <v>Dólares</v>
      </c>
      <c r="D87" s="44"/>
      <c r="E87" s="836"/>
      <c r="F87" s="50"/>
      <c r="G87" s="50" t="str">
        <f t="shared" si="55"/>
        <v xml:space="preserve"> </v>
      </c>
      <c r="H87" s="45">
        <v>0</v>
      </c>
      <c r="I87" s="49" t="str">
        <f>IFERROR(VLOOKUP(G87,Proveedores!B:C,2,0)," ")</f>
        <v xml:space="preserve"> </v>
      </c>
      <c r="J87" s="838">
        <v>0</v>
      </c>
      <c r="K87" s="1124"/>
      <c r="L87" s="1266">
        <f t="shared" si="56"/>
        <v>0</v>
      </c>
      <c r="M87" s="1267">
        <f t="shared" si="57"/>
        <v>0</v>
      </c>
      <c r="N87" s="1268">
        <f t="shared" ref="N87:N116" si="76">M87*H87</f>
        <v>0</v>
      </c>
      <c r="O87" s="836" t="str">
        <f>IFERROR(VLOOKUP(G87,Proveedores!B:D,3,0)," ")</f>
        <v xml:space="preserve"> </v>
      </c>
      <c r="P87" s="836"/>
      <c r="Q87" s="1127" t="e">
        <f t="shared" si="58"/>
        <v>#N/A</v>
      </c>
      <c r="R87" s="1127" t="b">
        <f t="shared" si="69"/>
        <v>0</v>
      </c>
      <c r="S87" s="1127" t="e">
        <f t="shared" si="59"/>
        <v>#N/A</v>
      </c>
      <c r="T87" s="1127" t="b">
        <f t="shared" si="70"/>
        <v>0</v>
      </c>
      <c r="U87" s="1127" t="e">
        <f t="shared" si="60"/>
        <v>#N/A</v>
      </c>
      <c r="V87" s="1127" t="e">
        <f t="shared" si="71"/>
        <v>#N/A</v>
      </c>
      <c r="W87" s="1127" t="e">
        <f>IF(F87="Offiho",J87,IF(_xlfn.XLOOKUP(F87,Proveedores!A$2:A$50,Proveedores!E$2:E$50,"")="Nacional",(J87/0.5)+(V87*H87),((J87/0.3/0.5)+(V87*H87))))</f>
        <v>#N/A</v>
      </c>
      <c r="X87" s="1127" t="e">
        <f t="shared" si="61"/>
        <v>#N/A</v>
      </c>
      <c r="Y87" s="1126" t="b">
        <f t="shared" si="62"/>
        <v>0</v>
      </c>
      <c r="Z87" s="43">
        <v>0</v>
      </c>
      <c r="AA87" s="1219" t="e">
        <f t="shared" si="72"/>
        <v>#N/A</v>
      </c>
      <c r="AB87" s="1219" t="e">
        <f t="shared" si="73"/>
        <v>#N/A</v>
      </c>
      <c r="AC87" s="1219" t="e">
        <f t="shared" si="63"/>
        <v>#N/A</v>
      </c>
      <c r="AD87" s="1126" t="e">
        <f t="shared" si="74"/>
        <v>#N/A</v>
      </c>
      <c r="AE87" s="1217" t="e">
        <f t="shared" si="64"/>
        <v>#N/A</v>
      </c>
      <c r="AF87" s="1220" t="e">
        <f t="shared" si="65"/>
        <v>#N/A</v>
      </c>
      <c r="AG87" s="1176" t="e">
        <f t="shared" si="66"/>
        <v>#N/A</v>
      </c>
      <c r="AH87" s="1221" t="e">
        <f t="shared" si="75"/>
        <v>#N/A</v>
      </c>
    </row>
    <row r="88" spans="1:34" ht="15.5">
      <c r="A88" s="1216" t="b">
        <f t="shared" si="54"/>
        <v>1</v>
      </c>
      <c r="B88" s="1217" t="b">
        <f t="shared" si="67"/>
        <v>1</v>
      </c>
      <c r="C88" s="1218" t="str">
        <f t="shared" si="68"/>
        <v>Dólares</v>
      </c>
      <c r="D88" s="44"/>
      <c r="E88" s="836"/>
      <c r="F88" s="50"/>
      <c r="G88" s="50" t="str">
        <f t="shared" si="55"/>
        <v xml:space="preserve"> </v>
      </c>
      <c r="H88" s="45">
        <v>0</v>
      </c>
      <c r="I88" s="49" t="str">
        <f>IFERROR(VLOOKUP(G88,Proveedores!B:C,2,0)," ")</f>
        <v xml:space="preserve"> </v>
      </c>
      <c r="J88" s="838">
        <v>0</v>
      </c>
      <c r="K88" s="1124"/>
      <c r="L88" s="1266">
        <f t="shared" si="56"/>
        <v>0</v>
      </c>
      <c r="M88" s="1267">
        <f t="shared" si="57"/>
        <v>0</v>
      </c>
      <c r="N88" s="1268">
        <f t="shared" si="76"/>
        <v>0</v>
      </c>
      <c r="O88" s="836" t="str">
        <f>IFERROR(VLOOKUP(G88,Proveedores!B:D,3,0)," ")</f>
        <v xml:space="preserve"> </v>
      </c>
      <c r="P88" s="836"/>
      <c r="Q88" s="1127" t="e">
        <f t="shared" si="58"/>
        <v>#N/A</v>
      </c>
      <c r="R88" s="1127" t="b">
        <f t="shared" si="69"/>
        <v>0</v>
      </c>
      <c r="S88" s="1127" t="e">
        <f t="shared" si="59"/>
        <v>#N/A</v>
      </c>
      <c r="T88" s="1127" t="b">
        <f t="shared" si="70"/>
        <v>0</v>
      </c>
      <c r="U88" s="1127" t="e">
        <f t="shared" si="60"/>
        <v>#N/A</v>
      </c>
      <c r="V88" s="1127" t="e">
        <f t="shared" si="71"/>
        <v>#N/A</v>
      </c>
      <c r="W88" s="1127" t="e">
        <f>IF(F88="Offiho",J88,IF(_xlfn.XLOOKUP(F88,Proveedores!A$2:A$50,Proveedores!E$2:E$50,"")="Nacional",(J88/0.5)+(V88*H88),((J88/0.3/0.5)+(V88*H88))))</f>
        <v>#N/A</v>
      </c>
      <c r="X88" s="1127" t="e">
        <f t="shared" si="61"/>
        <v>#N/A</v>
      </c>
      <c r="Y88" s="1126" t="b">
        <f t="shared" si="62"/>
        <v>0</v>
      </c>
      <c r="Z88" s="43">
        <v>0</v>
      </c>
      <c r="AA88" s="1219" t="e">
        <f t="shared" si="72"/>
        <v>#N/A</v>
      </c>
      <c r="AB88" s="1219" t="e">
        <f t="shared" si="73"/>
        <v>#N/A</v>
      </c>
      <c r="AC88" s="1219" t="e">
        <f t="shared" si="63"/>
        <v>#N/A</v>
      </c>
      <c r="AD88" s="1126" t="e">
        <f t="shared" si="74"/>
        <v>#N/A</v>
      </c>
      <c r="AE88" s="1217" t="e">
        <f t="shared" si="64"/>
        <v>#N/A</v>
      </c>
      <c r="AF88" s="1220" t="e">
        <f t="shared" si="65"/>
        <v>#N/A</v>
      </c>
      <c r="AG88" s="1176" t="e">
        <f t="shared" si="66"/>
        <v>#N/A</v>
      </c>
      <c r="AH88" s="1221" t="e">
        <f t="shared" si="75"/>
        <v>#N/A</v>
      </c>
    </row>
    <row r="89" spans="1:34" ht="15.5">
      <c r="A89" s="1216" t="b">
        <f t="shared" si="54"/>
        <v>1</v>
      </c>
      <c r="B89" s="1217" t="b">
        <f t="shared" si="67"/>
        <v>1</v>
      </c>
      <c r="C89" s="1218" t="str">
        <f t="shared" si="68"/>
        <v>Dólares</v>
      </c>
      <c r="D89" s="44"/>
      <c r="E89" s="836"/>
      <c r="F89" s="50"/>
      <c r="G89" s="50" t="str">
        <f t="shared" si="55"/>
        <v xml:space="preserve"> </v>
      </c>
      <c r="H89" s="45">
        <v>0</v>
      </c>
      <c r="I89" s="49" t="str">
        <f>IFERROR(VLOOKUP(G89,Proveedores!B:C,2,0)," ")</f>
        <v xml:space="preserve"> </v>
      </c>
      <c r="J89" s="838">
        <v>0</v>
      </c>
      <c r="K89" s="1124"/>
      <c r="L89" s="1266">
        <f t="shared" si="56"/>
        <v>0</v>
      </c>
      <c r="M89" s="1267">
        <f t="shared" si="57"/>
        <v>0</v>
      </c>
      <c r="N89" s="1268">
        <f t="shared" si="76"/>
        <v>0</v>
      </c>
      <c r="O89" s="836" t="str">
        <f>IFERROR(VLOOKUP(G89,Proveedores!B:D,3,0)," ")</f>
        <v xml:space="preserve"> </v>
      </c>
      <c r="P89" s="836"/>
      <c r="Q89" s="1127" t="e">
        <f t="shared" si="58"/>
        <v>#N/A</v>
      </c>
      <c r="R89" s="1127" t="b">
        <f t="shared" si="69"/>
        <v>0</v>
      </c>
      <c r="S89" s="1127" t="e">
        <f t="shared" si="59"/>
        <v>#N/A</v>
      </c>
      <c r="T89" s="1127" t="b">
        <f t="shared" si="70"/>
        <v>0</v>
      </c>
      <c r="U89" s="1127" t="e">
        <f t="shared" si="60"/>
        <v>#N/A</v>
      </c>
      <c r="V89" s="1127" t="e">
        <f t="shared" si="71"/>
        <v>#N/A</v>
      </c>
      <c r="W89" s="1127" t="e">
        <f>IF(F89="Offiho",J89,IF(_xlfn.XLOOKUP(F89,Proveedores!A$2:A$50,Proveedores!E$2:E$50,"")="Nacional",(J89/0.5)+(V89*H89),((J89/0.3/0.5)+(V89*H89))))</f>
        <v>#N/A</v>
      </c>
      <c r="X89" s="1127" t="e">
        <f t="shared" si="61"/>
        <v>#N/A</v>
      </c>
      <c r="Y89" s="1126" t="b">
        <f t="shared" si="62"/>
        <v>0</v>
      </c>
      <c r="Z89" s="43">
        <v>0</v>
      </c>
      <c r="AA89" s="1219" t="e">
        <f t="shared" si="72"/>
        <v>#N/A</v>
      </c>
      <c r="AB89" s="1219" t="e">
        <f t="shared" si="73"/>
        <v>#N/A</v>
      </c>
      <c r="AC89" s="1219" t="e">
        <f t="shared" si="63"/>
        <v>#N/A</v>
      </c>
      <c r="AD89" s="1126" t="e">
        <f t="shared" si="74"/>
        <v>#N/A</v>
      </c>
      <c r="AE89" s="1217" t="e">
        <f t="shared" si="64"/>
        <v>#N/A</v>
      </c>
      <c r="AF89" s="1220" t="e">
        <f t="shared" si="65"/>
        <v>#N/A</v>
      </c>
      <c r="AG89" s="1176" t="e">
        <f t="shared" si="66"/>
        <v>#N/A</v>
      </c>
      <c r="AH89" s="1221" t="e">
        <f t="shared" si="75"/>
        <v>#N/A</v>
      </c>
    </row>
    <row r="90" spans="1:34" ht="15.5">
      <c r="A90" s="1216" t="b">
        <f t="shared" si="54"/>
        <v>1</v>
      </c>
      <c r="B90" s="1217" t="b">
        <f t="shared" si="67"/>
        <v>1</v>
      </c>
      <c r="C90" s="1218" t="str">
        <f t="shared" si="68"/>
        <v>Dólares</v>
      </c>
      <c r="D90" s="44"/>
      <c r="E90" s="836"/>
      <c r="F90" s="50"/>
      <c r="G90" s="50" t="str">
        <f t="shared" si="55"/>
        <v xml:space="preserve"> </v>
      </c>
      <c r="H90" s="45">
        <v>0</v>
      </c>
      <c r="I90" s="49" t="str">
        <f>IFERROR(VLOOKUP(G90,Proveedores!B:C,2,0)," ")</f>
        <v xml:space="preserve"> </v>
      </c>
      <c r="J90" s="838">
        <v>0</v>
      </c>
      <c r="K90" s="1124"/>
      <c r="L90" s="1266">
        <f t="shared" si="56"/>
        <v>0</v>
      </c>
      <c r="M90" s="1267">
        <f t="shared" si="57"/>
        <v>0</v>
      </c>
      <c r="N90" s="1268">
        <f t="shared" si="76"/>
        <v>0</v>
      </c>
      <c r="O90" s="836" t="str">
        <f>IFERROR(VLOOKUP(G90,Proveedores!B:D,3,0)," ")</f>
        <v xml:space="preserve"> </v>
      </c>
      <c r="P90" s="836"/>
      <c r="Q90" s="1127" t="e">
        <f t="shared" si="58"/>
        <v>#N/A</v>
      </c>
      <c r="R90" s="1127" t="b">
        <f t="shared" si="69"/>
        <v>0</v>
      </c>
      <c r="S90" s="1127" t="e">
        <f t="shared" si="59"/>
        <v>#N/A</v>
      </c>
      <c r="T90" s="1127" t="b">
        <f t="shared" si="70"/>
        <v>0</v>
      </c>
      <c r="U90" s="1127" t="e">
        <f t="shared" si="60"/>
        <v>#N/A</v>
      </c>
      <c r="V90" s="1127" t="e">
        <f t="shared" si="71"/>
        <v>#N/A</v>
      </c>
      <c r="W90" s="1127" t="e">
        <f>IF(F90="Offiho",J90,IF(_xlfn.XLOOKUP(F90,Proveedores!A$2:A$50,Proveedores!E$2:E$50,"")="Nacional",(J90/0.5)+(V90*H90),((J90/0.3/0.5)+(V90*H90))))</f>
        <v>#N/A</v>
      </c>
      <c r="X90" s="1127" t="e">
        <f t="shared" si="61"/>
        <v>#N/A</v>
      </c>
      <c r="Y90" s="1126" t="b">
        <f t="shared" si="62"/>
        <v>0</v>
      </c>
      <c r="Z90" s="43">
        <v>0</v>
      </c>
      <c r="AA90" s="1219" t="e">
        <f t="shared" si="72"/>
        <v>#N/A</v>
      </c>
      <c r="AB90" s="1219" t="e">
        <f t="shared" si="73"/>
        <v>#N/A</v>
      </c>
      <c r="AC90" s="1219" t="e">
        <f t="shared" si="63"/>
        <v>#N/A</v>
      </c>
      <c r="AD90" s="1126" t="e">
        <f t="shared" si="74"/>
        <v>#N/A</v>
      </c>
      <c r="AE90" s="1217" t="e">
        <f t="shared" si="64"/>
        <v>#N/A</v>
      </c>
      <c r="AF90" s="1220" t="e">
        <f t="shared" si="65"/>
        <v>#N/A</v>
      </c>
      <c r="AG90" s="1176" t="e">
        <f t="shared" si="66"/>
        <v>#N/A</v>
      </c>
      <c r="AH90" s="1221" t="e">
        <f t="shared" si="75"/>
        <v>#N/A</v>
      </c>
    </row>
    <row r="91" spans="1:34" ht="15.5">
      <c r="A91" s="1216" t="b">
        <f t="shared" si="54"/>
        <v>1</v>
      </c>
      <c r="B91" s="1217" t="b">
        <f t="shared" si="67"/>
        <v>1</v>
      </c>
      <c r="C91" s="1218" t="str">
        <f t="shared" si="68"/>
        <v>Dólares</v>
      </c>
      <c r="D91" s="44"/>
      <c r="E91" s="836"/>
      <c r="F91" s="50"/>
      <c r="G91" s="50" t="str">
        <f t="shared" si="55"/>
        <v xml:space="preserve"> </v>
      </c>
      <c r="H91" s="45">
        <v>0</v>
      </c>
      <c r="I91" s="49" t="str">
        <f>IFERROR(VLOOKUP(G91,Proveedores!B:C,2,0)," ")</f>
        <v xml:space="preserve"> </v>
      </c>
      <c r="J91" s="838">
        <v>0</v>
      </c>
      <c r="K91" s="1124"/>
      <c r="L91" s="1266">
        <f t="shared" si="56"/>
        <v>0</v>
      </c>
      <c r="M91" s="1267">
        <f t="shared" si="57"/>
        <v>0</v>
      </c>
      <c r="N91" s="1268">
        <f t="shared" si="76"/>
        <v>0</v>
      </c>
      <c r="O91" s="836" t="str">
        <f>IFERROR(VLOOKUP(G91,Proveedores!B:D,3,0)," ")</f>
        <v xml:space="preserve"> </v>
      </c>
      <c r="P91" s="836"/>
      <c r="Q91" s="1127" t="e">
        <f t="shared" si="58"/>
        <v>#N/A</v>
      </c>
      <c r="R91" s="1127" t="b">
        <f t="shared" si="69"/>
        <v>0</v>
      </c>
      <c r="S91" s="1127" t="e">
        <f t="shared" si="59"/>
        <v>#N/A</v>
      </c>
      <c r="T91" s="1127" t="b">
        <f t="shared" si="70"/>
        <v>0</v>
      </c>
      <c r="U91" s="1127" t="e">
        <f t="shared" si="60"/>
        <v>#N/A</v>
      </c>
      <c r="V91" s="1127" t="e">
        <f t="shared" si="71"/>
        <v>#N/A</v>
      </c>
      <c r="W91" s="1127" t="e">
        <f>IF(F91="Offiho",J91,IF(_xlfn.XLOOKUP(F91,Proveedores!A$2:A$50,Proveedores!E$2:E$50,"")="Nacional",(J91/0.5)+(V91*H91),((J91/0.3/0.5)+(V91*H91))))</f>
        <v>#N/A</v>
      </c>
      <c r="X91" s="1127" t="e">
        <f t="shared" si="61"/>
        <v>#N/A</v>
      </c>
      <c r="Y91" s="1126" t="b">
        <f t="shared" si="62"/>
        <v>0</v>
      </c>
      <c r="Z91" s="43">
        <v>0</v>
      </c>
      <c r="AA91" s="1219" t="e">
        <f t="shared" si="72"/>
        <v>#N/A</v>
      </c>
      <c r="AB91" s="1219" t="e">
        <f t="shared" si="73"/>
        <v>#N/A</v>
      </c>
      <c r="AC91" s="1219" t="e">
        <f t="shared" si="63"/>
        <v>#N/A</v>
      </c>
      <c r="AD91" s="1126" t="e">
        <f t="shared" si="74"/>
        <v>#N/A</v>
      </c>
      <c r="AE91" s="1217" t="e">
        <f t="shared" si="64"/>
        <v>#N/A</v>
      </c>
      <c r="AF91" s="1220" t="e">
        <f t="shared" si="65"/>
        <v>#N/A</v>
      </c>
      <c r="AG91" s="1176" t="e">
        <f t="shared" si="66"/>
        <v>#N/A</v>
      </c>
      <c r="AH91" s="1221" t="e">
        <f t="shared" si="75"/>
        <v>#N/A</v>
      </c>
    </row>
    <row r="92" spans="1:34" ht="15.5">
      <c r="A92" s="1216" t="b">
        <f t="shared" si="54"/>
        <v>1</v>
      </c>
      <c r="B92" s="1217" t="b">
        <f t="shared" si="67"/>
        <v>1</v>
      </c>
      <c r="C92" s="1218" t="str">
        <f t="shared" si="68"/>
        <v>Dólares</v>
      </c>
      <c r="D92" s="44"/>
      <c r="E92" s="836"/>
      <c r="F92" s="50"/>
      <c r="G92" s="50" t="str">
        <f t="shared" si="55"/>
        <v xml:space="preserve"> </v>
      </c>
      <c r="H92" s="45">
        <v>0</v>
      </c>
      <c r="I92" s="49" t="str">
        <f>IFERROR(VLOOKUP(G92,Proveedores!B:C,2,0)," ")</f>
        <v xml:space="preserve"> </v>
      </c>
      <c r="J92" s="838">
        <v>0</v>
      </c>
      <c r="K92" s="1124"/>
      <c r="L92" s="1266">
        <f t="shared" si="56"/>
        <v>0</v>
      </c>
      <c r="M92" s="1267">
        <f t="shared" si="57"/>
        <v>0</v>
      </c>
      <c r="N92" s="1268">
        <f t="shared" si="76"/>
        <v>0</v>
      </c>
      <c r="O92" s="836" t="str">
        <f>IFERROR(VLOOKUP(G92,Proveedores!B:D,3,0)," ")</f>
        <v xml:space="preserve"> </v>
      </c>
      <c r="P92" s="836"/>
      <c r="Q92" s="1127" t="e">
        <f t="shared" si="58"/>
        <v>#N/A</v>
      </c>
      <c r="R92" s="1127" t="b">
        <f t="shared" si="69"/>
        <v>0</v>
      </c>
      <c r="S92" s="1127" t="e">
        <f t="shared" si="59"/>
        <v>#N/A</v>
      </c>
      <c r="T92" s="1127" t="b">
        <f t="shared" si="70"/>
        <v>0</v>
      </c>
      <c r="U92" s="1127" t="e">
        <f t="shared" si="60"/>
        <v>#N/A</v>
      </c>
      <c r="V92" s="1127" t="e">
        <f t="shared" si="71"/>
        <v>#N/A</v>
      </c>
      <c r="W92" s="1127" t="e">
        <f>IF(F92="Offiho",J92,IF(_xlfn.XLOOKUP(F92,Proveedores!A$2:A$50,Proveedores!E$2:E$50,"")="Nacional",(J92/0.5)+(V92*H92),((J92/0.3/0.5)+(V92*H92))))</f>
        <v>#N/A</v>
      </c>
      <c r="X92" s="1127" t="e">
        <f t="shared" si="61"/>
        <v>#N/A</v>
      </c>
      <c r="Y92" s="1126" t="b">
        <f t="shared" si="62"/>
        <v>0</v>
      </c>
      <c r="Z92" s="43">
        <v>0</v>
      </c>
      <c r="AA92" s="1219" t="e">
        <f t="shared" si="72"/>
        <v>#N/A</v>
      </c>
      <c r="AB92" s="1219" t="e">
        <f t="shared" si="73"/>
        <v>#N/A</v>
      </c>
      <c r="AC92" s="1219" t="e">
        <f t="shared" si="63"/>
        <v>#N/A</v>
      </c>
      <c r="AD92" s="1126" t="e">
        <f t="shared" si="74"/>
        <v>#N/A</v>
      </c>
      <c r="AE92" s="1217" t="e">
        <f t="shared" si="64"/>
        <v>#N/A</v>
      </c>
      <c r="AF92" s="1220" t="e">
        <f t="shared" si="65"/>
        <v>#N/A</v>
      </c>
      <c r="AG92" s="1176" t="e">
        <f t="shared" si="66"/>
        <v>#N/A</v>
      </c>
      <c r="AH92" s="1221" t="e">
        <f t="shared" si="75"/>
        <v>#N/A</v>
      </c>
    </row>
    <row r="93" spans="1:34" ht="15.5">
      <c r="A93" s="1216" t="b">
        <f t="shared" si="54"/>
        <v>1</v>
      </c>
      <c r="B93" s="1217" t="b">
        <f t="shared" si="67"/>
        <v>1</v>
      </c>
      <c r="C93" s="1218" t="str">
        <f t="shared" si="68"/>
        <v>Dólares</v>
      </c>
      <c r="D93" s="44"/>
      <c r="E93" s="836"/>
      <c r="F93" s="50"/>
      <c r="G93" s="50" t="str">
        <f t="shared" si="55"/>
        <v xml:space="preserve"> </v>
      </c>
      <c r="H93" s="45">
        <v>0</v>
      </c>
      <c r="I93" s="49" t="str">
        <f>IFERROR(VLOOKUP(G93,Proveedores!B:C,2,0)," ")</f>
        <v xml:space="preserve"> </v>
      </c>
      <c r="J93" s="838">
        <v>0</v>
      </c>
      <c r="K93" s="1124"/>
      <c r="L93" s="1266">
        <f t="shared" si="56"/>
        <v>0</v>
      </c>
      <c r="M93" s="1267">
        <f t="shared" si="57"/>
        <v>0</v>
      </c>
      <c r="N93" s="1268">
        <f t="shared" si="76"/>
        <v>0</v>
      </c>
      <c r="O93" s="836" t="str">
        <f>IFERROR(VLOOKUP(G93,Proveedores!B:D,3,0)," ")</f>
        <v xml:space="preserve"> </v>
      </c>
      <c r="P93" s="836"/>
      <c r="Q93" s="1127" t="e">
        <f t="shared" si="58"/>
        <v>#N/A</v>
      </c>
      <c r="R93" s="1127" t="b">
        <f t="shared" si="69"/>
        <v>0</v>
      </c>
      <c r="S93" s="1127" t="e">
        <f t="shared" si="59"/>
        <v>#N/A</v>
      </c>
      <c r="T93" s="1127" t="b">
        <f t="shared" si="70"/>
        <v>0</v>
      </c>
      <c r="U93" s="1127" t="e">
        <f t="shared" si="60"/>
        <v>#N/A</v>
      </c>
      <c r="V93" s="1127" t="e">
        <f t="shared" si="71"/>
        <v>#N/A</v>
      </c>
      <c r="W93" s="1127" t="e">
        <f>IF(F93="Offiho",J93,IF(_xlfn.XLOOKUP(F93,Proveedores!A$2:A$50,Proveedores!E$2:E$50,"")="Nacional",(J93/0.5)+(V93*H93),((J93/0.3/0.5)+(V93*H93))))</f>
        <v>#N/A</v>
      </c>
      <c r="X93" s="1127" t="e">
        <f t="shared" si="61"/>
        <v>#N/A</v>
      </c>
      <c r="Y93" s="1126" t="b">
        <f t="shared" si="62"/>
        <v>0</v>
      </c>
      <c r="Z93" s="43">
        <v>0</v>
      </c>
      <c r="AA93" s="1219" t="e">
        <f t="shared" si="72"/>
        <v>#N/A</v>
      </c>
      <c r="AB93" s="1219" t="e">
        <f t="shared" si="73"/>
        <v>#N/A</v>
      </c>
      <c r="AC93" s="1219" t="e">
        <f t="shared" si="63"/>
        <v>#N/A</v>
      </c>
      <c r="AD93" s="1126" t="e">
        <f t="shared" si="74"/>
        <v>#N/A</v>
      </c>
      <c r="AE93" s="1217" t="e">
        <f t="shared" si="64"/>
        <v>#N/A</v>
      </c>
      <c r="AF93" s="1220" t="e">
        <f t="shared" si="65"/>
        <v>#N/A</v>
      </c>
      <c r="AG93" s="1176" t="e">
        <f t="shared" si="66"/>
        <v>#N/A</v>
      </c>
      <c r="AH93" s="1221" t="e">
        <f t="shared" si="75"/>
        <v>#N/A</v>
      </c>
    </row>
    <row r="94" spans="1:34" ht="15.5">
      <c r="A94" s="1216" t="b">
        <f t="shared" si="54"/>
        <v>1</v>
      </c>
      <c r="B94" s="1217" t="b">
        <f t="shared" si="67"/>
        <v>1</v>
      </c>
      <c r="C94" s="1218" t="str">
        <f t="shared" si="68"/>
        <v>Dólares</v>
      </c>
      <c r="D94" s="46"/>
      <c r="E94" s="836"/>
      <c r="F94" s="50"/>
      <c r="G94" s="50" t="str">
        <f t="shared" si="55"/>
        <v xml:space="preserve"> </v>
      </c>
      <c r="H94" s="45">
        <v>0</v>
      </c>
      <c r="I94" s="49" t="str">
        <f>IFERROR(VLOOKUP(G94,Proveedores!B:C,2,0)," ")</f>
        <v xml:space="preserve"> </v>
      </c>
      <c r="J94" s="838">
        <v>0</v>
      </c>
      <c r="K94" s="1124"/>
      <c r="L94" s="1266">
        <f t="shared" si="56"/>
        <v>0</v>
      </c>
      <c r="M94" s="1267">
        <f t="shared" si="57"/>
        <v>0</v>
      </c>
      <c r="N94" s="1268">
        <f t="shared" si="76"/>
        <v>0</v>
      </c>
      <c r="O94" s="836" t="str">
        <f>IFERROR(VLOOKUP(G94,Proveedores!B:D,3,0)," ")</f>
        <v xml:space="preserve"> </v>
      </c>
      <c r="P94" s="836"/>
      <c r="Q94" s="1127" t="e">
        <f t="shared" si="58"/>
        <v>#N/A</v>
      </c>
      <c r="R94" s="1127" t="b">
        <f t="shared" si="69"/>
        <v>0</v>
      </c>
      <c r="S94" s="1127" t="e">
        <f t="shared" si="59"/>
        <v>#N/A</v>
      </c>
      <c r="T94" s="1127" t="b">
        <f t="shared" si="70"/>
        <v>0</v>
      </c>
      <c r="U94" s="1127" t="e">
        <f t="shared" si="60"/>
        <v>#N/A</v>
      </c>
      <c r="V94" s="1127" t="e">
        <f t="shared" si="71"/>
        <v>#N/A</v>
      </c>
      <c r="W94" s="1127" t="e">
        <f>IF(F94="Offiho",J94,IF(_xlfn.XLOOKUP(F94,Proveedores!A$2:A$50,Proveedores!E$2:E$50,"")="Nacional",(J94/0.5)+(V94*H94),((J94/0.3/0.5)+(V94*H94))))</f>
        <v>#N/A</v>
      </c>
      <c r="X94" s="1127" t="e">
        <f t="shared" si="61"/>
        <v>#N/A</v>
      </c>
      <c r="Y94" s="1126" t="b">
        <f t="shared" si="62"/>
        <v>0</v>
      </c>
      <c r="Z94" s="43">
        <v>0</v>
      </c>
      <c r="AA94" s="1219" t="e">
        <f t="shared" si="72"/>
        <v>#N/A</v>
      </c>
      <c r="AB94" s="1219" t="e">
        <f t="shared" si="73"/>
        <v>#N/A</v>
      </c>
      <c r="AC94" s="1219" t="e">
        <f t="shared" si="63"/>
        <v>#N/A</v>
      </c>
      <c r="AD94" s="1126" t="e">
        <f t="shared" si="74"/>
        <v>#N/A</v>
      </c>
      <c r="AE94" s="1217" t="e">
        <f t="shared" si="64"/>
        <v>#N/A</v>
      </c>
      <c r="AF94" s="1220" t="e">
        <f t="shared" si="65"/>
        <v>#N/A</v>
      </c>
      <c r="AG94" s="1176" t="e">
        <f t="shared" si="66"/>
        <v>#N/A</v>
      </c>
      <c r="AH94" s="1221" t="e">
        <f t="shared" si="75"/>
        <v>#N/A</v>
      </c>
    </row>
    <row r="95" spans="1:34" ht="15.5">
      <c r="A95" s="1216" t="b">
        <f t="shared" si="54"/>
        <v>1</v>
      </c>
      <c r="B95" s="1217" t="b">
        <f t="shared" si="67"/>
        <v>1</v>
      </c>
      <c r="C95" s="1218" t="str">
        <f t="shared" si="68"/>
        <v>Dólares</v>
      </c>
      <c r="D95" s="46"/>
      <c r="E95" s="836"/>
      <c r="F95" s="50"/>
      <c r="G95" s="50" t="str">
        <f t="shared" si="55"/>
        <v xml:space="preserve"> </v>
      </c>
      <c r="H95" s="45">
        <v>0</v>
      </c>
      <c r="I95" s="49" t="str">
        <f>IFERROR(VLOOKUP(G95,Proveedores!B:C,2,0)," ")</f>
        <v xml:space="preserve"> </v>
      </c>
      <c r="J95" s="838">
        <v>0</v>
      </c>
      <c r="K95" s="1124"/>
      <c r="L95" s="1266">
        <f t="shared" si="56"/>
        <v>0</v>
      </c>
      <c r="M95" s="1267">
        <f t="shared" si="57"/>
        <v>0</v>
      </c>
      <c r="N95" s="1268">
        <f t="shared" si="76"/>
        <v>0</v>
      </c>
      <c r="O95" s="836" t="str">
        <f>IFERROR(VLOOKUP(G95,Proveedores!B:D,3,0)," ")</f>
        <v xml:space="preserve"> </v>
      </c>
      <c r="P95" s="836"/>
      <c r="Q95" s="1127" t="e">
        <f t="shared" si="58"/>
        <v>#N/A</v>
      </c>
      <c r="R95" s="1127" t="b">
        <f t="shared" si="69"/>
        <v>0</v>
      </c>
      <c r="S95" s="1127" t="e">
        <f t="shared" si="59"/>
        <v>#N/A</v>
      </c>
      <c r="T95" s="1127" t="b">
        <f t="shared" si="70"/>
        <v>0</v>
      </c>
      <c r="U95" s="1127" t="e">
        <f t="shared" si="60"/>
        <v>#N/A</v>
      </c>
      <c r="V95" s="1127" t="e">
        <f t="shared" si="71"/>
        <v>#N/A</v>
      </c>
      <c r="W95" s="1127" t="e">
        <f>IF(F95="Offiho",J95,IF(_xlfn.XLOOKUP(F95,Proveedores!A$2:A$50,Proveedores!E$2:E$50,"")="Nacional",(J95/0.5)+(V95*H95),((J95/0.3/0.5)+(V95*H95))))</f>
        <v>#N/A</v>
      </c>
      <c r="X95" s="1127" t="e">
        <f t="shared" si="61"/>
        <v>#N/A</v>
      </c>
      <c r="Y95" s="1126" t="b">
        <f t="shared" si="62"/>
        <v>0</v>
      </c>
      <c r="Z95" s="43">
        <v>0</v>
      </c>
      <c r="AA95" s="1219" t="e">
        <f t="shared" si="72"/>
        <v>#N/A</v>
      </c>
      <c r="AB95" s="1219" t="e">
        <f t="shared" si="73"/>
        <v>#N/A</v>
      </c>
      <c r="AC95" s="1219" t="e">
        <f t="shared" si="63"/>
        <v>#N/A</v>
      </c>
      <c r="AD95" s="1126" t="e">
        <f t="shared" si="74"/>
        <v>#N/A</v>
      </c>
      <c r="AE95" s="1217" t="e">
        <f t="shared" si="64"/>
        <v>#N/A</v>
      </c>
      <c r="AF95" s="1220" t="e">
        <f t="shared" si="65"/>
        <v>#N/A</v>
      </c>
      <c r="AG95" s="1176" t="e">
        <f t="shared" si="66"/>
        <v>#N/A</v>
      </c>
      <c r="AH95" s="1221" t="e">
        <f t="shared" si="75"/>
        <v>#N/A</v>
      </c>
    </row>
    <row r="96" spans="1:34" ht="15.5">
      <c r="A96" s="1216" t="b">
        <f t="shared" si="54"/>
        <v>1</v>
      </c>
      <c r="B96" s="1217" t="b">
        <f t="shared" si="67"/>
        <v>1</v>
      </c>
      <c r="C96" s="1218" t="str">
        <f t="shared" si="68"/>
        <v>Dólares</v>
      </c>
      <c r="D96" s="46"/>
      <c r="E96" s="836"/>
      <c r="F96" s="50"/>
      <c r="G96" s="50" t="str">
        <f t="shared" si="55"/>
        <v xml:space="preserve"> </v>
      </c>
      <c r="H96" s="45">
        <v>0</v>
      </c>
      <c r="I96" s="49" t="str">
        <f>IFERROR(VLOOKUP(G96,Proveedores!B:C,2,0)," ")</f>
        <v xml:space="preserve"> </v>
      </c>
      <c r="J96" s="838">
        <v>0</v>
      </c>
      <c r="K96" s="1124"/>
      <c r="L96" s="1266">
        <f t="shared" si="56"/>
        <v>0</v>
      </c>
      <c r="M96" s="1267">
        <f t="shared" si="57"/>
        <v>0</v>
      </c>
      <c r="N96" s="1268">
        <f t="shared" si="76"/>
        <v>0</v>
      </c>
      <c r="O96" s="836" t="str">
        <f>IFERROR(VLOOKUP(G96,Proveedores!B:D,3,0)," ")</f>
        <v xml:space="preserve"> </v>
      </c>
      <c r="P96" s="836"/>
      <c r="Q96" s="1127" t="e">
        <f t="shared" si="58"/>
        <v>#N/A</v>
      </c>
      <c r="R96" s="1127" t="b">
        <f t="shared" si="69"/>
        <v>0</v>
      </c>
      <c r="S96" s="1127" t="e">
        <f t="shared" si="59"/>
        <v>#N/A</v>
      </c>
      <c r="T96" s="1127" t="b">
        <f t="shared" si="70"/>
        <v>0</v>
      </c>
      <c r="U96" s="1127" t="e">
        <f t="shared" si="60"/>
        <v>#N/A</v>
      </c>
      <c r="V96" s="1127" t="e">
        <f t="shared" si="71"/>
        <v>#N/A</v>
      </c>
      <c r="W96" s="1127" t="e">
        <f>IF(F96="Offiho",J96,IF(_xlfn.XLOOKUP(F96,Proveedores!A$2:A$50,Proveedores!E$2:E$50,"")="Nacional",(J96/0.5)+(V96*H96),((J96/0.3/0.5)+(V96*H96))))</f>
        <v>#N/A</v>
      </c>
      <c r="X96" s="1127" t="e">
        <f t="shared" si="61"/>
        <v>#N/A</v>
      </c>
      <c r="Y96" s="1126" t="b">
        <f t="shared" si="62"/>
        <v>0</v>
      </c>
      <c r="Z96" s="43">
        <v>0</v>
      </c>
      <c r="AA96" s="1219" t="e">
        <f t="shared" si="72"/>
        <v>#N/A</v>
      </c>
      <c r="AB96" s="1219" t="e">
        <f t="shared" si="73"/>
        <v>#N/A</v>
      </c>
      <c r="AC96" s="1219" t="e">
        <f t="shared" si="63"/>
        <v>#N/A</v>
      </c>
      <c r="AD96" s="1126" t="e">
        <f t="shared" si="74"/>
        <v>#N/A</v>
      </c>
      <c r="AE96" s="1217" t="e">
        <f t="shared" si="64"/>
        <v>#N/A</v>
      </c>
      <c r="AF96" s="1220" t="e">
        <f t="shared" si="65"/>
        <v>#N/A</v>
      </c>
      <c r="AG96" s="1176" t="e">
        <f t="shared" si="66"/>
        <v>#N/A</v>
      </c>
      <c r="AH96" s="1221" t="e">
        <f t="shared" si="75"/>
        <v>#N/A</v>
      </c>
    </row>
    <row r="97" spans="1:34" ht="15.5">
      <c r="A97" s="1216" t="b">
        <f t="shared" si="54"/>
        <v>1</v>
      </c>
      <c r="B97" s="1217" t="b">
        <f t="shared" si="67"/>
        <v>1</v>
      </c>
      <c r="C97" s="1218" t="str">
        <f t="shared" si="68"/>
        <v>Dólares</v>
      </c>
      <c r="D97" s="46"/>
      <c r="E97" s="836"/>
      <c r="F97" s="50"/>
      <c r="G97" s="50" t="str">
        <f t="shared" si="55"/>
        <v xml:space="preserve"> </v>
      </c>
      <c r="H97" s="45">
        <v>0</v>
      </c>
      <c r="I97" s="49" t="str">
        <f>IFERROR(VLOOKUP(G97,Proveedores!B:C,2,0)," ")</f>
        <v xml:space="preserve"> </v>
      </c>
      <c r="J97" s="838">
        <v>0</v>
      </c>
      <c r="K97" s="1124"/>
      <c r="L97" s="1266">
        <f t="shared" si="56"/>
        <v>0</v>
      </c>
      <c r="M97" s="1267">
        <f t="shared" si="57"/>
        <v>0</v>
      </c>
      <c r="N97" s="1268">
        <f t="shared" si="76"/>
        <v>0</v>
      </c>
      <c r="O97" s="836" t="str">
        <f>IFERROR(VLOOKUP(G97,Proveedores!B:D,3,0)," ")</f>
        <v xml:space="preserve"> </v>
      </c>
      <c r="P97" s="836"/>
      <c r="Q97" s="1127" t="e">
        <f t="shared" si="58"/>
        <v>#N/A</v>
      </c>
      <c r="R97" s="1127" t="b">
        <f t="shared" si="69"/>
        <v>0</v>
      </c>
      <c r="S97" s="1127" t="e">
        <f t="shared" si="59"/>
        <v>#N/A</v>
      </c>
      <c r="T97" s="1127" t="b">
        <f t="shared" si="70"/>
        <v>0</v>
      </c>
      <c r="U97" s="1127" t="e">
        <f t="shared" si="60"/>
        <v>#N/A</v>
      </c>
      <c r="V97" s="1127" t="e">
        <f t="shared" si="71"/>
        <v>#N/A</v>
      </c>
      <c r="W97" s="1127" t="e">
        <f>IF(F97="Offiho",J97,IF(_xlfn.XLOOKUP(F97,Proveedores!A$2:A$50,Proveedores!E$2:E$50,"")="Nacional",(J97/0.5)+(V97*H97),((J97/0.3/0.5)+(V97*H97))))</f>
        <v>#N/A</v>
      </c>
      <c r="X97" s="1127" t="e">
        <f t="shared" si="61"/>
        <v>#N/A</v>
      </c>
      <c r="Y97" s="1126" t="b">
        <f t="shared" si="62"/>
        <v>0</v>
      </c>
      <c r="Z97" s="43">
        <v>0</v>
      </c>
      <c r="AA97" s="1219" t="e">
        <f t="shared" si="72"/>
        <v>#N/A</v>
      </c>
      <c r="AB97" s="1219" t="e">
        <f t="shared" si="73"/>
        <v>#N/A</v>
      </c>
      <c r="AC97" s="1219" t="e">
        <f t="shared" si="63"/>
        <v>#N/A</v>
      </c>
      <c r="AD97" s="1126" t="e">
        <f t="shared" si="74"/>
        <v>#N/A</v>
      </c>
      <c r="AE97" s="1217" t="e">
        <f t="shared" si="64"/>
        <v>#N/A</v>
      </c>
      <c r="AF97" s="1220" t="e">
        <f t="shared" si="65"/>
        <v>#N/A</v>
      </c>
      <c r="AG97" s="1176" t="e">
        <f t="shared" si="66"/>
        <v>#N/A</v>
      </c>
      <c r="AH97" s="1221" t="e">
        <f t="shared" si="75"/>
        <v>#N/A</v>
      </c>
    </row>
    <row r="98" spans="1:34" ht="15.5">
      <c r="A98" s="1216" t="b">
        <f t="shared" si="54"/>
        <v>1</v>
      </c>
      <c r="B98" s="1217" t="b">
        <f t="shared" si="67"/>
        <v>1</v>
      </c>
      <c r="C98" s="1218" t="str">
        <f t="shared" si="68"/>
        <v>Dólares</v>
      </c>
      <c r="D98" s="46"/>
      <c r="E98" s="836"/>
      <c r="F98" s="50"/>
      <c r="G98" s="50" t="str">
        <f t="shared" si="55"/>
        <v xml:space="preserve"> </v>
      </c>
      <c r="H98" s="45">
        <v>0</v>
      </c>
      <c r="I98" s="49" t="str">
        <f>IFERROR(VLOOKUP(G98,Proveedores!B:C,2,0)," ")</f>
        <v xml:space="preserve"> </v>
      </c>
      <c r="J98" s="838">
        <v>0</v>
      </c>
      <c r="K98" s="1124"/>
      <c r="L98" s="1266">
        <f t="shared" si="56"/>
        <v>0</v>
      </c>
      <c r="M98" s="1267">
        <f t="shared" si="57"/>
        <v>0</v>
      </c>
      <c r="N98" s="1268">
        <f t="shared" si="76"/>
        <v>0</v>
      </c>
      <c r="O98" s="836" t="str">
        <f>IFERROR(VLOOKUP(G98,Proveedores!B:D,3,0)," ")</f>
        <v xml:space="preserve"> </v>
      </c>
      <c r="P98" s="836"/>
      <c r="Q98" s="1127" t="e">
        <f t="shared" si="58"/>
        <v>#N/A</v>
      </c>
      <c r="R98" s="1127" t="b">
        <f t="shared" si="69"/>
        <v>0</v>
      </c>
      <c r="S98" s="1127" t="e">
        <f t="shared" si="59"/>
        <v>#N/A</v>
      </c>
      <c r="T98" s="1127" t="b">
        <f t="shared" si="70"/>
        <v>0</v>
      </c>
      <c r="U98" s="1127" t="e">
        <f t="shared" si="60"/>
        <v>#N/A</v>
      </c>
      <c r="V98" s="1127" t="e">
        <f t="shared" si="71"/>
        <v>#N/A</v>
      </c>
      <c r="W98" s="1127" t="e">
        <f>IF(F98="Offiho",J98,IF(_xlfn.XLOOKUP(F98,Proveedores!A$2:A$50,Proveedores!E$2:E$50,"")="Nacional",(J98/0.5)+(V98*H98),((J98/0.3/0.5)+(V98*H98))))</f>
        <v>#N/A</v>
      </c>
      <c r="X98" s="1127" t="e">
        <f t="shared" si="61"/>
        <v>#N/A</v>
      </c>
      <c r="Y98" s="1126" t="b">
        <f t="shared" si="62"/>
        <v>0</v>
      </c>
      <c r="Z98" s="43">
        <v>0</v>
      </c>
      <c r="AA98" s="1219" t="e">
        <f t="shared" si="72"/>
        <v>#N/A</v>
      </c>
      <c r="AB98" s="1219" t="e">
        <f t="shared" si="73"/>
        <v>#N/A</v>
      </c>
      <c r="AC98" s="1219" t="e">
        <f t="shared" si="63"/>
        <v>#N/A</v>
      </c>
      <c r="AD98" s="1126" t="e">
        <f t="shared" si="74"/>
        <v>#N/A</v>
      </c>
      <c r="AE98" s="1217" t="e">
        <f t="shared" si="64"/>
        <v>#N/A</v>
      </c>
      <c r="AF98" s="1220" t="e">
        <f t="shared" si="65"/>
        <v>#N/A</v>
      </c>
      <c r="AG98" s="1176" t="e">
        <f t="shared" si="66"/>
        <v>#N/A</v>
      </c>
      <c r="AH98" s="1221" t="e">
        <f t="shared" si="75"/>
        <v>#N/A</v>
      </c>
    </row>
    <row r="99" spans="1:34" ht="15.5">
      <c r="A99" s="1216" t="b">
        <f t="shared" si="54"/>
        <v>1</v>
      </c>
      <c r="B99" s="1217" t="b">
        <f t="shared" si="67"/>
        <v>1</v>
      </c>
      <c r="C99" s="1218" t="str">
        <f t="shared" si="68"/>
        <v>Dólares</v>
      </c>
      <c r="D99" s="46"/>
      <c r="E99" s="836"/>
      <c r="F99" s="50"/>
      <c r="G99" s="50" t="str">
        <f t="shared" si="55"/>
        <v xml:space="preserve"> </v>
      </c>
      <c r="H99" s="45">
        <v>0</v>
      </c>
      <c r="I99" s="49" t="str">
        <f>IFERROR(VLOOKUP(G99,Proveedores!B:C,2,0)," ")</f>
        <v xml:space="preserve"> </v>
      </c>
      <c r="J99" s="838">
        <v>0</v>
      </c>
      <c r="K99" s="1124"/>
      <c r="L99" s="1266">
        <f t="shared" si="56"/>
        <v>0</v>
      </c>
      <c r="M99" s="1267">
        <f t="shared" si="57"/>
        <v>0</v>
      </c>
      <c r="N99" s="1268">
        <f t="shared" si="76"/>
        <v>0</v>
      </c>
      <c r="O99" s="836" t="str">
        <f>IFERROR(VLOOKUP(G99,Proveedores!B:D,3,0)," ")</f>
        <v xml:space="preserve"> </v>
      </c>
      <c r="P99" s="836"/>
      <c r="Q99" s="1127" t="e">
        <f t="shared" si="58"/>
        <v>#N/A</v>
      </c>
      <c r="R99" s="1127" t="b">
        <f t="shared" si="69"/>
        <v>0</v>
      </c>
      <c r="S99" s="1127" t="e">
        <f t="shared" si="59"/>
        <v>#N/A</v>
      </c>
      <c r="T99" s="1127" t="b">
        <f t="shared" si="70"/>
        <v>0</v>
      </c>
      <c r="U99" s="1127" t="e">
        <f t="shared" si="60"/>
        <v>#N/A</v>
      </c>
      <c r="V99" s="1127" t="e">
        <f t="shared" si="71"/>
        <v>#N/A</v>
      </c>
      <c r="W99" s="1127" t="e">
        <f>IF(F99="Offiho",J99,IF(_xlfn.XLOOKUP(F99,Proveedores!A$2:A$50,Proveedores!E$2:E$50,"")="Nacional",(J99/0.5)+(V99*H99),((J99/0.3/0.5)+(V99*H99))))</f>
        <v>#N/A</v>
      </c>
      <c r="X99" s="1127" t="e">
        <f t="shared" si="61"/>
        <v>#N/A</v>
      </c>
      <c r="Y99" s="1126" t="b">
        <f t="shared" si="62"/>
        <v>0</v>
      </c>
      <c r="Z99" s="43">
        <v>0</v>
      </c>
      <c r="AA99" s="1219" t="e">
        <f t="shared" si="72"/>
        <v>#N/A</v>
      </c>
      <c r="AB99" s="1219" t="e">
        <f t="shared" si="73"/>
        <v>#N/A</v>
      </c>
      <c r="AC99" s="1219" t="e">
        <f t="shared" si="63"/>
        <v>#N/A</v>
      </c>
      <c r="AD99" s="1126" t="e">
        <f t="shared" si="74"/>
        <v>#N/A</v>
      </c>
      <c r="AE99" s="1217" t="e">
        <f t="shared" si="64"/>
        <v>#N/A</v>
      </c>
      <c r="AF99" s="1220" t="e">
        <f t="shared" si="65"/>
        <v>#N/A</v>
      </c>
      <c r="AG99" s="1176" t="e">
        <f t="shared" si="66"/>
        <v>#N/A</v>
      </c>
      <c r="AH99" s="1221" t="e">
        <f t="shared" si="75"/>
        <v>#N/A</v>
      </c>
    </row>
    <row r="100" spans="1:34" ht="15.5">
      <c r="A100" s="1216" t="b">
        <f t="shared" si="54"/>
        <v>1</v>
      </c>
      <c r="B100" s="1217" t="b">
        <f t="shared" si="67"/>
        <v>1</v>
      </c>
      <c r="C100" s="1218" t="str">
        <f t="shared" si="68"/>
        <v>Dólares</v>
      </c>
      <c r="D100" s="46"/>
      <c r="E100" s="836"/>
      <c r="F100" s="50"/>
      <c r="G100" s="50" t="str">
        <f t="shared" si="55"/>
        <v xml:space="preserve"> </v>
      </c>
      <c r="H100" s="45">
        <v>0</v>
      </c>
      <c r="I100" s="49" t="str">
        <f>IFERROR(VLOOKUP(G100,Proveedores!B:C,2,0)," ")</f>
        <v xml:space="preserve"> </v>
      </c>
      <c r="J100" s="838">
        <v>0</v>
      </c>
      <c r="K100" s="1124"/>
      <c r="L100" s="1266">
        <f t="shared" si="56"/>
        <v>0</v>
      </c>
      <c r="M100" s="1267">
        <f t="shared" si="57"/>
        <v>0</v>
      </c>
      <c r="N100" s="1268">
        <f t="shared" si="76"/>
        <v>0</v>
      </c>
      <c r="O100" s="836" t="str">
        <f>IFERROR(VLOOKUP(G100,Proveedores!B:D,3,0)," ")</f>
        <v xml:space="preserve"> </v>
      </c>
      <c r="P100" s="836"/>
      <c r="Q100" s="1127" t="e">
        <f t="shared" si="58"/>
        <v>#N/A</v>
      </c>
      <c r="R100" s="1127" t="b">
        <f t="shared" si="69"/>
        <v>0</v>
      </c>
      <c r="S100" s="1127" t="e">
        <f t="shared" si="59"/>
        <v>#N/A</v>
      </c>
      <c r="T100" s="1127" t="b">
        <f t="shared" si="70"/>
        <v>0</v>
      </c>
      <c r="U100" s="1127" t="e">
        <f t="shared" si="60"/>
        <v>#N/A</v>
      </c>
      <c r="V100" s="1127" t="e">
        <f t="shared" si="71"/>
        <v>#N/A</v>
      </c>
      <c r="W100" s="1127" t="e">
        <f>IF(F100="Offiho",J100,IF(_xlfn.XLOOKUP(F100,Proveedores!A$2:A$50,Proveedores!E$2:E$50,"")="Nacional",(J100/0.5)+(V100*H100),((J100/0.3/0.5)+(V100*H100))))</f>
        <v>#N/A</v>
      </c>
      <c r="X100" s="1127" t="e">
        <f t="shared" si="61"/>
        <v>#N/A</v>
      </c>
      <c r="Y100" s="1126" t="b">
        <f t="shared" si="62"/>
        <v>0</v>
      </c>
      <c r="Z100" s="43">
        <v>0</v>
      </c>
      <c r="AA100" s="1219" t="e">
        <f t="shared" si="72"/>
        <v>#N/A</v>
      </c>
      <c r="AB100" s="1219" t="e">
        <f t="shared" si="73"/>
        <v>#N/A</v>
      </c>
      <c r="AC100" s="1219" t="e">
        <f t="shared" si="63"/>
        <v>#N/A</v>
      </c>
      <c r="AD100" s="1126" t="e">
        <f t="shared" si="74"/>
        <v>#N/A</v>
      </c>
      <c r="AE100" s="1217" t="e">
        <f t="shared" si="64"/>
        <v>#N/A</v>
      </c>
      <c r="AF100" s="1220" t="e">
        <f t="shared" si="65"/>
        <v>#N/A</v>
      </c>
      <c r="AG100" s="1176" t="e">
        <f t="shared" si="66"/>
        <v>#N/A</v>
      </c>
      <c r="AH100" s="1221" t="e">
        <f t="shared" si="75"/>
        <v>#N/A</v>
      </c>
    </row>
    <row r="101" spans="1:34" ht="15.5">
      <c r="A101" s="1216" t="b">
        <f t="shared" si="54"/>
        <v>1</v>
      </c>
      <c r="B101" s="1217" t="b">
        <f t="shared" si="67"/>
        <v>1</v>
      </c>
      <c r="C101" s="1218" t="str">
        <f t="shared" si="68"/>
        <v>Dólares</v>
      </c>
      <c r="D101" s="47"/>
      <c r="E101" s="836"/>
      <c r="F101" s="50"/>
      <c r="G101" s="50" t="str">
        <f t="shared" si="55"/>
        <v xml:space="preserve"> </v>
      </c>
      <c r="H101" s="45">
        <v>0</v>
      </c>
      <c r="I101" s="49" t="str">
        <f>IFERROR(VLOOKUP(G101,Proveedores!B:C,2,0)," ")</f>
        <v xml:space="preserve"> </v>
      </c>
      <c r="J101" s="838">
        <v>0</v>
      </c>
      <c r="K101" s="1124"/>
      <c r="L101" s="1266">
        <f t="shared" si="56"/>
        <v>0</v>
      </c>
      <c r="M101" s="1267">
        <f t="shared" si="57"/>
        <v>0</v>
      </c>
      <c r="N101" s="1268">
        <f t="shared" si="76"/>
        <v>0</v>
      </c>
      <c r="O101" s="836" t="str">
        <f>IFERROR(VLOOKUP(G101,Proveedores!B:D,3,0)," ")</f>
        <v xml:space="preserve"> </v>
      </c>
      <c r="P101" s="836"/>
      <c r="Q101" s="1127" t="e">
        <f t="shared" si="58"/>
        <v>#N/A</v>
      </c>
      <c r="R101" s="1127" t="b">
        <f t="shared" si="69"/>
        <v>0</v>
      </c>
      <c r="S101" s="1127" t="e">
        <f t="shared" si="59"/>
        <v>#N/A</v>
      </c>
      <c r="T101" s="1127" t="b">
        <f t="shared" si="70"/>
        <v>0</v>
      </c>
      <c r="U101" s="1127" t="e">
        <f t="shared" si="60"/>
        <v>#N/A</v>
      </c>
      <c r="V101" s="1127" t="e">
        <f t="shared" si="71"/>
        <v>#N/A</v>
      </c>
      <c r="W101" s="1127" t="e">
        <f>IF(F101="Offiho",J101,IF(_xlfn.XLOOKUP(F101,Proveedores!A$2:A$50,Proveedores!E$2:E$50,"")="Nacional",(J101/0.5)+(V101*H101),((J101/0.3/0.5)+(V101*H101))))</f>
        <v>#N/A</v>
      </c>
      <c r="X101" s="1127" t="e">
        <f t="shared" si="61"/>
        <v>#N/A</v>
      </c>
      <c r="Y101" s="1126" t="b">
        <f t="shared" si="62"/>
        <v>0</v>
      </c>
      <c r="Z101" s="43">
        <v>0</v>
      </c>
      <c r="AA101" s="1219" t="e">
        <f t="shared" si="72"/>
        <v>#N/A</v>
      </c>
      <c r="AB101" s="1219" t="e">
        <f t="shared" si="73"/>
        <v>#N/A</v>
      </c>
      <c r="AC101" s="1219" t="e">
        <f t="shared" si="63"/>
        <v>#N/A</v>
      </c>
      <c r="AD101" s="1126" t="e">
        <f t="shared" si="74"/>
        <v>#N/A</v>
      </c>
      <c r="AE101" s="1217" t="e">
        <f t="shared" si="64"/>
        <v>#N/A</v>
      </c>
      <c r="AF101" s="1220" t="e">
        <f t="shared" si="65"/>
        <v>#N/A</v>
      </c>
      <c r="AG101" s="1176" t="e">
        <f t="shared" si="66"/>
        <v>#N/A</v>
      </c>
      <c r="AH101" s="1221" t="e">
        <f t="shared" si="75"/>
        <v>#N/A</v>
      </c>
    </row>
    <row r="102" spans="1:34" ht="15.5">
      <c r="A102" s="1216" t="b">
        <f t="shared" si="54"/>
        <v>1</v>
      </c>
      <c r="B102" s="1217" t="b">
        <f t="shared" si="67"/>
        <v>1</v>
      </c>
      <c r="C102" s="1218" t="str">
        <f t="shared" si="68"/>
        <v>Dólares</v>
      </c>
      <c r="D102" s="48"/>
      <c r="E102" s="836"/>
      <c r="F102" s="50"/>
      <c r="G102" s="50" t="str">
        <f t="shared" si="55"/>
        <v xml:space="preserve"> </v>
      </c>
      <c r="H102" s="45">
        <v>0</v>
      </c>
      <c r="I102" s="49" t="str">
        <f>IFERROR(VLOOKUP(G102,Proveedores!B:C,2,0)," ")</f>
        <v xml:space="preserve"> </v>
      </c>
      <c r="J102" s="838">
        <v>0</v>
      </c>
      <c r="K102" s="1124"/>
      <c r="L102" s="1266">
        <f t="shared" si="56"/>
        <v>0</v>
      </c>
      <c r="M102" s="1267">
        <f t="shared" si="57"/>
        <v>0</v>
      </c>
      <c r="N102" s="1268">
        <f t="shared" si="76"/>
        <v>0</v>
      </c>
      <c r="O102" s="836" t="str">
        <f>IFERROR(VLOOKUP(G102,Proveedores!B:D,3,0)," ")</f>
        <v xml:space="preserve"> </v>
      </c>
      <c r="P102" s="836"/>
      <c r="Q102" s="1127" t="e">
        <f t="shared" si="58"/>
        <v>#N/A</v>
      </c>
      <c r="R102" s="1127" t="b">
        <f t="shared" si="69"/>
        <v>0</v>
      </c>
      <c r="S102" s="1127" t="e">
        <f t="shared" si="59"/>
        <v>#N/A</v>
      </c>
      <c r="T102" s="1127" t="b">
        <f t="shared" si="70"/>
        <v>0</v>
      </c>
      <c r="U102" s="1127" t="e">
        <f t="shared" si="60"/>
        <v>#N/A</v>
      </c>
      <c r="V102" s="1127" t="e">
        <f t="shared" si="71"/>
        <v>#N/A</v>
      </c>
      <c r="W102" s="1127" t="e">
        <f>IF(F102="Offiho",J102,IF(_xlfn.XLOOKUP(F102,Proveedores!A$2:A$50,Proveedores!E$2:E$50,"")="Nacional",(J102/0.5)+(V102*H102),((J102/0.3/0.5)+(V102*H102))))</f>
        <v>#N/A</v>
      </c>
      <c r="X102" s="1127" t="e">
        <f t="shared" si="61"/>
        <v>#N/A</v>
      </c>
      <c r="Y102" s="1126" t="b">
        <f t="shared" si="62"/>
        <v>0</v>
      </c>
      <c r="Z102" s="43">
        <v>0</v>
      </c>
      <c r="AA102" s="1219" t="e">
        <f t="shared" si="72"/>
        <v>#N/A</v>
      </c>
      <c r="AB102" s="1219" t="e">
        <f t="shared" si="73"/>
        <v>#N/A</v>
      </c>
      <c r="AC102" s="1219" t="e">
        <f t="shared" si="63"/>
        <v>#N/A</v>
      </c>
      <c r="AD102" s="1126" t="e">
        <f t="shared" si="74"/>
        <v>#N/A</v>
      </c>
      <c r="AE102" s="1217" t="e">
        <f t="shared" si="64"/>
        <v>#N/A</v>
      </c>
      <c r="AF102" s="1220" t="e">
        <f t="shared" si="65"/>
        <v>#N/A</v>
      </c>
      <c r="AG102" s="1176" t="e">
        <f t="shared" si="66"/>
        <v>#N/A</v>
      </c>
      <c r="AH102" s="1221" t="e">
        <f t="shared" si="75"/>
        <v>#N/A</v>
      </c>
    </row>
    <row r="103" spans="1:34" ht="15.5">
      <c r="A103" s="1216" t="b">
        <f t="shared" si="54"/>
        <v>1</v>
      </c>
      <c r="B103" s="1217" t="b">
        <f t="shared" si="67"/>
        <v>1</v>
      </c>
      <c r="C103" s="1218" t="str">
        <f t="shared" si="68"/>
        <v>Dólares</v>
      </c>
      <c r="D103" s="48"/>
      <c r="E103" s="836"/>
      <c r="F103" s="50"/>
      <c r="G103" s="50" t="str">
        <f t="shared" si="55"/>
        <v xml:space="preserve"> </v>
      </c>
      <c r="H103" s="45">
        <v>0</v>
      </c>
      <c r="I103" s="49" t="str">
        <f>IFERROR(VLOOKUP(G103,Proveedores!B:C,2,0)," ")</f>
        <v xml:space="preserve"> </v>
      </c>
      <c r="J103" s="838">
        <v>0</v>
      </c>
      <c r="K103" s="1124"/>
      <c r="L103" s="1266">
        <f t="shared" si="56"/>
        <v>0</v>
      </c>
      <c r="M103" s="1267">
        <f t="shared" si="57"/>
        <v>0</v>
      </c>
      <c r="N103" s="1268">
        <f t="shared" si="76"/>
        <v>0</v>
      </c>
      <c r="O103" s="836" t="str">
        <f>IFERROR(VLOOKUP(G103,Proveedores!B:D,3,0)," ")</f>
        <v xml:space="preserve"> </v>
      </c>
      <c r="P103" s="836"/>
      <c r="Q103" s="1127" t="e">
        <f t="shared" si="58"/>
        <v>#N/A</v>
      </c>
      <c r="R103" s="1127" t="b">
        <f t="shared" si="69"/>
        <v>0</v>
      </c>
      <c r="S103" s="1127" t="e">
        <f t="shared" si="59"/>
        <v>#N/A</v>
      </c>
      <c r="T103" s="1127" t="b">
        <f t="shared" si="70"/>
        <v>0</v>
      </c>
      <c r="U103" s="1127" t="e">
        <f t="shared" si="60"/>
        <v>#N/A</v>
      </c>
      <c r="V103" s="1127" t="e">
        <f t="shared" si="71"/>
        <v>#N/A</v>
      </c>
      <c r="W103" s="1127" t="e">
        <f>IF(F103="Offiho",J103,IF(_xlfn.XLOOKUP(F103,Proveedores!A$2:A$50,Proveedores!E$2:E$50,"")="Nacional",(J103/0.5)+(V103*H103),((J103/0.3/0.5)+(V103*H103))))</f>
        <v>#N/A</v>
      </c>
      <c r="X103" s="1127" t="e">
        <f t="shared" si="61"/>
        <v>#N/A</v>
      </c>
      <c r="Y103" s="1126" t="b">
        <f t="shared" si="62"/>
        <v>0</v>
      </c>
      <c r="Z103" s="43">
        <v>0</v>
      </c>
      <c r="AA103" s="1219" t="e">
        <f t="shared" si="72"/>
        <v>#N/A</v>
      </c>
      <c r="AB103" s="1219" t="e">
        <f t="shared" si="73"/>
        <v>#N/A</v>
      </c>
      <c r="AC103" s="1219" t="e">
        <f t="shared" si="63"/>
        <v>#N/A</v>
      </c>
      <c r="AD103" s="1126" t="e">
        <f t="shared" si="74"/>
        <v>#N/A</v>
      </c>
      <c r="AE103" s="1217" t="e">
        <f t="shared" si="64"/>
        <v>#N/A</v>
      </c>
      <c r="AF103" s="1220" t="e">
        <f t="shared" si="65"/>
        <v>#N/A</v>
      </c>
      <c r="AG103" s="1176" t="e">
        <f t="shared" si="66"/>
        <v>#N/A</v>
      </c>
      <c r="AH103" s="1221" t="e">
        <f t="shared" si="75"/>
        <v>#N/A</v>
      </c>
    </row>
    <row r="104" spans="1:34" ht="15.5">
      <c r="A104" s="1216" t="b">
        <f t="shared" si="54"/>
        <v>1</v>
      </c>
      <c r="B104" s="1217" t="b">
        <f t="shared" si="67"/>
        <v>1</v>
      </c>
      <c r="C104" s="1218" t="str">
        <f t="shared" si="68"/>
        <v>Dólares</v>
      </c>
      <c r="D104" s="48"/>
      <c r="E104" s="836"/>
      <c r="F104" s="50"/>
      <c r="G104" s="50" t="str">
        <f t="shared" si="55"/>
        <v xml:space="preserve"> </v>
      </c>
      <c r="H104" s="45">
        <v>0</v>
      </c>
      <c r="I104" s="49" t="str">
        <f>IFERROR(VLOOKUP(G104,Proveedores!B:C,2,0)," ")</f>
        <v xml:space="preserve"> </v>
      </c>
      <c r="J104" s="838">
        <v>0</v>
      </c>
      <c r="K104" s="1124"/>
      <c r="L104" s="1266">
        <f t="shared" si="56"/>
        <v>0</v>
      </c>
      <c r="M104" s="1267">
        <f t="shared" si="57"/>
        <v>0</v>
      </c>
      <c r="N104" s="1268">
        <f t="shared" si="76"/>
        <v>0</v>
      </c>
      <c r="O104" s="836" t="str">
        <f>IFERROR(VLOOKUP(G104,Proveedores!B:D,3,0)," ")</f>
        <v xml:space="preserve"> </v>
      </c>
      <c r="P104" s="836"/>
      <c r="Q104" s="1127" t="e">
        <f t="shared" si="58"/>
        <v>#N/A</v>
      </c>
      <c r="R104" s="1127" t="b">
        <f t="shared" si="69"/>
        <v>0</v>
      </c>
      <c r="S104" s="1127" t="e">
        <f t="shared" si="59"/>
        <v>#N/A</v>
      </c>
      <c r="T104" s="1127" t="b">
        <f t="shared" si="70"/>
        <v>0</v>
      </c>
      <c r="U104" s="1127" t="e">
        <f t="shared" si="60"/>
        <v>#N/A</v>
      </c>
      <c r="V104" s="1127" t="e">
        <f t="shared" si="71"/>
        <v>#N/A</v>
      </c>
      <c r="W104" s="1127" t="e">
        <f>IF(F104="Offiho",J104,IF(_xlfn.XLOOKUP(F104,Proveedores!A$2:A$50,Proveedores!E$2:E$50,"")="Nacional",(J104/0.5)+(V104*H104),((J104/0.3/0.5)+(V104*H104))))</f>
        <v>#N/A</v>
      </c>
      <c r="X104" s="1127" t="e">
        <f t="shared" si="61"/>
        <v>#N/A</v>
      </c>
      <c r="Y104" s="1126" t="b">
        <f t="shared" si="62"/>
        <v>0</v>
      </c>
      <c r="Z104" s="43">
        <v>0</v>
      </c>
      <c r="AA104" s="1219" t="e">
        <f t="shared" si="72"/>
        <v>#N/A</v>
      </c>
      <c r="AB104" s="1219" t="e">
        <f t="shared" si="73"/>
        <v>#N/A</v>
      </c>
      <c r="AC104" s="1219" t="e">
        <f t="shared" si="63"/>
        <v>#N/A</v>
      </c>
      <c r="AD104" s="1126" t="e">
        <f t="shared" si="74"/>
        <v>#N/A</v>
      </c>
      <c r="AE104" s="1217" t="e">
        <f t="shared" si="64"/>
        <v>#N/A</v>
      </c>
      <c r="AF104" s="1220" t="e">
        <f t="shared" si="65"/>
        <v>#N/A</v>
      </c>
      <c r="AG104" s="1176" t="e">
        <f t="shared" si="66"/>
        <v>#N/A</v>
      </c>
      <c r="AH104" s="1221" t="e">
        <f t="shared" si="75"/>
        <v>#N/A</v>
      </c>
    </row>
    <row r="105" spans="1:34" ht="15.5">
      <c r="A105" s="1216" t="b">
        <f t="shared" si="54"/>
        <v>1</v>
      </c>
      <c r="B105" s="1217" t="b">
        <f t="shared" si="67"/>
        <v>1</v>
      </c>
      <c r="C105" s="1218" t="str">
        <f t="shared" si="68"/>
        <v>Dólares</v>
      </c>
      <c r="D105" s="48"/>
      <c r="E105" s="836"/>
      <c r="F105" s="50"/>
      <c r="G105" s="50" t="str">
        <f t="shared" si="55"/>
        <v xml:space="preserve"> </v>
      </c>
      <c r="H105" s="45">
        <v>0</v>
      </c>
      <c r="I105" s="49" t="str">
        <f>IFERROR(VLOOKUP(G105,Proveedores!B:C,2,0)," ")</f>
        <v xml:space="preserve"> </v>
      </c>
      <c r="J105" s="838">
        <v>0</v>
      </c>
      <c r="K105" s="1124"/>
      <c r="L105" s="1266">
        <f t="shared" si="56"/>
        <v>0</v>
      </c>
      <c r="M105" s="1267">
        <f t="shared" si="57"/>
        <v>0</v>
      </c>
      <c r="N105" s="1268">
        <f t="shared" si="76"/>
        <v>0</v>
      </c>
      <c r="O105" s="836" t="str">
        <f>IFERROR(VLOOKUP(G105,Proveedores!B:D,3,0)," ")</f>
        <v xml:space="preserve"> </v>
      </c>
      <c r="P105" s="836"/>
      <c r="Q105" s="1127" t="e">
        <f t="shared" si="58"/>
        <v>#N/A</v>
      </c>
      <c r="R105" s="1127" t="b">
        <f t="shared" si="69"/>
        <v>0</v>
      </c>
      <c r="S105" s="1127" t="e">
        <f t="shared" si="59"/>
        <v>#N/A</v>
      </c>
      <c r="T105" s="1127" t="b">
        <f t="shared" si="70"/>
        <v>0</v>
      </c>
      <c r="U105" s="1127" t="e">
        <f t="shared" si="60"/>
        <v>#N/A</v>
      </c>
      <c r="V105" s="1127" t="e">
        <f t="shared" si="71"/>
        <v>#N/A</v>
      </c>
      <c r="W105" s="1127" t="e">
        <f>IF(F105="Offiho",J105,IF(_xlfn.XLOOKUP(F105,Proveedores!A$2:A$50,Proveedores!E$2:E$50,"")="Nacional",(J105/0.5)+(V105*H105),((J105/0.3/0.5)+(V105*H105))))</f>
        <v>#N/A</v>
      </c>
      <c r="X105" s="1127" t="e">
        <f t="shared" si="61"/>
        <v>#N/A</v>
      </c>
      <c r="Y105" s="1126" t="b">
        <f t="shared" si="62"/>
        <v>0</v>
      </c>
      <c r="Z105" s="43">
        <v>0</v>
      </c>
      <c r="AA105" s="1219" t="e">
        <f t="shared" si="72"/>
        <v>#N/A</v>
      </c>
      <c r="AB105" s="1219" t="e">
        <f t="shared" si="73"/>
        <v>#N/A</v>
      </c>
      <c r="AC105" s="1219" t="e">
        <f t="shared" si="63"/>
        <v>#N/A</v>
      </c>
      <c r="AD105" s="1126" t="e">
        <f t="shared" si="74"/>
        <v>#N/A</v>
      </c>
      <c r="AE105" s="1217" t="e">
        <f t="shared" si="64"/>
        <v>#N/A</v>
      </c>
      <c r="AF105" s="1220" t="e">
        <f t="shared" si="65"/>
        <v>#N/A</v>
      </c>
      <c r="AG105" s="1176" t="e">
        <f t="shared" si="66"/>
        <v>#N/A</v>
      </c>
      <c r="AH105" s="1221" t="e">
        <f t="shared" si="75"/>
        <v>#N/A</v>
      </c>
    </row>
    <row r="106" spans="1:34" ht="15.5">
      <c r="A106" s="1216" t="b">
        <f t="shared" si="54"/>
        <v>1</v>
      </c>
      <c r="B106" s="1217" t="b">
        <f t="shared" si="67"/>
        <v>1</v>
      </c>
      <c r="C106" s="1218" t="str">
        <f t="shared" si="68"/>
        <v>Dólares</v>
      </c>
      <c r="D106" s="47"/>
      <c r="E106" s="836"/>
      <c r="F106" s="50"/>
      <c r="G106" s="50" t="str">
        <f t="shared" si="55"/>
        <v xml:space="preserve"> </v>
      </c>
      <c r="H106" s="45">
        <v>0</v>
      </c>
      <c r="I106" s="49" t="str">
        <f>IFERROR(VLOOKUP(G106,Proveedores!B:C,2,0)," ")</f>
        <v xml:space="preserve"> </v>
      </c>
      <c r="J106" s="838">
        <v>0</v>
      </c>
      <c r="K106" s="1124"/>
      <c r="L106" s="1266">
        <f t="shared" si="56"/>
        <v>0</v>
      </c>
      <c r="M106" s="1267">
        <f t="shared" si="57"/>
        <v>0</v>
      </c>
      <c r="N106" s="1268">
        <f t="shared" si="76"/>
        <v>0</v>
      </c>
      <c r="O106" s="836" t="str">
        <f>IFERROR(VLOOKUP(G106,Proveedores!B:D,3,0)," ")</f>
        <v xml:space="preserve"> </v>
      </c>
      <c r="P106" s="836"/>
      <c r="Q106" s="1127" t="e">
        <f t="shared" si="58"/>
        <v>#N/A</v>
      </c>
      <c r="R106" s="1127" t="b">
        <f t="shared" si="69"/>
        <v>0</v>
      </c>
      <c r="S106" s="1127" t="e">
        <f t="shared" si="59"/>
        <v>#N/A</v>
      </c>
      <c r="T106" s="1127" t="b">
        <f t="shared" si="70"/>
        <v>0</v>
      </c>
      <c r="U106" s="1127" t="e">
        <f t="shared" si="60"/>
        <v>#N/A</v>
      </c>
      <c r="V106" s="1127" t="e">
        <f t="shared" si="71"/>
        <v>#N/A</v>
      </c>
      <c r="W106" s="1127" t="e">
        <f>IF(F106="Offiho",J106,IF(_xlfn.XLOOKUP(F106,Proveedores!A$2:A$50,Proveedores!E$2:E$50,"")="Nacional",(J106/0.5)+(V106*H106),((J106/0.3/0.5)+(V106*H106))))</f>
        <v>#N/A</v>
      </c>
      <c r="X106" s="1127" t="e">
        <f t="shared" si="61"/>
        <v>#N/A</v>
      </c>
      <c r="Y106" s="1126" t="b">
        <f t="shared" si="62"/>
        <v>0</v>
      </c>
      <c r="Z106" s="43">
        <v>0</v>
      </c>
      <c r="AA106" s="1219" t="e">
        <f t="shared" si="72"/>
        <v>#N/A</v>
      </c>
      <c r="AB106" s="1219" t="e">
        <f t="shared" si="73"/>
        <v>#N/A</v>
      </c>
      <c r="AC106" s="1219" t="e">
        <f t="shared" si="63"/>
        <v>#N/A</v>
      </c>
      <c r="AD106" s="1126" t="e">
        <f t="shared" si="74"/>
        <v>#N/A</v>
      </c>
      <c r="AE106" s="1217" t="e">
        <f t="shared" si="64"/>
        <v>#N/A</v>
      </c>
      <c r="AF106" s="1220" t="e">
        <f t="shared" si="65"/>
        <v>#N/A</v>
      </c>
      <c r="AG106" s="1176" t="e">
        <f t="shared" si="66"/>
        <v>#N/A</v>
      </c>
      <c r="AH106" s="1221" t="e">
        <f t="shared" si="75"/>
        <v>#N/A</v>
      </c>
    </row>
    <row r="107" spans="1:34" ht="15.5">
      <c r="A107" s="1216" t="b">
        <f t="shared" si="54"/>
        <v>1</v>
      </c>
      <c r="B107" s="1217" t="b">
        <f t="shared" si="67"/>
        <v>1</v>
      </c>
      <c r="C107" s="1218" t="str">
        <f t="shared" si="68"/>
        <v>Dólares</v>
      </c>
      <c r="D107" s="47"/>
      <c r="E107" s="836"/>
      <c r="F107" s="50"/>
      <c r="G107" s="50" t="str">
        <f t="shared" si="55"/>
        <v xml:space="preserve"> </v>
      </c>
      <c r="H107" s="45">
        <v>0</v>
      </c>
      <c r="I107" s="49" t="str">
        <f>IFERROR(VLOOKUP(G107,Proveedores!B:C,2,0)," ")</f>
        <v xml:space="preserve"> </v>
      </c>
      <c r="J107" s="838">
        <v>0</v>
      </c>
      <c r="K107" s="1124"/>
      <c r="L107" s="1266">
        <f t="shared" si="56"/>
        <v>0</v>
      </c>
      <c r="M107" s="1267">
        <f t="shared" si="57"/>
        <v>0</v>
      </c>
      <c r="N107" s="1268">
        <f t="shared" si="76"/>
        <v>0</v>
      </c>
      <c r="O107" s="836" t="str">
        <f>IFERROR(VLOOKUP(G107,Proveedores!B:D,3,0)," ")</f>
        <v xml:space="preserve"> </v>
      </c>
      <c r="P107" s="836"/>
      <c r="Q107" s="1127" t="e">
        <f t="shared" si="58"/>
        <v>#N/A</v>
      </c>
      <c r="R107" s="1127" t="b">
        <f t="shared" si="69"/>
        <v>0</v>
      </c>
      <c r="S107" s="1127" t="e">
        <f t="shared" si="59"/>
        <v>#N/A</v>
      </c>
      <c r="T107" s="1127" t="b">
        <f t="shared" si="70"/>
        <v>0</v>
      </c>
      <c r="U107" s="1127" t="e">
        <f t="shared" si="60"/>
        <v>#N/A</v>
      </c>
      <c r="V107" s="1127" t="e">
        <f t="shared" si="71"/>
        <v>#N/A</v>
      </c>
      <c r="W107" s="1127" t="e">
        <f>IF(F107="Offiho",J107,IF(_xlfn.XLOOKUP(F107,Proveedores!A$2:A$50,Proveedores!E$2:E$50,"")="Nacional",(J107/0.5)+(V107*H107),((J107/0.3/0.5)+(V107*H107))))</f>
        <v>#N/A</v>
      </c>
      <c r="X107" s="1127" t="e">
        <f t="shared" si="61"/>
        <v>#N/A</v>
      </c>
      <c r="Y107" s="1126" t="b">
        <f t="shared" si="62"/>
        <v>0</v>
      </c>
      <c r="Z107" s="43">
        <v>0</v>
      </c>
      <c r="AA107" s="1219" t="e">
        <f t="shared" si="72"/>
        <v>#N/A</v>
      </c>
      <c r="AB107" s="1219" t="e">
        <f t="shared" si="73"/>
        <v>#N/A</v>
      </c>
      <c r="AC107" s="1219" t="e">
        <f t="shared" si="63"/>
        <v>#N/A</v>
      </c>
      <c r="AD107" s="1126" t="e">
        <f t="shared" si="74"/>
        <v>#N/A</v>
      </c>
      <c r="AE107" s="1217" t="e">
        <f t="shared" si="64"/>
        <v>#N/A</v>
      </c>
      <c r="AF107" s="1220" t="e">
        <f t="shared" si="65"/>
        <v>#N/A</v>
      </c>
      <c r="AG107" s="1176" t="e">
        <f t="shared" si="66"/>
        <v>#N/A</v>
      </c>
      <c r="AH107" s="1221" t="e">
        <f t="shared" si="75"/>
        <v>#N/A</v>
      </c>
    </row>
    <row r="108" spans="1:34" ht="15.5">
      <c r="A108" s="1216" t="b">
        <f t="shared" si="54"/>
        <v>1</v>
      </c>
      <c r="B108" s="1217" t="b">
        <f t="shared" si="67"/>
        <v>1</v>
      </c>
      <c r="C108" s="1218" t="str">
        <f t="shared" si="68"/>
        <v>Dólares</v>
      </c>
      <c r="D108" s="47"/>
      <c r="E108" s="836"/>
      <c r="F108" s="50"/>
      <c r="G108" s="50" t="str">
        <f t="shared" si="55"/>
        <v xml:space="preserve"> </v>
      </c>
      <c r="H108" s="45">
        <v>0</v>
      </c>
      <c r="I108" s="49" t="str">
        <f>IFERROR(VLOOKUP(G108,Proveedores!B:C,2,0)," ")</f>
        <v xml:space="preserve"> </v>
      </c>
      <c r="J108" s="838">
        <v>0</v>
      </c>
      <c r="K108" s="1124"/>
      <c r="L108" s="1266">
        <f t="shared" si="56"/>
        <v>0</v>
      </c>
      <c r="M108" s="1267">
        <f t="shared" si="57"/>
        <v>0</v>
      </c>
      <c r="N108" s="1268">
        <f t="shared" si="76"/>
        <v>0</v>
      </c>
      <c r="O108" s="836" t="str">
        <f>IFERROR(VLOOKUP(G108,Proveedores!B:D,3,0)," ")</f>
        <v xml:space="preserve"> </v>
      </c>
      <c r="P108" s="836"/>
      <c r="Q108" s="1127" t="e">
        <f t="shared" si="58"/>
        <v>#N/A</v>
      </c>
      <c r="R108" s="1127" t="b">
        <f t="shared" si="69"/>
        <v>0</v>
      </c>
      <c r="S108" s="1127" t="e">
        <f t="shared" si="59"/>
        <v>#N/A</v>
      </c>
      <c r="T108" s="1127" t="b">
        <f t="shared" si="70"/>
        <v>0</v>
      </c>
      <c r="U108" s="1127" t="e">
        <f t="shared" si="60"/>
        <v>#N/A</v>
      </c>
      <c r="V108" s="1127" t="e">
        <f t="shared" si="71"/>
        <v>#N/A</v>
      </c>
      <c r="W108" s="1127" t="e">
        <f>IF(F108="Offiho",J108,IF(_xlfn.XLOOKUP(F108,Proveedores!A$2:A$50,Proveedores!E$2:E$50,"")="Nacional",(J108/0.5)+(V108*H108),((J108/0.3/0.5)+(V108*H108))))</f>
        <v>#N/A</v>
      </c>
      <c r="X108" s="1127" t="e">
        <f t="shared" si="61"/>
        <v>#N/A</v>
      </c>
      <c r="Y108" s="1126" t="b">
        <f t="shared" si="62"/>
        <v>0</v>
      </c>
      <c r="Z108" s="43">
        <v>0</v>
      </c>
      <c r="AA108" s="1219" t="e">
        <f t="shared" si="72"/>
        <v>#N/A</v>
      </c>
      <c r="AB108" s="1219" t="e">
        <f t="shared" si="73"/>
        <v>#N/A</v>
      </c>
      <c r="AC108" s="1219" t="e">
        <f t="shared" si="63"/>
        <v>#N/A</v>
      </c>
      <c r="AD108" s="1126" t="e">
        <f t="shared" si="74"/>
        <v>#N/A</v>
      </c>
      <c r="AE108" s="1217" t="e">
        <f t="shared" si="64"/>
        <v>#N/A</v>
      </c>
      <c r="AF108" s="1220" t="e">
        <f t="shared" si="65"/>
        <v>#N/A</v>
      </c>
      <c r="AG108" s="1176" t="e">
        <f t="shared" si="66"/>
        <v>#N/A</v>
      </c>
      <c r="AH108" s="1221" t="e">
        <f t="shared" si="75"/>
        <v>#N/A</v>
      </c>
    </row>
    <row r="109" spans="1:34" ht="15.5">
      <c r="A109" s="1216" t="b">
        <f t="shared" si="54"/>
        <v>1</v>
      </c>
      <c r="B109" s="1217" t="b">
        <f t="shared" si="67"/>
        <v>1</v>
      </c>
      <c r="C109" s="1218" t="str">
        <f t="shared" si="68"/>
        <v>Dólares</v>
      </c>
      <c r="D109" s="48"/>
      <c r="E109" s="836"/>
      <c r="F109" s="50"/>
      <c r="G109" s="50" t="str">
        <f t="shared" si="55"/>
        <v xml:space="preserve"> </v>
      </c>
      <c r="H109" s="45">
        <v>0</v>
      </c>
      <c r="I109" s="49" t="str">
        <f>IFERROR(VLOOKUP(G109,Proveedores!B:C,2,0)," ")</f>
        <v xml:space="preserve"> </v>
      </c>
      <c r="J109" s="838">
        <v>0</v>
      </c>
      <c r="K109" s="1124"/>
      <c r="L109" s="1266">
        <f t="shared" si="56"/>
        <v>0</v>
      </c>
      <c r="M109" s="1267">
        <f t="shared" si="57"/>
        <v>0</v>
      </c>
      <c r="N109" s="1268">
        <f t="shared" si="76"/>
        <v>0</v>
      </c>
      <c r="O109" s="836" t="str">
        <f>IFERROR(VLOOKUP(G109,Proveedores!B:D,3,0)," ")</f>
        <v xml:space="preserve"> </v>
      </c>
      <c r="P109" s="836"/>
      <c r="Q109" s="1127" t="e">
        <f t="shared" si="58"/>
        <v>#N/A</v>
      </c>
      <c r="R109" s="1127" t="b">
        <f t="shared" si="69"/>
        <v>0</v>
      </c>
      <c r="S109" s="1127" t="e">
        <f t="shared" si="59"/>
        <v>#N/A</v>
      </c>
      <c r="T109" s="1127" t="b">
        <f t="shared" si="70"/>
        <v>0</v>
      </c>
      <c r="U109" s="1127" t="e">
        <f t="shared" si="60"/>
        <v>#N/A</v>
      </c>
      <c r="V109" s="1127" t="e">
        <f t="shared" si="71"/>
        <v>#N/A</v>
      </c>
      <c r="W109" s="1127" t="e">
        <f>IF(F109="Offiho",J109,IF(_xlfn.XLOOKUP(F109,Proveedores!A$2:A$50,Proveedores!E$2:E$50,"")="Nacional",(J109/0.5)+(V109*H109),((J109/0.3/0.5)+(V109*H109))))</f>
        <v>#N/A</v>
      </c>
      <c r="X109" s="1127" t="e">
        <f t="shared" si="61"/>
        <v>#N/A</v>
      </c>
      <c r="Y109" s="1126" t="b">
        <f t="shared" si="62"/>
        <v>0</v>
      </c>
      <c r="Z109" s="43">
        <v>0</v>
      </c>
      <c r="AA109" s="1219" t="e">
        <f t="shared" si="72"/>
        <v>#N/A</v>
      </c>
      <c r="AB109" s="1219" t="e">
        <f t="shared" si="73"/>
        <v>#N/A</v>
      </c>
      <c r="AC109" s="1219" t="e">
        <f t="shared" si="63"/>
        <v>#N/A</v>
      </c>
      <c r="AD109" s="1126" t="e">
        <f t="shared" si="74"/>
        <v>#N/A</v>
      </c>
      <c r="AE109" s="1217" t="e">
        <f t="shared" si="64"/>
        <v>#N/A</v>
      </c>
      <c r="AF109" s="1220" t="e">
        <f t="shared" si="65"/>
        <v>#N/A</v>
      </c>
      <c r="AG109" s="1176" t="e">
        <f t="shared" si="66"/>
        <v>#N/A</v>
      </c>
      <c r="AH109" s="1221" t="e">
        <f t="shared" si="75"/>
        <v>#N/A</v>
      </c>
    </row>
    <row r="110" spans="1:34" ht="15.5">
      <c r="A110" s="1216" t="b">
        <f t="shared" si="54"/>
        <v>1</v>
      </c>
      <c r="B110" s="1217" t="b">
        <f t="shared" si="67"/>
        <v>1</v>
      </c>
      <c r="C110" s="1218" t="str">
        <f t="shared" si="68"/>
        <v>Dólares</v>
      </c>
      <c r="D110" s="48"/>
      <c r="E110" s="836"/>
      <c r="F110" s="50"/>
      <c r="G110" s="50" t="str">
        <f t="shared" si="55"/>
        <v xml:space="preserve"> </v>
      </c>
      <c r="H110" s="45">
        <v>0</v>
      </c>
      <c r="I110" s="49" t="str">
        <f>IFERROR(VLOOKUP(G110,Proveedores!B:C,2,0)," ")</f>
        <v xml:space="preserve"> </v>
      </c>
      <c r="J110" s="838">
        <v>0</v>
      </c>
      <c r="K110" s="1124"/>
      <c r="L110" s="1266">
        <f t="shared" si="56"/>
        <v>0</v>
      </c>
      <c r="M110" s="1267">
        <f t="shared" si="57"/>
        <v>0</v>
      </c>
      <c r="N110" s="1268">
        <f t="shared" si="76"/>
        <v>0</v>
      </c>
      <c r="O110" s="836" t="str">
        <f>IFERROR(VLOOKUP(G110,Proveedores!B:D,3,0)," ")</f>
        <v xml:space="preserve"> </v>
      </c>
      <c r="P110" s="836"/>
      <c r="Q110" s="1127" t="e">
        <f t="shared" si="58"/>
        <v>#N/A</v>
      </c>
      <c r="R110" s="1127" t="b">
        <f t="shared" si="69"/>
        <v>0</v>
      </c>
      <c r="S110" s="1127" t="e">
        <f t="shared" si="59"/>
        <v>#N/A</v>
      </c>
      <c r="T110" s="1127" t="b">
        <f t="shared" si="70"/>
        <v>0</v>
      </c>
      <c r="U110" s="1127" t="e">
        <f t="shared" si="60"/>
        <v>#N/A</v>
      </c>
      <c r="V110" s="1127" t="e">
        <f t="shared" si="71"/>
        <v>#N/A</v>
      </c>
      <c r="W110" s="1127" t="e">
        <f>IF(F110="Offiho",J110,IF(_xlfn.XLOOKUP(F110,Proveedores!A$2:A$50,Proveedores!E$2:E$50,"")="Nacional",(J110/0.5)+(V110*H110),((J110/0.3/0.5)+(V110*H110))))</f>
        <v>#N/A</v>
      </c>
      <c r="X110" s="1127" t="e">
        <f t="shared" si="61"/>
        <v>#N/A</v>
      </c>
      <c r="Y110" s="1126" t="b">
        <f t="shared" si="62"/>
        <v>0</v>
      </c>
      <c r="Z110" s="43">
        <v>0</v>
      </c>
      <c r="AA110" s="1219" t="e">
        <f t="shared" si="72"/>
        <v>#N/A</v>
      </c>
      <c r="AB110" s="1219" t="e">
        <f t="shared" si="73"/>
        <v>#N/A</v>
      </c>
      <c r="AC110" s="1219" t="e">
        <f t="shared" si="63"/>
        <v>#N/A</v>
      </c>
      <c r="AD110" s="1126" t="e">
        <f t="shared" si="74"/>
        <v>#N/A</v>
      </c>
      <c r="AE110" s="1217" t="e">
        <f t="shared" si="64"/>
        <v>#N/A</v>
      </c>
      <c r="AF110" s="1220" t="e">
        <f t="shared" si="65"/>
        <v>#N/A</v>
      </c>
      <c r="AG110" s="1176" t="e">
        <f t="shared" si="66"/>
        <v>#N/A</v>
      </c>
      <c r="AH110" s="1221" t="e">
        <f t="shared" si="75"/>
        <v>#N/A</v>
      </c>
    </row>
    <row r="111" spans="1:34" ht="15.5">
      <c r="A111" s="1216" t="b">
        <f t="shared" si="54"/>
        <v>1</v>
      </c>
      <c r="B111" s="1217" t="b">
        <f t="shared" si="67"/>
        <v>1</v>
      </c>
      <c r="C111" s="1218" t="str">
        <f t="shared" si="68"/>
        <v>Dólares</v>
      </c>
      <c r="D111" s="47"/>
      <c r="E111" s="836"/>
      <c r="F111" s="50"/>
      <c r="G111" s="50" t="str">
        <f t="shared" si="55"/>
        <v xml:space="preserve"> </v>
      </c>
      <c r="H111" s="45">
        <v>0</v>
      </c>
      <c r="I111" s="49" t="str">
        <f>IFERROR(VLOOKUP(G111,Proveedores!B:C,2,0)," ")</f>
        <v xml:space="preserve"> </v>
      </c>
      <c r="J111" s="838">
        <v>0</v>
      </c>
      <c r="K111" s="1124"/>
      <c r="L111" s="1266">
        <f t="shared" si="56"/>
        <v>0</v>
      </c>
      <c r="M111" s="1267">
        <f t="shared" si="57"/>
        <v>0</v>
      </c>
      <c r="N111" s="1268">
        <f t="shared" si="76"/>
        <v>0</v>
      </c>
      <c r="O111" s="836" t="str">
        <f>IFERROR(VLOOKUP(G111,Proveedores!B:D,3,0)," ")</f>
        <v xml:space="preserve"> </v>
      </c>
      <c r="P111" s="836"/>
      <c r="Q111" s="1127" t="e">
        <f t="shared" si="58"/>
        <v>#N/A</v>
      </c>
      <c r="R111" s="1127" t="b">
        <f t="shared" si="69"/>
        <v>0</v>
      </c>
      <c r="S111" s="1127" t="e">
        <f t="shared" si="59"/>
        <v>#N/A</v>
      </c>
      <c r="T111" s="1127" t="b">
        <f t="shared" si="70"/>
        <v>0</v>
      </c>
      <c r="U111" s="1127" t="e">
        <f t="shared" si="60"/>
        <v>#N/A</v>
      </c>
      <c r="V111" s="1127" t="e">
        <f t="shared" si="71"/>
        <v>#N/A</v>
      </c>
      <c r="W111" s="1127" t="e">
        <f>IF(F111="Offiho",J111,IF(_xlfn.XLOOKUP(F111,Proveedores!A$2:A$50,Proveedores!E$2:E$50,"")="Nacional",(J111/0.5)+(V111*H111),((J111/0.3/0.5)+(V111*H111))))</f>
        <v>#N/A</v>
      </c>
      <c r="X111" s="1127" t="e">
        <f t="shared" si="61"/>
        <v>#N/A</v>
      </c>
      <c r="Y111" s="1126" t="b">
        <f t="shared" si="62"/>
        <v>0</v>
      </c>
      <c r="Z111" s="43">
        <v>0</v>
      </c>
      <c r="AA111" s="1219" t="e">
        <f t="shared" si="72"/>
        <v>#N/A</v>
      </c>
      <c r="AB111" s="1219" t="e">
        <f t="shared" si="73"/>
        <v>#N/A</v>
      </c>
      <c r="AC111" s="1219" t="e">
        <f t="shared" si="63"/>
        <v>#N/A</v>
      </c>
      <c r="AD111" s="1126" t="e">
        <f t="shared" si="74"/>
        <v>#N/A</v>
      </c>
      <c r="AE111" s="1217" t="e">
        <f t="shared" si="64"/>
        <v>#N/A</v>
      </c>
      <c r="AF111" s="1220" t="e">
        <f t="shared" si="65"/>
        <v>#N/A</v>
      </c>
      <c r="AG111" s="1176" t="e">
        <f t="shared" si="66"/>
        <v>#N/A</v>
      </c>
      <c r="AH111" s="1221" t="e">
        <f t="shared" si="75"/>
        <v>#N/A</v>
      </c>
    </row>
    <row r="112" spans="1:34" ht="15.5">
      <c r="A112" s="1216" t="b">
        <f t="shared" si="54"/>
        <v>1</v>
      </c>
      <c r="B112" s="1217" t="b">
        <f t="shared" si="67"/>
        <v>1</v>
      </c>
      <c r="C112" s="1218" t="str">
        <f t="shared" si="68"/>
        <v>Dólares</v>
      </c>
      <c r="D112" s="47"/>
      <c r="E112" s="836"/>
      <c r="F112" s="50"/>
      <c r="G112" s="50" t="str">
        <f t="shared" si="55"/>
        <v xml:space="preserve"> </v>
      </c>
      <c r="H112" s="45">
        <v>0</v>
      </c>
      <c r="I112" s="49" t="str">
        <f>IFERROR(VLOOKUP(G112,Proveedores!B:C,2,0)," ")</f>
        <v xml:space="preserve"> </v>
      </c>
      <c r="J112" s="838">
        <v>0</v>
      </c>
      <c r="K112" s="1124"/>
      <c r="L112" s="1266">
        <f t="shared" si="56"/>
        <v>0</v>
      </c>
      <c r="M112" s="1267">
        <f t="shared" si="57"/>
        <v>0</v>
      </c>
      <c r="N112" s="1268">
        <f t="shared" si="76"/>
        <v>0</v>
      </c>
      <c r="O112" s="836" t="str">
        <f>IFERROR(VLOOKUP(G112,Proveedores!B:D,3,0)," ")</f>
        <v xml:space="preserve"> </v>
      </c>
      <c r="P112" s="836"/>
      <c r="Q112" s="1127" t="e">
        <f t="shared" si="58"/>
        <v>#N/A</v>
      </c>
      <c r="R112" s="1127" t="b">
        <f t="shared" si="69"/>
        <v>0</v>
      </c>
      <c r="S112" s="1127" t="e">
        <f t="shared" si="59"/>
        <v>#N/A</v>
      </c>
      <c r="T112" s="1127" t="b">
        <f t="shared" si="70"/>
        <v>0</v>
      </c>
      <c r="U112" s="1127" t="e">
        <f t="shared" si="60"/>
        <v>#N/A</v>
      </c>
      <c r="V112" s="1127" t="e">
        <f t="shared" si="71"/>
        <v>#N/A</v>
      </c>
      <c r="W112" s="1127" t="e">
        <f>IF(F112="Offiho",J112,IF(_xlfn.XLOOKUP(F112,Proveedores!A$2:A$50,Proveedores!E$2:E$50,"")="Nacional",(J112/0.5)+(V112*H112),((J112/0.3/0.5)+(V112*H112))))</f>
        <v>#N/A</v>
      </c>
      <c r="X112" s="1127" t="e">
        <f t="shared" si="61"/>
        <v>#N/A</v>
      </c>
      <c r="Y112" s="1126" t="b">
        <f t="shared" si="62"/>
        <v>0</v>
      </c>
      <c r="Z112" s="43">
        <v>0</v>
      </c>
      <c r="AA112" s="1219" t="e">
        <f t="shared" si="72"/>
        <v>#N/A</v>
      </c>
      <c r="AB112" s="1219" t="e">
        <f t="shared" si="73"/>
        <v>#N/A</v>
      </c>
      <c r="AC112" s="1219" t="e">
        <f t="shared" si="63"/>
        <v>#N/A</v>
      </c>
      <c r="AD112" s="1126" t="e">
        <f t="shared" si="74"/>
        <v>#N/A</v>
      </c>
      <c r="AE112" s="1217" t="e">
        <f t="shared" si="64"/>
        <v>#N/A</v>
      </c>
      <c r="AF112" s="1220" t="e">
        <f t="shared" si="65"/>
        <v>#N/A</v>
      </c>
      <c r="AG112" s="1176" t="e">
        <f t="shared" si="66"/>
        <v>#N/A</v>
      </c>
      <c r="AH112" s="1221" t="e">
        <f t="shared" si="75"/>
        <v>#N/A</v>
      </c>
    </row>
    <row r="113" spans="1:34" ht="15.5">
      <c r="A113" s="1216" t="b">
        <f t="shared" si="54"/>
        <v>1</v>
      </c>
      <c r="B113" s="1217" t="b">
        <f t="shared" si="67"/>
        <v>1</v>
      </c>
      <c r="C113" s="1218" t="str">
        <f t="shared" si="68"/>
        <v>Dólares</v>
      </c>
      <c r="D113" s="47"/>
      <c r="E113" s="836"/>
      <c r="F113" s="50"/>
      <c r="G113" s="50" t="str">
        <f t="shared" si="55"/>
        <v xml:space="preserve"> </v>
      </c>
      <c r="H113" s="45">
        <v>0</v>
      </c>
      <c r="I113" s="49" t="str">
        <f>IFERROR(VLOOKUP(G113,Proveedores!B:C,2,0)," ")</f>
        <v xml:space="preserve"> </v>
      </c>
      <c r="J113" s="838">
        <v>0</v>
      </c>
      <c r="K113" s="1124"/>
      <c r="L113" s="1266">
        <f t="shared" si="56"/>
        <v>0</v>
      </c>
      <c r="M113" s="1267">
        <f t="shared" si="57"/>
        <v>0</v>
      </c>
      <c r="N113" s="1268">
        <f t="shared" si="76"/>
        <v>0</v>
      </c>
      <c r="O113" s="836" t="str">
        <f>IFERROR(VLOOKUP(G113,Proveedores!B:D,3,0)," ")</f>
        <v xml:space="preserve"> </v>
      </c>
      <c r="P113" s="836"/>
      <c r="Q113" s="1127" t="e">
        <f t="shared" si="58"/>
        <v>#N/A</v>
      </c>
      <c r="R113" s="1127" t="b">
        <f t="shared" si="69"/>
        <v>0</v>
      </c>
      <c r="S113" s="1127" t="e">
        <f t="shared" si="59"/>
        <v>#N/A</v>
      </c>
      <c r="T113" s="1127" t="b">
        <f t="shared" si="70"/>
        <v>0</v>
      </c>
      <c r="U113" s="1127" t="e">
        <f t="shared" si="60"/>
        <v>#N/A</v>
      </c>
      <c r="V113" s="1127" t="e">
        <f t="shared" si="71"/>
        <v>#N/A</v>
      </c>
      <c r="W113" s="1127" t="e">
        <f>IF(F113="Offiho",J113,IF(_xlfn.XLOOKUP(F113,Proveedores!A$2:A$50,Proveedores!E$2:E$50,"")="Nacional",(J113/0.5)+(V113*H113),((J113/0.3/0.5)+(V113*H113))))</f>
        <v>#N/A</v>
      </c>
      <c r="X113" s="1127" t="e">
        <f t="shared" si="61"/>
        <v>#N/A</v>
      </c>
      <c r="Y113" s="1126" t="b">
        <f t="shared" si="62"/>
        <v>0</v>
      </c>
      <c r="Z113" s="43">
        <v>0</v>
      </c>
      <c r="AA113" s="1219" t="e">
        <f t="shared" si="72"/>
        <v>#N/A</v>
      </c>
      <c r="AB113" s="1219" t="e">
        <f t="shared" si="73"/>
        <v>#N/A</v>
      </c>
      <c r="AC113" s="1219" t="e">
        <f t="shared" si="63"/>
        <v>#N/A</v>
      </c>
      <c r="AD113" s="1126" t="e">
        <f t="shared" si="74"/>
        <v>#N/A</v>
      </c>
      <c r="AE113" s="1217" t="e">
        <f t="shared" si="64"/>
        <v>#N/A</v>
      </c>
      <c r="AF113" s="1220" t="e">
        <f t="shared" si="65"/>
        <v>#N/A</v>
      </c>
      <c r="AG113" s="1176" t="e">
        <f t="shared" si="66"/>
        <v>#N/A</v>
      </c>
      <c r="AH113" s="1221" t="e">
        <f t="shared" si="75"/>
        <v>#N/A</v>
      </c>
    </row>
    <row r="114" spans="1:34" ht="15.5">
      <c r="A114" s="1216" t="b">
        <f t="shared" si="54"/>
        <v>1</v>
      </c>
      <c r="B114" s="1217" t="b">
        <f t="shared" si="67"/>
        <v>1</v>
      </c>
      <c r="C114" s="1218" t="str">
        <f t="shared" si="68"/>
        <v>Dólares</v>
      </c>
      <c r="D114" s="47"/>
      <c r="E114" s="836"/>
      <c r="F114" s="50"/>
      <c r="G114" s="50" t="str">
        <f t="shared" si="55"/>
        <v xml:space="preserve"> </v>
      </c>
      <c r="H114" s="45">
        <v>0</v>
      </c>
      <c r="I114" s="49" t="str">
        <f>IFERROR(VLOOKUP(G114,Proveedores!B:C,2,0)," ")</f>
        <v xml:space="preserve"> </v>
      </c>
      <c r="J114" s="838">
        <v>0</v>
      </c>
      <c r="K114" s="1124"/>
      <c r="L114" s="1266">
        <f t="shared" si="56"/>
        <v>0</v>
      </c>
      <c r="M114" s="1267">
        <f t="shared" si="57"/>
        <v>0</v>
      </c>
      <c r="N114" s="1268">
        <f t="shared" si="76"/>
        <v>0</v>
      </c>
      <c r="O114" s="836" t="str">
        <f>IFERROR(VLOOKUP(G114,Proveedores!B:D,3,0)," ")</f>
        <v xml:space="preserve"> </v>
      </c>
      <c r="P114" s="836"/>
      <c r="Q114" s="1127" t="e">
        <f t="shared" si="58"/>
        <v>#N/A</v>
      </c>
      <c r="R114" s="1127" t="b">
        <f t="shared" si="69"/>
        <v>0</v>
      </c>
      <c r="S114" s="1127" t="e">
        <f t="shared" si="59"/>
        <v>#N/A</v>
      </c>
      <c r="T114" s="1127" t="b">
        <f t="shared" si="70"/>
        <v>0</v>
      </c>
      <c r="U114" s="1127" t="e">
        <f t="shared" si="60"/>
        <v>#N/A</v>
      </c>
      <c r="V114" s="1127" t="e">
        <f t="shared" si="71"/>
        <v>#N/A</v>
      </c>
      <c r="W114" s="1127" t="e">
        <f>IF(F114="Offiho",J114,IF(_xlfn.XLOOKUP(F114,Proveedores!A$2:A$50,Proveedores!E$2:E$50,"")="Nacional",(J114/0.5)+(V114*H114),((J114/0.3/0.5)+(V114*H114))))</f>
        <v>#N/A</v>
      </c>
      <c r="X114" s="1127" t="e">
        <f t="shared" si="61"/>
        <v>#N/A</v>
      </c>
      <c r="Y114" s="1126" t="b">
        <f t="shared" si="62"/>
        <v>0</v>
      </c>
      <c r="Z114" s="43">
        <v>0</v>
      </c>
      <c r="AA114" s="1219" t="e">
        <f t="shared" si="72"/>
        <v>#N/A</v>
      </c>
      <c r="AB114" s="1219" t="e">
        <f t="shared" si="73"/>
        <v>#N/A</v>
      </c>
      <c r="AC114" s="1219" t="e">
        <f t="shared" si="63"/>
        <v>#N/A</v>
      </c>
      <c r="AD114" s="1126" t="e">
        <f t="shared" si="74"/>
        <v>#N/A</v>
      </c>
      <c r="AE114" s="1217" t="e">
        <f t="shared" si="64"/>
        <v>#N/A</v>
      </c>
      <c r="AF114" s="1220" t="e">
        <f t="shared" si="65"/>
        <v>#N/A</v>
      </c>
      <c r="AG114" s="1176" t="e">
        <f t="shared" si="66"/>
        <v>#N/A</v>
      </c>
      <c r="AH114" s="1221" t="e">
        <f t="shared" si="75"/>
        <v>#N/A</v>
      </c>
    </row>
    <row r="115" spans="1:34" ht="15.5">
      <c r="A115" s="1216" t="b">
        <f t="shared" si="54"/>
        <v>1</v>
      </c>
      <c r="B115" s="1217" t="b">
        <f t="shared" si="67"/>
        <v>1</v>
      </c>
      <c r="C115" s="1218" t="str">
        <f t="shared" si="68"/>
        <v>Dólares</v>
      </c>
      <c r="D115" s="47"/>
      <c r="E115" s="836"/>
      <c r="F115" s="50"/>
      <c r="G115" s="50" t="str">
        <f t="shared" si="55"/>
        <v xml:space="preserve"> </v>
      </c>
      <c r="H115" s="45">
        <v>0</v>
      </c>
      <c r="I115" s="49" t="str">
        <f>IFERROR(VLOOKUP(G115,Proveedores!B:C,2,0)," ")</f>
        <v xml:space="preserve"> </v>
      </c>
      <c r="J115" s="838">
        <v>0</v>
      </c>
      <c r="K115" s="1124"/>
      <c r="L115" s="1266">
        <f t="shared" si="56"/>
        <v>0</v>
      </c>
      <c r="M115" s="1267">
        <f t="shared" si="57"/>
        <v>0</v>
      </c>
      <c r="N115" s="1268">
        <f t="shared" si="76"/>
        <v>0</v>
      </c>
      <c r="O115" s="836" t="str">
        <f>IFERROR(VLOOKUP(G115,Proveedores!B:D,3,0)," ")</f>
        <v xml:space="preserve"> </v>
      </c>
      <c r="P115" s="836"/>
      <c r="Q115" s="1127" t="e">
        <f t="shared" si="58"/>
        <v>#N/A</v>
      </c>
      <c r="R115" s="1127" t="b">
        <f t="shared" si="69"/>
        <v>0</v>
      </c>
      <c r="S115" s="1127" t="e">
        <f t="shared" si="59"/>
        <v>#N/A</v>
      </c>
      <c r="T115" s="1127" t="b">
        <f t="shared" si="70"/>
        <v>0</v>
      </c>
      <c r="U115" s="1127" t="e">
        <f t="shared" si="60"/>
        <v>#N/A</v>
      </c>
      <c r="V115" s="1127" t="e">
        <f t="shared" si="71"/>
        <v>#N/A</v>
      </c>
      <c r="W115" s="1127" t="e">
        <f>IF(F115="Offiho",J115,IF(_xlfn.XLOOKUP(F115,Proveedores!A$2:A$50,Proveedores!E$2:E$50,"")="Nacional",(J115/0.5)+(V115*H115),((J115/0.3/0.5)+(V115*H115))))</f>
        <v>#N/A</v>
      </c>
      <c r="X115" s="1127" t="e">
        <f t="shared" si="61"/>
        <v>#N/A</v>
      </c>
      <c r="Y115" s="1126" t="b">
        <f t="shared" si="62"/>
        <v>0</v>
      </c>
      <c r="Z115" s="43">
        <v>0</v>
      </c>
      <c r="AA115" s="1219" t="e">
        <f t="shared" si="72"/>
        <v>#N/A</v>
      </c>
      <c r="AB115" s="1219" t="e">
        <f t="shared" si="73"/>
        <v>#N/A</v>
      </c>
      <c r="AC115" s="1219" t="e">
        <f t="shared" si="63"/>
        <v>#N/A</v>
      </c>
      <c r="AD115" s="1126" t="e">
        <f t="shared" si="74"/>
        <v>#N/A</v>
      </c>
      <c r="AE115" s="1217" t="e">
        <f t="shared" si="64"/>
        <v>#N/A</v>
      </c>
      <c r="AF115" s="1220" t="e">
        <f t="shared" si="65"/>
        <v>#N/A</v>
      </c>
      <c r="AG115" s="1176" t="e">
        <f t="shared" si="66"/>
        <v>#N/A</v>
      </c>
      <c r="AH115" s="1221" t="e">
        <f t="shared" si="75"/>
        <v>#N/A</v>
      </c>
    </row>
    <row r="116" spans="1:34" ht="15.5">
      <c r="A116" s="1216" t="b">
        <f t="shared" si="54"/>
        <v>1</v>
      </c>
      <c r="B116" s="1217" t="b">
        <f t="shared" si="67"/>
        <v>1</v>
      </c>
      <c r="C116" s="1218" t="str">
        <f t="shared" si="68"/>
        <v>Dólares</v>
      </c>
      <c r="D116" s="47"/>
      <c r="E116" s="836"/>
      <c r="F116" s="50"/>
      <c r="G116" s="50" t="str">
        <f t="shared" si="55"/>
        <v xml:space="preserve"> </v>
      </c>
      <c r="H116" s="45">
        <v>0</v>
      </c>
      <c r="I116" s="49" t="str">
        <f>IFERROR(VLOOKUP(G116,Proveedores!B:C,2,0)," ")</f>
        <v xml:space="preserve"> </v>
      </c>
      <c r="J116" s="838">
        <v>0</v>
      </c>
      <c r="K116" s="1124"/>
      <c r="L116" s="1266">
        <f t="shared" si="56"/>
        <v>0</v>
      </c>
      <c r="M116" s="1267">
        <f t="shared" si="57"/>
        <v>0</v>
      </c>
      <c r="N116" s="1268">
        <f t="shared" si="76"/>
        <v>0</v>
      </c>
      <c r="O116" s="836" t="str">
        <f>IFERROR(VLOOKUP(G116,Proveedores!B:D,3,0)," ")</f>
        <v xml:space="preserve"> </v>
      </c>
      <c r="P116" s="836"/>
      <c r="Q116" s="1127" t="e">
        <f t="shared" si="58"/>
        <v>#N/A</v>
      </c>
      <c r="R116" s="1127" t="b">
        <f t="shared" si="69"/>
        <v>0</v>
      </c>
      <c r="S116" s="1127" t="e">
        <f t="shared" si="59"/>
        <v>#N/A</v>
      </c>
      <c r="T116" s="1127" t="b">
        <f t="shared" si="70"/>
        <v>0</v>
      </c>
      <c r="U116" s="1127" t="e">
        <f t="shared" si="60"/>
        <v>#N/A</v>
      </c>
      <c r="V116" s="1127" t="e">
        <f t="shared" si="71"/>
        <v>#N/A</v>
      </c>
      <c r="W116" s="1127" t="e">
        <f>IF(F116="Offiho",J116,IF(_xlfn.XLOOKUP(F116,Proveedores!A$2:A$50,Proveedores!E$2:E$50,"")="Nacional",(J116/0.5)+(V116*H116),((J116/0.3/0.5)+(V116*H116))))</f>
        <v>#N/A</v>
      </c>
      <c r="X116" s="1127" t="e">
        <f t="shared" si="61"/>
        <v>#N/A</v>
      </c>
      <c r="Y116" s="1126" t="b">
        <f t="shared" si="62"/>
        <v>0</v>
      </c>
      <c r="Z116" s="43">
        <v>0</v>
      </c>
      <c r="AA116" s="1219" t="e">
        <f t="shared" si="72"/>
        <v>#N/A</v>
      </c>
      <c r="AB116" s="1219" t="e">
        <f t="shared" si="73"/>
        <v>#N/A</v>
      </c>
      <c r="AC116" s="1219" t="e">
        <f t="shared" si="63"/>
        <v>#N/A</v>
      </c>
      <c r="AD116" s="1126" t="str">
        <f t="shared" si="74"/>
        <v>NA</v>
      </c>
      <c r="AE116" s="1217" t="e">
        <f t="shared" si="64"/>
        <v>#N/A</v>
      </c>
      <c r="AF116" s="1220" t="e">
        <f t="shared" si="65"/>
        <v>#N/A</v>
      </c>
      <c r="AG116" s="1176" t="e">
        <f t="shared" si="66"/>
        <v>#N/A</v>
      </c>
      <c r="AH116" s="1221" t="e">
        <f t="shared" si="75"/>
        <v>#N/A</v>
      </c>
    </row>
    <row r="117" spans="1:34" ht="24" customHeight="1">
      <c r="A117" s="1422" t="s">
        <v>120</v>
      </c>
      <c r="B117" s="1422"/>
      <c r="C117" s="1422"/>
      <c r="D117" s="1422"/>
      <c r="E117" s="1422"/>
      <c r="F117" s="1422"/>
      <c r="G117" s="1228"/>
      <c r="H117" s="1229" cm="1">
        <f t="array" ref="H117">SUM(IFERROR(H84:H116,0))</f>
        <v>0</v>
      </c>
      <c r="I117" s="1228"/>
      <c r="J117" s="1230"/>
      <c r="K117" s="1231"/>
      <c r="L117" s="1229" cm="1">
        <f t="array" ref="L117">SUM(IFERROR(L84:L116,0))</f>
        <v>0</v>
      </c>
      <c r="M117" s="1231"/>
      <c r="N117" s="1232" cm="1">
        <f t="array" ref="N117">SUM(IFERROR(N84:N116,0))</f>
        <v>0</v>
      </c>
      <c r="O117" s="1233"/>
      <c r="P117" s="1233"/>
      <c r="Q117" s="1233"/>
      <c r="R117" s="1233"/>
      <c r="S117" s="1233"/>
      <c r="T117" s="1233"/>
      <c r="U117" s="1233"/>
      <c r="V117" s="1233"/>
      <c r="W117" s="1231"/>
      <c r="X117" s="1232" cm="1">
        <f t="array" ref="X117">SUM(IFERROR(X84:X116,0))</f>
        <v>0</v>
      </c>
      <c r="Y117" s="1233" t="s">
        <v>116</v>
      </c>
      <c r="Z117" s="1233"/>
      <c r="AA117" s="1233"/>
      <c r="AB117" s="1233"/>
      <c r="AC117" s="1232" cm="1">
        <f t="array" ref="AC117">SUM(IFERROR(AC84:AC116,0))</f>
        <v>0</v>
      </c>
      <c r="AD117" s="1232"/>
      <c r="AE117" s="1232"/>
      <c r="AF117" s="1232" cm="1">
        <f t="array" ref="AF117">SUM(IFERROR(AF84:AF116,0))</f>
        <v>0</v>
      </c>
      <c r="AG117" s="1177">
        <f>IFERROR(1-(N117/AC117),0)</f>
        <v>0</v>
      </c>
      <c r="AH117"/>
    </row>
    <row r="118" spans="1:34" ht="26" customHeight="1">
      <c r="A118" s="1419" t="s">
        <v>121</v>
      </c>
      <c r="B118" s="1419"/>
      <c r="C118" s="1419"/>
      <c r="D118" s="1419"/>
      <c r="E118" s="1419"/>
      <c r="F118" s="1419"/>
      <c r="G118" s="1419"/>
      <c r="H118" s="1419"/>
      <c r="I118" s="1419"/>
      <c r="J118" s="1420"/>
      <c r="K118" s="1214"/>
      <c r="L118" s="1214"/>
      <c r="M118" s="1214"/>
      <c r="N118" s="1214"/>
      <c r="O118" s="1213"/>
      <c r="P118" s="1213"/>
      <c r="Q118" s="1213"/>
      <c r="R118" s="1213"/>
      <c r="S118" s="1213"/>
      <c r="T118" s="1213"/>
      <c r="U118" s="1213"/>
      <c r="V118" s="1213"/>
      <c r="W118" s="1213"/>
      <c r="X118" s="1213"/>
      <c r="Y118" s="1213"/>
      <c r="Z118" s="1213"/>
      <c r="AA118" s="1213"/>
      <c r="AB118" s="1213"/>
      <c r="AC118" s="1213"/>
      <c r="AD118" s="1213"/>
      <c r="AE118" s="1213"/>
      <c r="AF118" s="1213"/>
      <c r="AG118" s="1215"/>
      <c r="AH118"/>
    </row>
    <row r="119" spans="1:34" ht="15.5">
      <c r="A119" s="1216" t="b">
        <f t="shared" ref="A119:A151" si="77">$A$13</f>
        <v>1</v>
      </c>
      <c r="B119" s="1217" t="b">
        <f>A119</f>
        <v>1</v>
      </c>
      <c r="C119" s="1218" t="str">
        <f>$C$13</f>
        <v>Dólares</v>
      </c>
      <c r="D119" s="44"/>
      <c r="E119" s="836"/>
      <c r="F119" s="50"/>
      <c r="G119" s="50" t="str">
        <f t="shared" ref="G119:G151" si="78">IFERROR(VLOOKUP(F119,Tabla_Proveedores_1,2,0)," ")</f>
        <v xml:space="preserve"> </v>
      </c>
      <c r="H119" s="45">
        <v>0</v>
      </c>
      <c r="I119" s="49" t="str">
        <f>IFERROR(VLOOKUP(G119,Proveedores!B:C,2,0)," ")</f>
        <v xml:space="preserve"> </v>
      </c>
      <c r="J119" s="838">
        <v>0</v>
      </c>
      <c r="K119" s="1124"/>
      <c r="L119" s="1266">
        <f t="shared" ref="L119:L151" si="79">K119*H119</f>
        <v>0</v>
      </c>
      <c r="M119" s="1267">
        <f t="shared" ref="M119:M151" si="80">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Brasil"),J119,IFERROR(IF(K678&lt;=$AO$578,J119*2.14,IF(K678&lt;=$AN$579,J119*1.8,IF(K678&gt;$AN$580,J119*1.5))),J119))*1.1)</f>
        <v>0</v>
      </c>
      <c r="N119" s="1268">
        <f>M119*H119</f>
        <v>0</v>
      </c>
      <c r="O119" s="836" t="str">
        <f>IFERROR(VLOOKUP(G119,Proveedores!B:D,3,0)," ")</f>
        <v xml:space="preserve"> </v>
      </c>
      <c r="P119" s="836"/>
      <c r="Q119" s="1127" t="e">
        <f t="shared" ref="Q119:Q151" si="81">VLOOKUP(E119,Tabla_Fletes,3,FALSE)</f>
        <v>#N/A</v>
      </c>
      <c r="R119" s="1127" t="b">
        <f>IF(P119="Centro",Q119,IF(P119="Norte",Q119*1.6,IF(P119="Occidente",Q119*1.2,IF(P119="Sur",Q119*2))))</f>
        <v>0</v>
      </c>
      <c r="S119" s="1127" t="e">
        <f t="shared" ref="S119:S151" si="82">VLOOKUP(E119,Tabla_Instalacion,2,FALSE)</f>
        <v>#N/A</v>
      </c>
      <c r="T119" s="1127" t="b">
        <f>IF(P119="Centro",S119,IF(P119="Norte",S119*1.1,IF(P119="Occidente",S119*1.1,IF(P119="Sur",S119*1.1))))</f>
        <v>0</v>
      </c>
      <c r="U119" s="1127" t="e">
        <f t="shared" ref="U119:U151" si="83">IF(F119="Offiho",0,Q119+S119)</f>
        <v>#N/A</v>
      </c>
      <c r="V119" s="1127" t="e">
        <f>IF(K119=0,U119/$H$573,U119*(K119/L119))*H119</f>
        <v>#N/A</v>
      </c>
      <c r="W119" s="1127" t="e">
        <f>IF(F119="Offiho",J119,IF(_xlfn.XLOOKUP(F119,Proveedores!A$2:A$50,Proveedores!E$2:E$50,"")="Nacional",(J119/0.5)+(V119*H119),((J119/0.3/0.5)+(V119*H119))))</f>
        <v>#N/A</v>
      </c>
      <c r="X119" s="1127" t="e">
        <f t="shared" ref="X119:X151" si="84">W119*H119</f>
        <v>#N/A</v>
      </c>
      <c r="Y119" s="1126" t="b">
        <f t="shared" ref="Y119:Y151" si="85">IF(F119="Sunon Inc",$AJ$577,IF(F119="Alma - Exterior",$AJ$578,IF(F119="Yabo - Hotelería",$AJ$579,IF(F119="OSJ - Medical",$AJ$580,IF(F119="Seezo - Home",$AJ$581,IF(F119="A&amp;D - Home",$AJ$582,IF(F119="Encore Alfombras Hoteleria Asia",$AJ$583,IF(F119="Zhong Xian - Leds",$AJ$584,IF(F119="Tarkett Europa",$AJ$585,IF(F119="2tec2",$AJ$586,IF(F119="Balsan Europa",$AJ$587,IF(F119="Armstrong Pisos USA",$AJ$588,IF(F119="Tarkett USA",$AJ$589,IF(F119="Tarkett Brasil",$AJ$590,IF(F119="Tarkett MX",$AJ$591,IF(F119="Jome",$AJ$592,IF(F119="Offiho",$AJ$593,IF(F119="Lumbro",$AJ$594,IF(F119="Sunon Mty",$AJ$595,IF(F119="Conceptos Sofas",$AJ$596,IF(F119="Lauco Sofas",$AJ$597,IF(F119="CR Global - Mesas Ajustables",$AJ$598,IF(F119="Vandesk",$AJ$599,IF(F119="Mamparas Tela",$AJ$600,IF(F119="Mampara Cristales",$AJ$601,IF(F119="Herrajes",$AJ$602,IF(F119="MetalWork",$AJ$603,IF(F119="Requiez",$AJ$604,IF(F119="Labenze",$AJ$605,IF(F119="Infinity",$AJ$606,IF(F119="Proveedor Externo",$AJ$607)))))))))))))))))))))))))))))))</f>
        <v>0</v>
      </c>
      <c r="Z119" s="43">
        <v>0</v>
      </c>
      <c r="AA119" s="1219" t="e">
        <f>W119*Z119</f>
        <v>#N/A</v>
      </c>
      <c r="AB119" s="1219" t="e">
        <f>IF(Z119&gt;Y119,"ERROR",(W119-AA119))</f>
        <v>#N/A</v>
      </c>
      <c r="AC119" s="1219" t="e">
        <f t="shared" ref="AC119:AC151" si="86">AB119*H119</f>
        <v>#N/A</v>
      </c>
      <c r="AD119" s="1126" t="e">
        <f>IF(A120=TRUE,MAX(0,1-(AE119/W119)),"NA")</f>
        <v>#N/A</v>
      </c>
      <c r="AE119" s="1217" t="e">
        <f t="shared" ref="AE119:AE151" si="87">IF(A118=FALSE,"NO APLICA",AB119*1.2)</f>
        <v>#N/A</v>
      </c>
      <c r="AF119" s="1220" t="e">
        <f t="shared" ref="AF119:AF151" si="88">AE119*H119</f>
        <v>#N/A</v>
      </c>
      <c r="AG119" s="1176" t="e">
        <f t="shared" ref="AG119:AG151" si="89">(AC119-N119)/AC119</f>
        <v>#N/A</v>
      </c>
      <c r="AH119" s="1221" t="e">
        <f t="shared" ref="AH119:AH127" si="90">IF(AG119&lt;30%,"ERROR","OK")</f>
        <v>#N/A</v>
      </c>
    </row>
    <row r="120" spans="1:34" ht="15.5">
      <c r="A120" s="1216" t="b">
        <f t="shared" si="77"/>
        <v>1</v>
      </c>
      <c r="B120" s="1217" t="b">
        <f t="shared" ref="B120:B151" si="91">A120</f>
        <v>1</v>
      </c>
      <c r="C120" s="1218" t="str">
        <f t="shared" ref="C120:C151" si="92">$C$13</f>
        <v>Dólares</v>
      </c>
      <c r="D120" s="44"/>
      <c r="E120" s="836"/>
      <c r="F120" s="50"/>
      <c r="G120" s="50" t="str">
        <f t="shared" si="78"/>
        <v xml:space="preserve"> </v>
      </c>
      <c r="H120" s="45">
        <v>0</v>
      </c>
      <c r="I120" s="49" t="str">
        <f>IFERROR(VLOOKUP(G120,Proveedores!B:C,2,0)," ")</f>
        <v xml:space="preserve"> </v>
      </c>
      <c r="J120" s="838">
        <v>0</v>
      </c>
      <c r="K120" s="1124"/>
      <c r="L120" s="1266">
        <f t="shared" si="79"/>
        <v>0</v>
      </c>
      <c r="M120" s="1267">
        <f t="shared" si="80"/>
        <v>0</v>
      </c>
      <c r="N120" s="1268">
        <f>M120*H120</f>
        <v>0</v>
      </c>
      <c r="O120" s="836" t="str">
        <f>IFERROR(VLOOKUP(G120,Proveedores!B:D,3,0)," ")</f>
        <v xml:space="preserve"> </v>
      </c>
      <c r="P120" s="836"/>
      <c r="Q120" s="1127" t="e">
        <f t="shared" si="81"/>
        <v>#N/A</v>
      </c>
      <c r="R120" s="1127" t="b">
        <f t="shared" ref="R120:R151" si="93">IF(P120="Centro",Q120,IF(P120="Norte",Q120*1.6,IF(P120="Occidente",Q120*1.2,IF(P120="Sur",Q120*2))))</f>
        <v>0</v>
      </c>
      <c r="S120" s="1127" t="e">
        <f t="shared" si="82"/>
        <v>#N/A</v>
      </c>
      <c r="T120" s="1127" t="b">
        <f t="shared" ref="T120:T151" si="94">IF(P120="Centro",S120,IF(P120="Norte",S120*1.1,IF(P120="Occidente",S120*1.1,IF(P120="Sur",S120*1.1))))</f>
        <v>0</v>
      </c>
      <c r="U120" s="1127" t="e">
        <f t="shared" si="83"/>
        <v>#N/A</v>
      </c>
      <c r="V120" s="1127" t="e">
        <f t="shared" ref="V120:V151" si="95">IF(K120=0,U120/$H$573,U120*(K120/L120))*H120</f>
        <v>#N/A</v>
      </c>
      <c r="W120" s="1127" t="e">
        <f>IF(F120="Offiho",J120,IF(_xlfn.XLOOKUP(F120,Proveedores!A$2:A$50,Proveedores!E$2:E$50,"")="Nacional",(J120/0.5)+(V120*H120),((J120/0.3/0.5)+(V120*H120))))</f>
        <v>#N/A</v>
      </c>
      <c r="X120" s="1127" t="e">
        <f t="shared" si="84"/>
        <v>#N/A</v>
      </c>
      <c r="Y120" s="1126" t="b">
        <f t="shared" si="85"/>
        <v>0</v>
      </c>
      <c r="Z120" s="43">
        <v>0</v>
      </c>
      <c r="AA120" s="1219" t="e">
        <f t="shared" ref="AA120:AA151" si="96">W120*Z120</f>
        <v>#N/A</v>
      </c>
      <c r="AB120" s="1219" t="e">
        <f t="shared" ref="AB120:AB151" si="97">IF(Z120&gt;Y120,"ERROR",(W120-AA120))</f>
        <v>#N/A</v>
      </c>
      <c r="AC120" s="1219" t="e">
        <f t="shared" si="86"/>
        <v>#N/A</v>
      </c>
      <c r="AD120" s="1126" t="e">
        <f t="shared" ref="AD120:AD151" si="98">IF(A121=TRUE,MAX(0,1-(AE120/W120)),"NA")</f>
        <v>#N/A</v>
      </c>
      <c r="AE120" s="1217" t="e">
        <f t="shared" si="87"/>
        <v>#N/A</v>
      </c>
      <c r="AF120" s="1220" t="e">
        <f t="shared" si="88"/>
        <v>#N/A</v>
      </c>
      <c r="AG120" s="1176" t="e">
        <f t="shared" si="89"/>
        <v>#N/A</v>
      </c>
      <c r="AH120" s="1221" t="e">
        <f t="shared" si="90"/>
        <v>#N/A</v>
      </c>
    </row>
    <row r="121" spans="1:34" ht="15.5">
      <c r="A121" s="1216" t="b">
        <f t="shared" si="77"/>
        <v>1</v>
      </c>
      <c r="B121" s="1217" t="b">
        <f t="shared" si="91"/>
        <v>1</v>
      </c>
      <c r="C121" s="1218" t="str">
        <f t="shared" si="92"/>
        <v>Dólares</v>
      </c>
      <c r="D121" s="44"/>
      <c r="E121" s="836"/>
      <c r="F121" s="50"/>
      <c r="G121" s="50" t="str">
        <f t="shared" si="78"/>
        <v xml:space="preserve"> </v>
      </c>
      <c r="H121" s="45">
        <v>0</v>
      </c>
      <c r="I121" s="49" t="str">
        <f>IFERROR(VLOOKUP(G121,Proveedores!B:C,2,0)," ")</f>
        <v xml:space="preserve"> </v>
      </c>
      <c r="J121" s="838">
        <v>0</v>
      </c>
      <c r="K121" s="1124"/>
      <c r="L121" s="1266">
        <f t="shared" si="79"/>
        <v>0</v>
      </c>
      <c r="M121" s="1267">
        <f t="shared" si="80"/>
        <v>0</v>
      </c>
      <c r="N121" s="1268">
        <f>(M121*H121)</f>
        <v>0</v>
      </c>
      <c r="O121" s="836" t="str">
        <f>IFERROR(VLOOKUP(G121,Proveedores!B:D,3,0)," ")</f>
        <v xml:space="preserve"> </v>
      </c>
      <c r="P121" s="836"/>
      <c r="Q121" s="1127" t="e">
        <f t="shared" si="81"/>
        <v>#N/A</v>
      </c>
      <c r="R121" s="1127" t="b">
        <f t="shared" si="93"/>
        <v>0</v>
      </c>
      <c r="S121" s="1127" t="e">
        <f t="shared" si="82"/>
        <v>#N/A</v>
      </c>
      <c r="T121" s="1127" t="b">
        <f t="shared" si="94"/>
        <v>0</v>
      </c>
      <c r="U121" s="1127" t="e">
        <f t="shared" si="83"/>
        <v>#N/A</v>
      </c>
      <c r="V121" s="1127" t="e">
        <f t="shared" si="95"/>
        <v>#N/A</v>
      </c>
      <c r="W121" s="1127" t="e">
        <f>IF(F121="Offiho",J121,IF(_xlfn.XLOOKUP(F121,Proveedores!A$2:A$50,Proveedores!E$2:E$50,"")="Nacional",(J121/0.5)+(V121*H121),((J121/0.3/0.5)+(V121*H121))))</f>
        <v>#N/A</v>
      </c>
      <c r="X121" s="1127" t="e">
        <f t="shared" si="84"/>
        <v>#N/A</v>
      </c>
      <c r="Y121" s="1126" t="b">
        <f t="shared" si="85"/>
        <v>0</v>
      </c>
      <c r="Z121" s="43">
        <v>0</v>
      </c>
      <c r="AA121" s="1219" t="e">
        <f t="shared" si="96"/>
        <v>#N/A</v>
      </c>
      <c r="AB121" s="1219" t="e">
        <f t="shared" si="97"/>
        <v>#N/A</v>
      </c>
      <c r="AC121" s="1219" t="e">
        <f t="shared" si="86"/>
        <v>#N/A</v>
      </c>
      <c r="AD121" s="1126" t="e">
        <f t="shared" si="98"/>
        <v>#N/A</v>
      </c>
      <c r="AE121" s="1217" t="e">
        <f t="shared" si="87"/>
        <v>#N/A</v>
      </c>
      <c r="AF121" s="1220" t="e">
        <f t="shared" si="88"/>
        <v>#N/A</v>
      </c>
      <c r="AG121" s="1176" t="e">
        <f t="shared" si="89"/>
        <v>#N/A</v>
      </c>
      <c r="AH121" s="1221" t="e">
        <f t="shared" si="90"/>
        <v>#N/A</v>
      </c>
    </row>
    <row r="122" spans="1:34" ht="15.5">
      <c r="A122" s="1216" t="b">
        <f t="shared" si="77"/>
        <v>1</v>
      </c>
      <c r="B122" s="1217" t="b">
        <f t="shared" si="91"/>
        <v>1</v>
      </c>
      <c r="C122" s="1218" t="str">
        <f t="shared" si="92"/>
        <v>Dólares</v>
      </c>
      <c r="D122" s="44"/>
      <c r="E122" s="836"/>
      <c r="F122" s="50"/>
      <c r="G122" s="50" t="str">
        <f t="shared" si="78"/>
        <v xml:space="preserve"> </v>
      </c>
      <c r="H122" s="45">
        <v>0</v>
      </c>
      <c r="I122" s="49" t="str">
        <f>IFERROR(VLOOKUP(G122,Proveedores!B:C,2,0)," ")</f>
        <v xml:space="preserve"> </v>
      </c>
      <c r="J122" s="838">
        <v>0</v>
      </c>
      <c r="K122" s="1124"/>
      <c r="L122" s="1266">
        <f t="shared" si="79"/>
        <v>0</v>
      </c>
      <c r="M122" s="1267">
        <f t="shared" si="80"/>
        <v>0</v>
      </c>
      <c r="N122" s="1268">
        <f t="shared" ref="N122:N151" si="99">M122*H122</f>
        <v>0</v>
      </c>
      <c r="O122" s="836" t="str">
        <f>IFERROR(VLOOKUP(G122,Proveedores!B:D,3,0)," ")</f>
        <v xml:space="preserve"> </v>
      </c>
      <c r="P122" s="836"/>
      <c r="Q122" s="1127" t="e">
        <f t="shared" si="81"/>
        <v>#N/A</v>
      </c>
      <c r="R122" s="1127" t="b">
        <f t="shared" si="93"/>
        <v>0</v>
      </c>
      <c r="S122" s="1127" t="e">
        <f t="shared" si="82"/>
        <v>#N/A</v>
      </c>
      <c r="T122" s="1127" t="b">
        <f t="shared" si="94"/>
        <v>0</v>
      </c>
      <c r="U122" s="1127" t="e">
        <f t="shared" si="83"/>
        <v>#N/A</v>
      </c>
      <c r="V122" s="1127" t="e">
        <f t="shared" si="95"/>
        <v>#N/A</v>
      </c>
      <c r="W122" s="1127" t="e">
        <f>IF(F122="Offiho",J122,IF(_xlfn.XLOOKUP(F122,Proveedores!A$2:A$50,Proveedores!E$2:E$50,"")="Nacional",(J122/0.5)+(V122*H122),((J122/0.3/0.5)+(V122*H122))))</f>
        <v>#N/A</v>
      </c>
      <c r="X122" s="1127" t="e">
        <f t="shared" si="84"/>
        <v>#N/A</v>
      </c>
      <c r="Y122" s="1126" t="b">
        <f t="shared" si="85"/>
        <v>0</v>
      </c>
      <c r="Z122" s="43">
        <v>0</v>
      </c>
      <c r="AA122" s="1219" t="e">
        <f t="shared" si="96"/>
        <v>#N/A</v>
      </c>
      <c r="AB122" s="1219" t="e">
        <f t="shared" si="97"/>
        <v>#N/A</v>
      </c>
      <c r="AC122" s="1219" t="e">
        <f t="shared" si="86"/>
        <v>#N/A</v>
      </c>
      <c r="AD122" s="1126" t="e">
        <f t="shared" si="98"/>
        <v>#N/A</v>
      </c>
      <c r="AE122" s="1217" t="e">
        <f t="shared" si="87"/>
        <v>#N/A</v>
      </c>
      <c r="AF122" s="1220" t="e">
        <f t="shared" si="88"/>
        <v>#N/A</v>
      </c>
      <c r="AG122" s="1176" t="e">
        <f t="shared" si="89"/>
        <v>#N/A</v>
      </c>
      <c r="AH122" s="1221" t="e">
        <f t="shared" si="90"/>
        <v>#N/A</v>
      </c>
    </row>
    <row r="123" spans="1:34" ht="15.5">
      <c r="A123" s="1216" t="b">
        <f t="shared" si="77"/>
        <v>1</v>
      </c>
      <c r="B123" s="1217" t="b">
        <f t="shared" si="91"/>
        <v>1</v>
      </c>
      <c r="C123" s="1218" t="str">
        <f t="shared" si="92"/>
        <v>Dólares</v>
      </c>
      <c r="D123" s="44"/>
      <c r="E123" s="836"/>
      <c r="F123" s="50"/>
      <c r="G123" s="50" t="str">
        <f t="shared" si="78"/>
        <v xml:space="preserve"> </v>
      </c>
      <c r="H123" s="45">
        <v>0</v>
      </c>
      <c r="I123" s="49" t="str">
        <f>IFERROR(VLOOKUP(G123,Proveedores!B:C,2,0)," ")</f>
        <v xml:space="preserve"> </v>
      </c>
      <c r="J123" s="838">
        <v>0</v>
      </c>
      <c r="K123" s="1124"/>
      <c r="L123" s="1266">
        <f t="shared" si="79"/>
        <v>0</v>
      </c>
      <c r="M123" s="1267">
        <f t="shared" si="80"/>
        <v>0</v>
      </c>
      <c r="N123" s="1268">
        <f t="shared" si="99"/>
        <v>0</v>
      </c>
      <c r="O123" s="836" t="str">
        <f>IFERROR(VLOOKUP(G123,Proveedores!B:D,3,0)," ")</f>
        <v xml:space="preserve"> </v>
      </c>
      <c r="P123" s="836"/>
      <c r="Q123" s="1127" t="e">
        <f t="shared" si="81"/>
        <v>#N/A</v>
      </c>
      <c r="R123" s="1127" t="b">
        <f t="shared" si="93"/>
        <v>0</v>
      </c>
      <c r="S123" s="1127" t="e">
        <f t="shared" si="82"/>
        <v>#N/A</v>
      </c>
      <c r="T123" s="1127" t="b">
        <f t="shared" si="94"/>
        <v>0</v>
      </c>
      <c r="U123" s="1127" t="e">
        <f t="shared" si="83"/>
        <v>#N/A</v>
      </c>
      <c r="V123" s="1127" t="e">
        <f t="shared" si="95"/>
        <v>#N/A</v>
      </c>
      <c r="W123" s="1127" t="e">
        <f>IF(F123="Offiho",J123,IF(_xlfn.XLOOKUP(F123,Proveedores!A$2:A$50,Proveedores!E$2:E$50,"")="Nacional",(J123/0.5)+(V123*H123),((J123/0.3/0.5)+(V123*H123))))</f>
        <v>#N/A</v>
      </c>
      <c r="X123" s="1127" t="e">
        <f t="shared" si="84"/>
        <v>#N/A</v>
      </c>
      <c r="Y123" s="1126" t="b">
        <f t="shared" si="85"/>
        <v>0</v>
      </c>
      <c r="Z123" s="43">
        <v>0</v>
      </c>
      <c r="AA123" s="1219" t="e">
        <f t="shared" si="96"/>
        <v>#N/A</v>
      </c>
      <c r="AB123" s="1219" t="e">
        <f t="shared" si="97"/>
        <v>#N/A</v>
      </c>
      <c r="AC123" s="1219" t="e">
        <f t="shared" si="86"/>
        <v>#N/A</v>
      </c>
      <c r="AD123" s="1126" t="e">
        <f t="shared" si="98"/>
        <v>#N/A</v>
      </c>
      <c r="AE123" s="1217" t="e">
        <f t="shared" si="87"/>
        <v>#N/A</v>
      </c>
      <c r="AF123" s="1220" t="e">
        <f t="shared" si="88"/>
        <v>#N/A</v>
      </c>
      <c r="AG123" s="1176" t="e">
        <f t="shared" si="89"/>
        <v>#N/A</v>
      </c>
      <c r="AH123" s="1221" t="e">
        <f t="shared" si="90"/>
        <v>#N/A</v>
      </c>
    </row>
    <row r="124" spans="1:34" ht="15.5">
      <c r="A124" s="1216" t="b">
        <f t="shared" si="77"/>
        <v>1</v>
      </c>
      <c r="B124" s="1217" t="b">
        <f t="shared" si="91"/>
        <v>1</v>
      </c>
      <c r="C124" s="1218" t="str">
        <f t="shared" si="92"/>
        <v>Dólares</v>
      </c>
      <c r="D124" s="44"/>
      <c r="E124" s="836"/>
      <c r="F124" s="50"/>
      <c r="G124" s="50" t="str">
        <f t="shared" si="78"/>
        <v xml:space="preserve"> </v>
      </c>
      <c r="H124" s="45">
        <v>0</v>
      </c>
      <c r="I124" s="49" t="str">
        <f>IFERROR(VLOOKUP(G124,Proveedores!B:C,2,0)," ")</f>
        <v xml:space="preserve"> </v>
      </c>
      <c r="J124" s="838">
        <v>0</v>
      </c>
      <c r="K124" s="1124"/>
      <c r="L124" s="1266">
        <f t="shared" si="79"/>
        <v>0</v>
      </c>
      <c r="M124" s="1267">
        <f t="shared" si="80"/>
        <v>0</v>
      </c>
      <c r="N124" s="1268">
        <f t="shared" si="99"/>
        <v>0</v>
      </c>
      <c r="O124" s="836" t="str">
        <f>IFERROR(VLOOKUP(G124,Proveedores!B:D,3,0)," ")</f>
        <v xml:space="preserve"> </v>
      </c>
      <c r="P124" s="836"/>
      <c r="Q124" s="1127" t="e">
        <f t="shared" si="81"/>
        <v>#N/A</v>
      </c>
      <c r="R124" s="1127" t="b">
        <f t="shared" si="93"/>
        <v>0</v>
      </c>
      <c r="S124" s="1127" t="e">
        <f t="shared" si="82"/>
        <v>#N/A</v>
      </c>
      <c r="T124" s="1127" t="b">
        <f t="shared" si="94"/>
        <v>0</v>
      </c>
      <c r="U124" s="1127" t="e">
        <f t="shared" si="83"/>
        <v>#N/A</v>
      </c>
      <c r="V124" s="1127" t="e">
        <f t="shared" si="95"/>
        <v>#N/A</v>
      </c>
      <c r="W124" s="1127" t="e">
        <f>IF(F124="Offiho",J124,IF(_xlfn.XLOOKUP(F124,Proveedores!A$2:A$50,Proveedores!E$2:E$50,"")="Nacional",(J124/0.5)+(V124*H124),((J124/0.3/0.5)+(V124*H124))))</f>
        <v>#N/A</v>
      </c>
      <c r="X124" s="1127" t="e">
        <f t="shared" si="84"/>
        <v>#N/A</v>
      </c>
      <c r="Y124" s="1126" t="b">
        <f t="shared" si="85"/>
        <v>0</v>
      </c>
      <c r="Z124" s="43">
        <v>0</v>
      </c>
      <c r="AA124" s="1219" t="e">
        <f t="shared" si="96"/>
        <v>#N/A</v>
      </c>
      <c r="AB124" s="1219" t="e">
        <f t="shared" si="97"/>
        <v>#N/A</v>
      </c>
      <c r="AC124" s="1219" t="e">
        <f t="shared" si="86"/>
        <v>#N/A</v>
      </c>
      <c r="AD124" s="1126" t="e">
        <f t="shared" si="98"/>
        <v>#N/A</v>
      </c>
      <c r="AE124" s="1217" t="e">
        <f t="shared" si="87"/>
        <v>#N/A</v>
      </c>
      <c r="AF124" s="1220" t="e">
        <f t="shared" si="88"/>
        <v>#N/A</v>
      </c>
      <c r="AG124" s="1176" t="e">
        <f t="shared" si="89"/>
        <v>#N/A</v>
      </c>
      <c r="AH124" s="1221" t="e">
        <f t="shared" si="90"/>
        <v>#N/A</v>
      </c>
    </row>
    <row r="125" spans="1:34" ht="15.5">
      <c r="A125" s="1216" t="b">
        <f t="shared" si="77"/>
        <v>1</v>
      </c>
      <c r="B125" s="1217" t="b">
        <f t="shared" si="91"/>
        <v>1</v>
      </c>
      <c r="C125" s="1218" t="str">
        <f t="shared" si="92"/>
        <v>Dólares</v>
      </c>
      <c r="D125" s="44"/>
      <c r="E125" s="836"/>
      <c r="F125" s="50"/>
      <c r="G125" s="50" t="str">
        <f t="shared" si="78"/>
        <v xml:space="preserve"> </v>
      </c>
      <c r="H125" s="45">
        <v>0</v>
      </c>
      <c r="I125" s="49" t="str">
        <f>IFERROR(VLOOKUP(G125,Proveedores!B:C,2,0)," ")</f>
        <v xml:space="preserve"> </v>
      </c>
      <c r="J125" s="838">
        <v>0</v>
      </c>
      <c r="K125" s="1124"/>
      <c r="L125" s="1266">
        <f t="shared" si="79"/>
        <v>0</v>
      </c>
      <c r="M125" s="1267">
        <f t="shared" si="80"/>
        <v>0</v>
      </c>
      <c r="N125" s="1268">
        <f t="shared" si="99"/>
        <v>0</v>
      </c>
      <c r="O125" s="836" t="str">
        <f>IFERROR(VLOOKUP(G125,Proveedores!B:D,3,0)," ")</f>
        <v xml:space="preserve"> </v>
      </c>
      <c r="P125" s="836"/>
      <c r="Q125" s="1127" t="e">
        <f t="shared" si="81"/>
        <v>#N/A</v>
      </c>
      <c r="R125" s="1127" t="b">
        <f t="shared" si="93"/>
        <v>0</v>
      </c>
      <c r="S125" s="1127" t="e">
        <f t="shared" si="82"/>
        <v>#N/A</v>
      </c>
      <c r="T125" s="1127" t="b">
        <f t="shared" si="94"/>
        <v>0</v>
      </c>
      <c r="U125" s="1127" t="e">
        <f t="shared" si="83"/>
        <v>#N/A</v>
      </c>
      <c r="V125" s="1127" t="e">
        <f t="shared" si="95"/>
        <v>#N/A</v>
      </c>
      <c r="W125" s="1127" t="e">
        <f>IF(F125="Offiho",J125,IF(_xlfn.XLOOKUP(F125,Proveedores!A$2:A$50,Proveedores!E$2:E$50,"")="Nacional",(J125/0.5)+(V125*H125),((J125/0.3/0.5)+(V125*H125))))</f>
        <v>#N/A</v>
      </c>
      <c r="X125" s="1127" t="e">
        <f t="shared" si="84"/>
        <v>#N/A</v>
      </c>
      <c r="Y125" s="1126" t="b">
        <f t="shared" si="85"/>
        <v>0</v>
      </c>
      <c r="Z125" s="43">
        <v>0</v>
      </c>
      <c r="AA125" s="1219" t="e">
        <f t="shared" si="96"/>
        <v>#N/A</v>
      </c>
      <c r="AB125" s="1219" t="e">
        <f t="shared" si="97"/>
        <v>#N/A</v>
      </c>
      <c r="AC125" s="1219" t="e">
        <f t="shared" si="86"/>
        <v>#N/A</v>
      </c>
      <c r="AD125" s="1126" t="e">
        <f t="shared" si="98"/>
        <v>#N/A</v>
      </c>
      <c r="AE125" s="1217" t="e">
        <f t="shared" si="87"/>
        <v>#N/A</v>
      </c>
      <c r="AF125" s="1220" t="e">
        <f t="shared" si="88"/>
        <v>#N/A</v>
      </c>
      <c r="AG125" s="1176" t="e">
        <f t="shared" si="89"/>
        <v>#N/A</v>
      </c>
      <c r="AH125" s="1221" t="e">
        <f t="shared" si="90"/>
        <v>#N/A</v>
      </c>
    </row>
    <row r="126" spans="1:34" ht="15.5">
      <c r="A126" s="1216" t="b">
        <f t="shared" si="77"/>
        <v>1</v>
      </c>
      <c r="B126" s="1217" t="b">
        <f t="shared" si="91"/>
        <v>1</v>
      </c>
      <c r="C126" s="1218" t="str">
        <f t="shared" si="92"/>
        <v>Dólares</v>
      </c>
      <c r="D126" s="44"/>
      <c r="E126" s="836"/>
      <c r="F126" s="50"/>
      <c r="G126" s="50" t="str">
        <f t="shared" si="78"/>
        <v xml:space="preserve"> </v>
      </c>
      <c r="H126" s="45">
        <v>0</v>
      </c>
      <c r="I126" s="49" t="str">
        <f>IFERROR(VLOOKUP(G126,Proveedores!B:C,2,0)," ")</f>
        <v xml:space="preserve"> </v>
      </c>
      <c r="J126" s="838">
        <v>0</v>
      </c>
      <c r="K126" s="1124"/>
      <c r="L126" s="1266">
        <f t="shared" si="79"/>
        <v>0</v>
      </c>
      <c r="M126" s="1267">
        <f t="shared" si="80"/>
        <v>0</v>
      </c>
      <c r="N126" s="1268">
        <f t="shared" si="99"/>
        <v>0</v>
      </c>
      <c r="O126" s="836" t="str">
        <f>IFERROR(VLOOKUP(G126,Proveedores!B:D,3,0)," ")</f>
        <v xml:space="preserve"> </v>
      </c>
      <c r="P126" s="836"/>
      <c r="Q126" s="1127" t="e">
        <f t="shared" si="81"/>
        <v>#N/A</v>
      </c>
      <c r="R126" s="1127" t="b">
        <f t="shared" si="93"/>
        <v>0</v>
      </c>
      <c r="S126" s="1127" t="e">
        <f t="shared" si="82"/>
        <v>#N/A</v>
      </c>
      <c r="T126" s="1127" t="b">
        <f t="shared" si="94"/>
        <v>0</v>
      </c>
      <c r="U126" s="1127" t="e">
        <f t="shared" si="83"/>
        <v>#N/A</v>
      </c>
      <c r="V126" s="1127" t="e">
        <f t="shared" si="95"/>
        <v>#N/A</v>
      </c>
      <c r="W126" s="1127" t="e">
        <f>IF(F126="Offiho",J126,IF(_xlfn.XLOOKUP(F126,Proveedores!A$2:A$50,Proveedores!E$2:E$50,"")="Nacional",(J126/0.5)+(V126*H126),((J126/0.3/0.5)+(V126*H126))))</f>
        <v>#N/A</v>
      </c>
      <c r="X126" s="1127" t="e">
        <f t="shared" si="84"/>
        <v>#N/A</v>
      </c>
      <c r="Y126" s="1126" t="b">
        <f t="shared" si="85"/>
        <v>0</v>
      </c>
      <c r="Z126" s="43">
        <v>0</v>
      </c>
      <c r="AA126" s="1219" t="e">
        <f t="shared" si="96"/>
        <v>#N/A</v>
      </c>
      <c r="AB126" s="1219" t="e">
        <f t="shared" si="97"/>
        <v>#N/A</v>
      </c>
      <c r="AC126" s="1219" t="e">
        <f t="shared" si="86"/>
        <v>#N/A</v>
      </c>
      <c r="AD126" s="1126" t="e">
        <f t="shared" si="98"/>
        <v>#N/A</v>
      </c>
      <c r="AE126" s="1217" t="e">
        <f t="shared" si="87"/>
        <v>#N/A</v>
      </c>
      <c r="AF126" s="1220" t="e">
        <f t="shared" si="88"/>
        <v>#N/A</v>
      </c>
      <c r="AG126" s="1176" t="e">
        <f t="shared" si="89"/>
        <v>#N/A</v>
      </c>
      <c r="AH126" s="1221" t="e">
        <f t="shared" si="90"/>
        <v>#N/A</v>
      </c>
    </row>
    <row r="127" spans="1:34" ht="15.5">
      <c r="A127" s="1216" t="b">
        <f t="shared" si="77"/>
        <v>1</v>
      </c>
      <c r="B127" s="1217" t="b">
        <f t="shared" si="91"/>
        <v>1</v>
      </c>
      <c r="C127" s="1218" t="str">
        <f t="shared" si="92"/>
        <v>Dólares</v>
      </c>
      <c r="D127" s="44"/>
      <c r="E127" s="836"/>
      <c r="F127" s="50"/>
      <c r="G127" s="50" t="str">
        <f t="shared" si="78"/>
        <v xml:space="preserve"> </v>
      </c>
      <c r="H127" s="45">
        <v>0</v>
      </c>
      <c r="I127" s="49" t="str">
        <f>IFERROR(VLOOKUP(G127,Proveedores!B:C,2,0)," ")</f>
        <v xml:space="preserve"> </v>
      </c>
      <c r="J127" s="838">
        <v>0</v>
      </c>
      <c r="K127" s="1124"/>
      <c r="L127" s="1266">
        <f t="shared" si="79"/>
        <v>0</v>
      </c>
      <c r="M127" s="1267">
        <f t="shared" si="80"/>
        <v>0</v>
      </c>
      <c r="N127" s="1268">
        <f t="shared" si="99"/>
        <v>0</v>
      </c>
      <c r="O127" s="836" t="str">
        <f>IFERROR(VLOOKUP(G127,Proveedores!B:D,3,0)," ")</f>
        <v xml:space="preserve"> </v>
      </c>
      <c r="P127" s="836"/>
      <c r="Q127" s="1127" t="e">
        <f t="shared" si="81"/>
        <v>#N/A</v>
      </c>
      <c r="R127" s="1127" t="b">
        <f t="shared" si="93"/>
        <v>0</v>
      </c>
      <c r="S127" s="1127" t="e">
        <f t="shared" si="82"/>
        <v>#N/A</v>
      </c>
      <c r="T127" s="1127" t="b">
        <f t="shared" si="94"/>
        <v>0</v>
      </c>
      <c r="U127" s="1127" t="e">
        <f t="shared" si="83"/>
        <v>#N/A</v>
      </c>
      <c r="V127" s="1127" t="e">
        <f t="shared" si="95"/>
        <v>#N/A</v>
      </c>
      <c r="W127" s="1127" t="e">
        <f>IF(F127="Offiho",J127,IF(_xlfn.XLOOKUP(F127,Proveedores!A$2:A$50,Proveedores!E$2:E$50,"")="Nacional",(J127/0.5)+(V127*H127),((J127/0.3/0.5)+(V127*H127))))</f>
        <v>#N/A</v>
      </c>
      <c r="X127" s="1127" t="e">
        <f t="shared" si="84"/>
        <v>#N/A</v>
      </c>
      <c r="Y127" s="1126" t="b">
        <f t="shared" si="85"/>
        <v>0</v>
      </c>
      <c r="Z127" s="43">
        <v>0</v>
      </c>
      <c r="AA127" s="1219" t="e">
        <f t="shared" si="96"/>
        <v>#N/A</v>
      </c>
      <c r="AB127" s="1219" t="e">
        <f t="shared" si="97"/>
        <v>#N/A</v>
      </c>
      <c r="AC127" s="1219" t="e">
        <f t="shared" si="86"/>
        <v>#N/A</v>
      </c>
      <c r="AD127" s="1126" t="e">
        <f t="shared" si="98"/>
        <v>#N/A</v>
      </c>
      <c r="AE127" s="1217" t="e">
        <f t="shared" si="87"/>
        <v>#N/A</v>
      </c>
      <c r="AF127" s="1220" t="e">
        <f t="shared" si="88"/>
        <v>#N/A</v>
      </c>
      <c r="AG127" s="1176" t="e">
        <f t="shared" si="89"/>
        <v>#N/A</v>
      </c>
      <c r="AH127" s="1221" t="e">
        <f t="shared" si="90"/>
        <v>#N/A</v>
      </c>
    </row>
    <row r="128" spans="1:34" ht="15.5">
      <c r="A128" s="1216" t="b">
        <f t="shared" si="77"/>
        <v>1</v>
      </c>
      <c r="B128" s="1217" t="b">
        <f t="shared" si="91"/>
        <v>1</v>
      </c>
      <c r="C128" s="1218" t="str">
        <f t="shared" si="92"/>
        <v>Dólares</v>
      </c>
      <c r="D128" s="44"/>
      <c r="E128" s="836"/>
      <c r="F128" s="50"/>
      <c r="G128" s="50" t="str">
        <f t="shared" si="78"/>
        <v xml:space="preserve"> </v>
      </c>
      <c r="H128" s="45">
        <v>0</v>
      </c>
      <c r="I128" s="49" t="str">
        <f>IFERROR(VLOOKUP(G128,Proveedores!B:C,2,0)," ")</f>
        <v xml:space="preserve"> </v>
      </c>
      <c r="J128" s="838">
        <v>0</v>
      </c>
      <c r="K128" s="1124"/>
      <c r="L128" s="1266">
        <f t="shared" si="79"/>
        <v>0</v>
      </c>
      <c r="M128" s="1267">
        <f t="shared" si="80"/>
        <v>0</v>
      </c>
      <c r="N128" s="1268">
        <f t="shared" si="99"/>
        <v>0</v>
      </c>
      <c r="O128" s="836" t="str">
        <f>IFERROR(VLOOKUP(G128,Proveedores!B:D,3,0)," ")</f>
        <v xml:space="preserve"> </v>
      </c>
      <c r="P128" s="836"/>
      <c r="Q128" s="1127" t="e">
        <f t="shared" si="81"/>
        <v>#N/A</v>
      </c>
      <c r="R128" s="1127" t="b">
        <f t="shared" si="93"/>
        <v>0</v>
      </c>
      <c r="S128" s="1127" t="e">
        <f t="shared" si="82"/>
        <v>#N/A</v>
      </c>
      <c r="T128" s="1127" t="b">
        <f t="shared" si="94"/>
        <v>0</v>
      </c>
      <c r="U128" s="1127" t="e">
        <f t="shared" si="83"/>
        <v>#N/A</v>
      </c>
      <c r="V128" s="1127" t="e">
        <f t="shared" si="95"/>
        <v>#N/A</v>
      </c>
      <c r="W128" s="1127" t="e">
        <f>IF(F128="Offiho",J128,IF(_xlfn.XLOOKUP(F128,Proveedores!A$2:A$50,Proveedores!E$2:E$50,"")="Nacional",(J128/0.5)+(V128*H128),((J128/0.3/0.5)+(V128*H128))))</f>
        <v>#N/A</v>
      </c>
      <c r="X128" s="1127" t="e">
        <f t="shared" si="84"/>
        <v>#N/A</v>
      </c>
      <c r="Y128" s="1126" t="b">
        <f t="shared" si="85"/>
        <v>0</v>
      </c>
      <c r="Z128" s="43">
        <v>0</v>
      </c>
      <c r="AA128" s="1219" t="e">
        <f t="shared" si="96"/>
        <v>#N/A</v>
      </c>
      <c r="AB128" s="1219" t="e">
        <f t="shared" si="97"/>
        <v>#N/A</v>
      </c>
      <c r="AC128" s="1219" t="e">
        <f t="shared" si="86"/>
        <v>#N/A</v>
      </c>
      <c r="AD128" s="1126" t="e">
        <f t="shared" si="98"/>
        <v>#N/A</v>
      </c>
      <c r="AE128" s="1217" t="e">
        <f t="shared" si="87"/>
        <v>#N/A</v>
      </c>
      <c r="AF128" s="1220" t="e">
        <f t="shared" si="88"/>
        <v>#N/A</v>
      </c>
      <c r="AG128" s="1176" t="e">
        <f t="shared" si="89"/>
        <v>#N/A</v>
      </c>
      <c r="AH128" s="1221" t="e">
        <f t="shared" ref="AH128:AH151" si="100">IF(AG128&lt;30%,"ERROR","OK")</f>
        <v>#N/A</v>
      </c>
    </row>
    <row r="129" spans="1:34" ht="15.5">
      <c r="A129" s="1216" t="b">
        <f t="shared" si="77"/>
        <v>1</v>
      </c>
      <c r="B129" s="1217" t="b">
        <f t="shared" si="91"/>
        <v>1</v>
      </c>
      <c r="C129" s="1218" t="str">
        <f t="shared" si="92"/>
        <v>Dólares</v>
      </c>
      <c r="D129" s="44"/>
      <c r="E129" s="836"/>
      <c r="F129" s="50"/>
      <c r="G129" s="50" t="str">
        <f t="shared" si="78"/>
        <v xml:space="preserve"> </v>
      </c>
      <c r="H129" s="45">
        <v>0</v>
      </c>
      <c r="I129" s="49" t="str">
        <f>IFERROR(VLOOKUP(G129,Proveedores!B:C,2,0)," ")</f>
        <v xml:space="preserve"> </v>
      </c>
      <c r="J129" s="838">
        <v>0</v>
      </c>
      <c r="K129" s="1124"/>
      <c r="L129" s="1266">
        <f t="shared" si="79"/>
        <v>0</v>
      </c>
      <c r="M129" s="1267">
        <f t="shared" si="80"/>
        <v>0</v>
      </c>
      <c r="N129" s="1268">
        <f t="shared" si="99"/>
        <v>0</v>
      </c>
      <c r="O129" s="836" t="str">
        <f>IFERROR(VLOOKUP(G129,Proveedores!B:D,3,0)," ")</f>
        <v xml:space="preserve"> </v>
      </c>
      <c r="P129" s="836"/>
      <c r="Q129" s="1127" t="e">
        <f t="shared" si="81"/>
        <v>#N/A</v>
      </c>
      <c r="R129" s="1127" t="b">
        <f t="shared" si="93"/>
        <v>0</v>
      </c>
      <c r="S129" s="1127" t="e">
        <f t="shared" si="82"/>
        <v>#N/A</v>
      </c>
      <c r="T129" s="1127" t="b">
        <f t="shared" si="94"/>
        <v>0</v>
      </c>
      <c r="U129" s="1127" t="e">
        <f t="shared" si="83"/>
        <v>#N/A</v>
      </c>
      <c r="V129" s="1127" t="e">
        <f t="shared" si="95"/>
        <v>#N/A</v>
      </c>
      <c r="W129" s="1127" t="e">
        <f>IF(F129="Offiho",J129,IF(_xlfn.XLOOKUP(F129,Proveedores!A$2:A$50,Proveedores!E$2:E$50,"")="Nacional",(J129/0.5)+(V129*H129),((J129/0.3/0.5)+(V129*H129))))</f>
        <v>#N/A</v>
      </c>
      <c r="X129" s="1127" t="e">
        <f t="shared" si="84"/>
        <v>#N/A</v>
      </c>
      <c r="Y129" s="1126" t="b">
        <f t="shared" si="85"/>
        <v>0</v>
      </c>
      <c r="Z129" s="43">
        <v>0</v>
      </c>
      <c r="AA129" s="1219" t="e">
        <f t="shared" si="96"/>
        <v>#N/A</v>
      </c>
      <c r="AB129" s="1219" t="e">
        <f t="shared" si="97"/>
        <v>#N/A</v>
      </c>
      <c r="AC129" s="1219" t="e">
        <f t="shared" si="86"/>
        <v>#N/A</v>
      </c>
      <c r="AD129" s="1126" t="e">
        <f t="shared" si="98"/>
        <v>#N/A</v>
      </c>
      <c r="AE129" s="1217" t="e">
        <f t="shared" si="87"/>
        <v>#N/A</v>
      </c>
      <c r="AF129" s="1220" t="e">
        <f t="shared" si="88"/>
        <v>#N/A</v>
      </c>
      <c r="AG129" s="1176" t="e">
        <f t="shared" si="89"/>
        <v>#N/A</v>
      </c>
      <c r="AH129" s="1221" t="e">
        <f t="shared" si="100"/>
        <v>#N/A</v>
      </c>
    </row>
    <row r="130" spans="1:34" ht="15.5">
      <c r="A130" s="1216" t="b">
        <f t="shared" si="77"/>
        <v>1</v>
      </c>
      <c r="B130" s="1217" t="b">
        <f t="shared" si="91"/>
        <v>1</v>
      </c>
      <c r="C130" s="1218" t="str">
        <f t="shared" si="92"/>
        <v>Dólares</v>
      </c>
      <c r="D130" s="44"/>
      <c r="E130" s="836"/>
      <c r="F130" s="50"/>
      <c r="G130" s="50" t="str">
        <f t="shared" si="78"/>
        <v xml:space="preserve"> </v>
      </c>
      <c r="H130" s="45">
        <v>0</v>
      </c>
      <c r="I130" s="49" t="str">
        <f>IFERROR(VLOOKUP(G130,Proveedores!B:C,2,0)," ")</f>
        <v xml:space="preserve"> </v>
      </c>
      <c r="J130" s="838">
        <v>0</v>
      </c>
      <c r="K130" s="1124"/>
      <c r="L130" s="1266">
        <f t="shared" si="79"/>
        <v>0</v>
      </c>
      <c r="M130" s="1267">
        <f t="shared" si="80"/>
        <v>0</v>
      </c>
      <c r="N130" s="1268">
        <f t="shared" si="99"/>
        <v>0</v>
      </c>
      <c r="O130" s="836" t="str">
        <f>IFERROR(VLOOKUP(G130,Proveedores!B:D,3,0)," ")</f>
        <v xml:space="preserve"> </v>
      </c>
      <c r="P130" s="836"/>
      <c r="Q130" s="1127" t="e">
        <f t="shared" si="81"/>
        <v>#N/A</v>
      </c>
      <c r="R130" s="1127" t="b">
        <f t="shared" si="93"/>
        <v>0</v>
      </c>
      <c r="S130" s="1127" t="e">
        <f t="shared" si="82"/>
        <v>#N/A</v>
      </c>
      <c r="T130" s="1127" t="b">
        <f t="shared" si="94"/>
        <v>0</v>
      </c>
      <c r="U130" s="1127" t="e">
        <f t="shared" si="83"/>
        <v>#N/A</v>
      </c>
      <c r="V130" s="1127" t="e">
        <f t="shared" si="95"/>
        <v>#N/A</v>
      </c>
      <c r="W130" s="1127" t="e">
        <f>IF(F130="Offiho",J130,IF(_xlfn.XLOOKUP(F130,Proveedores!A$2:A$50,Proveedores!E$2:E$50,"")="Nacional",(J130/0.5)+(V130*H130),((J130/0.3/0.5)+(V130*H130))))</f>
        <v>#N/A</v>
      </c>
      <c r="X130" s="1127" t="e">
        <f t="shared" si="84"/>
        <v>#N/A</v>
      </c>
      <c r="Y130" s="1126" t="b">
        <f t="shared" si="85"/>
        <v>0</v>
      </c>
      <c r="Z130" s="43">
        <v>0</v>
      </c>
      <c r="AA130" s="1219" t="e">
        <f t="shared" si="96"/>
        <v>#N/A</v>
      </c>
      <c r="AB130" s="1219" t="e">
        <f t="shared" si="97"/>
        <v>#N/A</v>
      </c>
      <c r="AC130" s="1219" t="e">
        <f t="shared" si="86"/>
        <v>#N/A</v>
      </c>
      <c r="AD130" s="1126" t="e">
        <f t="shared" si="98"/>
        <v>#N/A</v>
      </c>
      <c r="AE130" s="1217" t="e">
        <f t="shared" si="87"/>
        <v>#N/A</v>
      </c>
      <c r="AF130" s="1220" t="e">
        <f t="shared" si="88"/>
        <v>#N/A</v>
      </c>
      <c r="AG130" s="1176" t="e">
        <f t="shared" si="89"/>
        <v>#N/A</v>
      </c>
      <c r="AH130" s="1221" t="e">
        <f t="shared" si="100"/>
        <v>#N/A</v>
      </c>
    </row>
    <row r="131" spans="1:34" ht="15.5">
      <c r="A131" s="1216" t="b">
        <f t="shared" si="77"/>
        <v>1</v>
      </c>
      <c r="B131" s="1217" t="b">
        <f t="shared" si="91"/>
        <v>1</v>
      </c>
      <c r="C131" s="1218" t="str">
        <f t="shared" si="92"/>
        <v>Dólares</v>
      </c>
      <c r="D131" s="46"/>
      <c r="E131" s="836"/>
      <c r="F131" s="50"/>
      <c r="G131" s="50" t="str">
        <f t="shared" si="78"/>
        <v xml:space="preserve"> </v>
      </c>
      <c r="H131" s="45">
        <v>0</v>
      </c>
      <c r="I131" s="49" t="str">
        <f>IFERROR(VLOOKUP(G131,Proveedores!B:C,2,0)," ")</f>
        <v xml:space="preserve"> </v>
      </c>
      <c r="J131" s="838">
        <v>0</v>
      </c>
      <c r="K131" s="1124"/>
      <c r="L131" s="1266">
        <f t="shared" si="79"/>
        <v>0</v>
      </c>
      <c r="M131" s="1267">
        <f t="shared" si="80"/>
        <v>0</v>
      </c>
      <c r="N131" s="1268">
        <f t="shared" si="99"/>
        <v>0</v>
      </c>
      <c r="O131" s="836" t="str">
        <f>IFERROR(VLOOKUP(G131,Proveedores!B:D,3,0)," ")</f>
        <v xml:space="preserve"> </v>
      </c>
      <c r="P131" s="836"/>
      <c r="Q131" s="1127" t="e">
        <f t="shared" si="81"/>
        <v>#N/A</v>
      </c>
      <c r="R131" s="1127" t="b">
        <f t="shared" si="93"/>
        <v>0</v>
      </c>
      <c r="S131" s="1127" t="e">
        <f t="shared" si="82"/>
        <v>#N/A</v>
      </c>
      <c r="T131" s="1127" t="b">
        <f t="shared" si="94"/>
        <v>0</v>
      </c>
      <c r="U131" s="1127" t="e">
        <f t="shared" si="83"/>
        <v>#N/A</v>
      </c>
      <c r="V131" s="1127" t="e">
        <f t="shared" si="95"/>
        <v>#N/A</v>
      </c>
      <c r="W131" s="1127" t="e">
        <f>IF(F131="Offiho",J131,IF(_xlfn.XLOOKUP(F131,Proveedores!A$2:A$50,Proveedores!E$2:E$50,"")="Nacional",(J131/0.5)+(V131*H131),((J131/0.3/0.5)+(V131*H131))))</f>
        <v>#N/A</v>
      </c>
      <c r="X131" s="1127" t="e">
        <f t="shared" si="84"/>
        <v>#N/A</v>
      </c>
      <c r="Y131" s="1126" t="b">
        <f t="shared" si="85"/>
        <v>0</v>
      </c>
      <c r="Z131" s="43">
        <v>0</v>
      </c>
      <c r="AA131" s="1219" t="e">
        <f t="shared" si="96"/>
        <v>#N/A</v>
      </c>
      <c r="AB131" s="1219" t="e">
        <f t="shared" si="97"/>
        <v>#N/A</v>
      </c>
      <c r="AC131" s="1219" t="e">
        <f t="shared" si="86"/>
        <v>#N/A</v>
      </c>
      <c r="AD131" s="1126" t="e">
        <f t="shared" si="98"/>
        <v>#N/A</v>
      </c>
      <c r="AE131" s="1217" t="e">
        <f t="shared" si="87"/>
        <v>#N/A</v>
      </c>
      <c r="AF131" s="1220" t="e">
        <f t="shared" si="88"/>
        <v>#N/A</v>
      </c>
      <c r="AG131" s="1176" t="e">
        <f t="shared" si="89"/>
        <v>#N/A</v>
      </c>
      <c r="AH131" s="1221" t="e">
        <f t="shared" si="100"/>
        <v>#N/A</v>
      </c>
    </row>
    <row r="132" spans="1:34" ht="15.5">
      <c r="A132" s="1216" t="b">
        <f t="shared" si="77"/>
        <v>1</v>
      </c>
      <c r="B132" s="1217" t="b">
        <f t="shared" si="91"/>
        <v>1</v>
      </c>
      <c r="C132" s="1218" t="str">
        <f t="shared" si="92"/>
        <v>Dólares</v>
      </c>
      <c r="D132" s="46"/>
      <c r="E132" s="836"/>
      <c r="F132" s="50"/>
      <c r="G132" s="50" t="str">
        <f t="shared" si="78"/>
        <v xml:space="preserve"> </v>
      </c>
      <c r="H132" s="45">
        <v>0</v>
      </c>
      <c r="I132" s="49" t="str">
        <f>IFERROR(VLOOKUP(G132,Proveedores!B:C,2,0)," ")</f>
        <v xml:space="preserve"> </v>
      </c>
      <c r="J132" s="838">
        <v>0</v>
      </c>
      <c r="K132" s="1124"/>
      <c r="L132" s="1266">
        <f t="shared" si="79"/>
        <v>0</v>
      </c>
      <c r="M132" s="1267">
        <f t="shared" si="80"/>
        <v>0</v>
      </c>
      <c r="N132" s="1268">
        <f t="shared" si="99"/>
        <v>0</v>
      </c>
      <c r="O132" s="836" t="str">
        <f>IFERROR(VLOOKUP(G132,Proveedores!B:D,3,0)," ")</f>
        <v xml:space="preserve"> </v>
      </c>
      <c r="P132" s="836"/>
      <c r="Q132" s="1127" t="e">
        <f t="shared" si="81"/>
        <v>#N/A</v>
      </c>
      <c r="R132" s="1127" t="b">
        <f t="shared" si="93"/>
        <v>0</v>
      </c>
      <c r="S132" s="1127" t="e">
        <f t="shared" si="82"/>
        <v>#N/A</v>
      </c>
      <c r="T132" s="1127" t="b">
        <f t="shared" si="94"/>
        <v>0</v>
      </c>
      <c r="U132" s="1127" t="e">
        <f t="shared" si="83"/>
        <v>#N/A</v>
      </c>
      <c r="V132" s="1127" t="e">
        <f t="shared" si="95"/>
        <v>#N/A</v>
      </c>
      <c r="W132" s="1127" t="e">
        <f>IF(F132="Offiho",J132,IF(_xlfn.XLOOKUP(F132,Proveedores!A$2:A$50,Proveedores!E$2:E$50,"")="Nacional",(J132/0.5)+(V132*H132),((J132/0.3/0.5)+(V132*H132))))</f>
        <v>#N/A</v>
      </c>
      <c r="X132" s="1127" t="e">
        <f t="shared" si="84"/>
        <v>#N/A</v>
      </c>
      <c r="Y132" s="1126" t="b">
        <f t="shared" si="85"/>
        <v>0</v>
      </c>
      <c r="Z132" s="43">
        <v>0</v>
      </c>
      <c r="AA132" s="1219" t="e">
        <f t="shared" si="96"/>
        <v>#N/A</v>
      </c>
      <c r="AB132" s="1219" t="e">
        <f t="shared" si="97"/>
        <v>#N/A</v>
      </c>
      <c r="AC132" s="1219" t="e">
        <f t="shared" si="86"/>
        <v>#N/A</v>
      </c>
      <c r="AD132" s="1126" t="e">
        <f t="shared" si="98"/>
        <v>#N/A</v>
      </c>
      <c r="AE132" s="1217" t="e">
        <f t="shared" si="87"/>
        <v>#N/A</v>
      </c>
      <c r="AF132" s="1220" t="e">
        <f t="shared" si="88"/>
        <v>#N/A</v>
      </c>
      <c r="AG132" s="1176" t="e">
        <f t="shared" si="89"/>
        <v>#N/A</v>
      </c>
      <c r="AH132" s="1221" t="e">
        <f t="shared" si="100"/>
        <v>#N/A</v>
      </c>
    </row>
    <row r="133" spans="1:34" ht="15.5">
      <c r="A133" s="1216" t="b">
        <f t="shared" si="77"/>
        <v>1</v>
      </c>
      <c r="B133" s="1217" t="b">
        <f t="shared" si="91"/>
        <v>1</v>
      </c>
      <c r="C133" s="1218" t="str">
        <f t="shared" si="92"/>
        <v>Dólares</v>
      </c>
      <c r="D133" s="46"/>
      <c r="E133" s="836"/>
      <c r="F133" s="50"/>
      <c r="G133" s="50" t="str">
        <f t="shared" si="78"/>
        <v xml:space="preserve"> </v>
      </c>
      <c r="H133" s="45">
        <v>0</v>
      </c>
      <c r="I133" s="49" t="str">
        <f>IFERROR(VLOOKUP(G133,Proveedores!B:C,2,0)," ")</f>
        <v xml:space="preserve"> </v>
      </c>
      <c r="J133" s="838">
        <v>0</v>
      </c>
      <c r="K133" s="1124"/>
      <c r="L133" s="1266">
        <f t="shared" si="79"/>
        <v>0</v>
      </c>
      <c r="M133" s="1267">
        <f t="shared" si="80"/>
        <v>0</v>
      </c>
      <c r="N133" s="1268">
        <f t="shared" si="99"/>
        <v>0</v>
      </c>
      <c r="O133" s="836" t="str">
        <f>IFERROR(VLOOKUP(G133,Proveedores!B:D,3,0)," ")</f>
        <v xml:space="preserve"> </v>
      </c>
      <c r="P133" s="836"/>
      <c r="Q133" s="1127" t="e">
        <f t="shared" si="81"/>
        <v>#N/A</v>
      </c>
      <c r="R133" s="1127" t="b">
        <f t="shared" si="93"/>
        <v>0</v>
      </c>
      <c r="S133" s="1127" t="e">
        <f t="shared" si="82"/>
        <v>#N/A</v>
      </c>
      <c r="T133" s="1127" t="b">
        <f t="shared" si="94"/>
        <v>0</v>
      </c>
      <c r="U133" s="1127" t="e">
        <f t="shared" si="83"/>
        <v>#N/A</v>
      </c>
      <c r="V133" s="1127" t="e">
        <f t="shared" si="95"/>
        <v>#N/A</v>
      </c>
      <c r="W133" s="1127" t="e">
        <f>IF(F133="Offiho",J133,IF(_xlfn.XLOOKUP(F133,Proveedores!A$2:A$50,Proveedores!E$2:E$50,"")="Nacional",(J133/0.5)+(V133*H133),((J133/0.3/0.5)+(V133*H133))))</f>
        <v>#N/A</v>
      </c>
      <c r="X133" s="1127" t="e">
        <f t="shared" si="84"/>
        <v>#N/A</v>
      </c>
      <c r="Y133" s="1126" t="b">
        <f t="shared" si="85"/>
        <v>0</v>
      </c>
      <c r="Z133" s="43">
        <v>0</v>
      </c>
      <c r="AA133" s="1219" t="e">
        <f t="shared" si="96"/>
        <v>#N/A</v>
      </c>
      <c r="AB133" s="1219" t="e">
        <f t="shared" si="97"/>
        <v>#N/A</v>
      </c>
      <c r="AC133" s="1219" t="e">
        <f t="shared" si="86"/>
        <v>#N/A</v>
      </c>
      <c r="AD133" s="1126" t="e">
        <f t="shared" si="98"/>
        <v>#N/A</v>
      </c>
      <c r="AE133" s="1217" t="e">
        <f t="shared" si="87"/>
        <v>#N/A</v>
      </c>
      <c r="AF133" s="1220" t="e">
        <f t="shared" si="88"/>
        <v>#N/A</v>
      </c>
      <c r="AG133" s="1176" t="e">
        <f t="shared" si="89"/>
        <v>#N/A</v>
      </c>
      <c r="AH133" s="1221" t="e">
        <f>IF(AG133&lt;30%,"ERROR","OK")</f>
        <v>#N/A</v>
      </c>
    </row>
    <row r="134" spans="1:34" ht="15.5">
      <c r="A134" s="1216" t="b">
        <f t="shared" si="77"/>
        <v>1</v>
      </c>
      <c r="B134" s="1217" t="b">
        <f t="shared" si="91"/>
        <v>1</v>
      </c>
      <c r="C134" s="1218" t="str">
        <f t="shared" si="92"/>
        <v>Dólares</v>
      </c>
      <c r="D134" s="46"/>
      <c r="E134" s="836"/>
      <c r="F134" s="50"/>
      <c r="G134" s="50" t="str">
        <f t="shared" si="78"/>
        <v xml:space="preserve"> </v>
      </c>
      <c r="H134" s="45">
        <v>0</v>
      </c>
      <c r="I134" s="49" t="str">
        <f>IFERROR(VLOOKUP(G134,Proveedores!B:C,2,0)," ")</f>
        <v xml:space="preserve"> </v>
      </c>
      <c r="J134" s="838">
        <v>0</v>
      </c>
      <c r="K134" s="1124"/>
      <c r="L134" s="1266">
        <f t="shared" si="79"/>
        <v>0</v>
      </c>
      <c r="M134" s="1267">
        <f t="shared" si="80"/>
        <v>0</v>
      </c>
      <c r="N134" s="1268">
        <f t="shared" si="99"/>
        <v>0</v>
      </c>
      <c r="O134" s="836" t="str">
        <f>IFERROR(VLOOKUP(G134,Proveedores!B:D,3,0)," ")</f>
        <v xml:space="preserve"> </v>
      </c>
      <c r="P134" s="836"/>
      <c r="Q134" s="1127" t="e">
        <f t="shared" si="81"/>
        <v>#N/A</v>
      </c>
      <c r="R134" s="1127" t="b">
        <f t="shared" si="93"/>
        <v>0</v>
      </c>
      <c r="S134" s="1127" t="e">
        <f t="shared" si="82"/>
        <v>#N/A</v>
      </c>
      <c r="T134" s="1127" t="b">
        <f t="shared" si="94"/>
        <v>0</v>
      </c>
      <c r="U134" s="1127" t="e">
        <f t="shared" si="83"/>
        <v>#N/A</v>
      </c>
      <c r="V134" s="1127" t="e">
        <f t="shared" si="95"/>
        <v>#N/A</v>
      </c>
      <c r="W134" s="1127" t="e">
        <f>IF(F134="Offiho",J134,IF(_xlfn.XLOOKUP(F134,Proveedores!A$2:A$50,Proveedores!E$2:E$50,"")="Nacional",(J134/0.5)+(V134*H134),((J134/0.3/0.5)+(V134*H134))))</f>
        <v>#N/A</v>
      </c>
      <c r="X134" s="1127" t="e">
        <f t="shared" si="84"/>
        <v>#N/A</v>
      </c>
      <c r="Y134" s="1126" t="b">
        <f t="shared" si="85"/>
        <v>0</v>
      </c>
      <c r="Z134" s="43">
        <v>0</v>
      </c>
      <c r="AA134" s="1219" t="e">
        <f t="shared" si="96"/>
        <v>#N/A</v>
      </c>
      <c r="AB134" s="1219" t="e">
        <f t="shared" si="97"/>
        <v>#N/A</v>
      </c>
      <c r="AC134" s="1219" t="e">
        <f t="shared" si="86"/>
        <v>#N/A</v>
      </c>
      <c r="AD134" s="1126" t="e">
        <f t="shared" si="98"/>
        <v>#N/A</v>
      </c>
      <c r="AE134" s="1217" t="e">
        <f t="shared" si="87"/>
        <v>#N/A</v>
      </c>
      <c r="AF134" s="1220" t="e">
        <f t="shared" si="88"/>
        <v>#N/A</v>
      </c>
      <c r="AG134" s="1176" t="e">
        <f t="shared" si="89"/>
        <v>#N/A</v>
      </c>
      <c r="AH134" s="1221" t="e">
        <f t="shared" si="100"/>
        <v>#N/A</v>
      </c>
    </row>
    <row r="135" spans="1:34" ht="15.5">
      <c r="A135" s="1216" t="b">
        <f t="shared" si="77"/>
        <v>1</v>
      </c>
      <c r="B135" s="1217" t="b">
        <f t="shared" si="91"/>
        <v>1</v>
      </c>
      <c r="C135" s="1218" t="str">
        <f t="shared" si="92"/>
        <v>Dólares</v>
      </c>
      <c r="D135" s="46"/>
      <c r="E135" s="836"/>
      <c r="F135" s="50"/>
      <c r="G135" s="50" t="str">
        <f t="shared" si="78"/>
        <v xml:space="preserve"> </v>
      </c>
      <c r="H135" s="45">
        <v>0</v>
      </c>
      <c r="I135" s="49" t="str">
        <f>IFERROR(VLOOKUP(G135,Proveedores!B:C,2,0)," ")</f>
        <v xml:space="preserve"> </v>
      </c>
      <c r="J135" s="838">
        <v>0</v>
      </c>
      <c r="K135" s="1124"/>
      <c r="L135" s="1266">
        <f t="shared" si="79"/>
        <v>0</v>
      </c>
      <c r="M135" s="1267">
        <f t="shared" si="80"/>
        <v>0</v>
      </c>
      <c r="N135" s="1268">
        <f t="shared" si="99"/>
        <v>0</v>
      </c>
      <c r="O135" s="836" t="str">
        <f>IFERROR(VLOOKUP(G135,Proveedores!B:D,3,0)," ")</f>
        <v xml:space="preserve"> </v>
      </c>
      <c r="P135" s="836"/>
      <c r="Q135" s="1127" t="e">
        <f t="shared" si="81"/>
        <v>#N/A</v>
      </c>
      <c r="R135" s="1127" t="b">
        <f t="shared" si="93"/>
        <v>0</v>
      </c>
      <c r="S135" s="1127" t="e">
        <f t="shared" si="82"/>
        <v>#N/A</v>
      </c>
      <c r="T135" s="1127" t="b">
        <f t="shared" si="94"/>
        <v>0</v>
      </c>
      <c r="U135" s="1127" t="e">
        <f t="shared" si="83"/>
        <v>#N/A</v>
      </c>
      <c r="V135" s="1127" t="e">
        <f t="shared" si="95"/>
        <v>#N/A</v>
      </c>
      <c r="W135" s="1127" t="e">
        <f>IF(F135="Offiho",J135,IF(_xlfn.XLOOKUP(F135,Proveedores!A$2:A$50,Proveedores!E$2:E$50,"")="Nacional",(J135/0.5)+(V135*H135),((J135/0.3/0.5)+(V135*H135))))</f>
        <v>#N/A</v>
      </c>
      <c r="X135" s="1127" t="e">
        <f t="shared" si="84"/>
        <v>#N/A</v>
      </c>
      <c r="Y135" s="1126" t="b">
        <f t="shared" si="85"/>
        <v>0</v>
      </c>
      <c r="Z135" s="43">
        <v>0</v>
      </c>
      <c r="AA135" s="1219" t="e">
        <f t="shared" si="96"/>
        <v>#N/A</v>
      </c>
      <c r="AB135" s="1219" t="e">
        <f t="shared" si="97"/>
        <v>#N/A</v>
      </c>
      <c r="AC135" s="1219" t="e">
        <f t="shared" si="86"/>
        <v>#N/A</v>
      </c>
      <c r="AD135" s="1126" t="e">
        <f t="shared" si="98"/>
        <v>#N/A</v>
      </c>
      <c r="AE135" s="1217" t="e">
        <f t="shared" si="87"/>
        <v>#N/A</v>
      </c>
      <c r="AF135" s="1220" t="e">
        <f t="shared" si="88"/>
        <v>#N/A</v>
      </c>
      <c r="AG135" s="1176" t="e">
        <f t="shared" si="89"/>
        <v>#N/A</v>
      </c>
      <c r="AH135" s="1221" t="e">
        <f t="shared" si="100"/>
        <v>#N/A</v>
      </c>
    </row>
    <row r="136" spans="1:34" ht="15.5">
      <c r="A136" s="1216" t="b">
        <f t="shared" si="77"/>
        <v>1</v>
      </c>
      <c r="B136" s="1217" t="b">
        <f t="shared" si="91"/>
        <v>1</v>
      </c>
      <c r="C136" s="1218" t="str">
        <f t="shared" si="92"/>
        <v>Dólares</v>
      </c>
      <c r="D136" s="47"/>
      <c r="E136" s="836"/>
      <c r="F136" s="50"/>
      <c r="G136" s="50" t="str">
        <f t="shared" si="78"/>
        <v xml:space="preserve"> </v>
      </c>
      <c r="H136" s="45">
        <v>0</v>
      </c>
      <c r="I136" s="49" t="str">
        <f>IFERROR(VLOOKUP(G136,Proveedores!B:C,2,0)," ")</f>
        <v xml:space="preserve"> </v>
      </c>
      <c r="J136" s="838">
        <v>0</v>
      </c>
      <c r="K136" s="1124"/>
      <c r="L136" s="1266">
        <f t="shared" si="79"/>
        <v>0</v>
      </c>
      <c r="M136" s="1267">
        <f t="shared" si="80"/>
        <v>0</v>
      </c>
      <c r="N136" s="1268">
        <f t="shared" si="99"/>
        <v>0</v>
      </c>
      <c r="O136" s="836" t="str">
        <f>IFERROR(VLOOKUP(G136,Proveedores!B:D,3,0)," ")</f>
        <v xml:space="preserve"> </v>
      </c>
      <c r="P136" s="836"/>
      <c r="Q136" s="1127" t="e">
        <f t="shared" si="81"/>
        <v>#N/A</v>
      </c>
      <c r="R136" s="1127" t="b">
        <f t="shared" si="93"/>
        <v>0</v>
      </c>
      <c r="S136" s="1127" t="e">
        <f t="shared" si="82"/>
        <v>#N/A</v>
      </c>
      <c r="T136" s="1127" t="b">
        <f t="shared" si="94"/>
        <v>0</v>
      </c>
      <c r="U136" s="1127" t="e">
        <f t="shared" si="83"/>
        <v>#N/A</v>
      </c>
      <c r="V136" s="1127" t="e">
        <f t="shared" si="95"/>
        <v>#N/A</v>
      </c>
      <c r="W136" s="1127" t="e">
        <f>IF(F136="Offiho",J136,IF(_xlfn.XLOOKUP(F136,Proveedores!A$2:A$50,Proveedores!E$2:E$50,"")="Nacional",(J136/0.5)+(V136*H136),((J136/0.3/0.5)+(V136*H136))))</f>
        <v>#N/A</v>
      </c>
      <c r="X136" s="1127" t="e">
        <f t="shared" si="84"/>
        <v>#N/A</v>
      </c>
      <c r="Y136" s="1126" t="b">
        <f t="shared" si="85"/>
        <v>0</v>
      </c>
      <c r="Z136" s="43">
        <v>0</v>
      </c>
      <c r="AA136" s="1219" t="e">
        <f t="shared" si="96"/>
        <v>#N/A</v>
      </c>
      <c r="AB136" s="1219" t="e">
        <f t="shared" si="97"/>
        <v>#N/A</v>
      </c>
      <c r="AC136" s="1219" t="e">
        <f t="shared" si="86"/>
        <v>#N/A</v>
      </c>
      <c r="AD136" s="1126" t="e">
        <f t="shared" si="98"/>
        <v>#N/A</v>
      </c>
      <c r="AE136" s="1217" t="e">
        <f t="shared" si="87"/>
        <v>#N/A</v>
      </c>
      <c r="AF136" s="1220" t="e">
        <f t="shared" si="88"/>
        <v>#N/A</v>
      </c>
      <c r="AG136" s="1176" t="e">
        <f t="shared" si="89"/>
        <v>#N/A</v>
      </c>
      <c r="AH136" s="1221" t="e">
        <f t="shared" si="100"/>
        <v>#N/A</v>
      </c>
    </row>
    <row r="137" spans="1:34" ht="15.5">
      <c r="A137" s="1216" t="b">
        <f t="shared" si="77"/>
        <v>1</v>
      </c>
      <c r="B137" s="1217" t="b">
        <f t="shared" si="91"/>
        <v>1</v>
      </c>
      <c r="C137" s="1218" t="str">
        <f t="shared" si="92"/>
        <v>Dólares</v>
      </c>
      <c r="D137" s="48"/>
      <c r="E137" s="836"/>
      <c r="F137" s="50"/>
      <c r="G137" s="50" t="str">
        <f t="shared" si="78"/>
        <v xml:space="preserve"> </v>
      </c>
      <c r="H137" s="45">
        <v>0</v>
      </c>
      <c r="I137" s="49" t="str">
        <f>IFERROR(VLOOKUP(G137,Proveedores!B:C,2,0)," ")</f>
        <v xml:space="preserve"> </v>
      </c>
      <c r="J137" s="838">
        <v>0</v>
      </c>
      <c r="K137" s="1124"/>
      <c r="L137" s="1266">
        <f t="shared" si="79"/>
        <v>0</v>
      </c>
      <c r="M137" s="1267">
        <f t="shared" si="80"/>
        <v>0</v>
      </c>
      <c r="N137" s="1268">
        <f t="shared" si="99"/>
        <v>0</v>
      </c>
      <c r="O137" s="836" t="str">
        <f>IFERROR(VLOOKUP(G137,Proveedores!B:D,3,0)," ")</f>
        <v xml:space="preserve"> </v>
      </c>
      <c r="P137" s="836"/>
      <c r="Q137" s="1127" t="e">
        <f t="shared" si="81"/>
        <v>#N/A</v>
      </c>
      <c r="R137" s="1127" t="b">
        <f t="shared" si="93"/>
        <v>0</v>
      </c>
      <c r="S137" s="1127" t="e">
        <f t="shared" si="82"/>
        <v>#N/A</v>
      </c>
      <c r="T137" s="1127" t="b">
        <f t="shared" si="94"/>
        <v>0</v>
      </c>
      <c r="U137" s="1127" t="e">
        <f t="shared" si="83"/>
        <v>#N/A</v>
      </c>
      <c r="V137" s="1127" t="e">
        <f t="shared" si="95"/>
        <v>#N/A</v>
      </c>
      <c r="W137" s="1127" t="e">
        <f>IF(F137="Offiho",J137,IF(_xlfn.XLOOKUP(F137,Proveedores!A$2:A$50,Proveedores!E$2:E$50,"")="Nacional",(J137/0.5)+(V137*H137),((J137/0.3/0.5)+(V137*H137))))</f>
        <v>#N/A</v>
      </c>
      <c r="X137" s="1127" t="e">
        <f t="shared" si="84"/>
        <v>#N/A</v>
      </c>
      <c r="Y137" s="1126" t="b">
        <f t="shared" si="85"/>
        <v>0</v>
      </c>
      <c r="Z137" s="43">
        <v>0</v>
      </c>
      <c r="AA137" s="1219" t="e">
        <f t="shared" si="96"/>
        <v>#N/A</v>
      </c>
      <c r="AB137" s="1219" t="e">
        <f t="shared" si="97"/>
        <v>#N/A</v>
      </c>
      <c r="AC137" s="1219" t="e">
        <f t="shared" si="86"/>
        <v>#N/A</v>
      </c>
      <c r="AD137" s="1126" t="e">
        <f t="shared" si="98"/>
        <v>#N/A</v>
      </c>
      <c r="AE137" s="1217" t="e">
        <f t="shared" si="87"/>
        <v>#N/A</v>
      </c>
      <c r="AF137" s="1220" t="e">
        <f t="shared" si="88"/>
        <v>#N/A</v>
      </c>
      <c r="AG137" s="1176" t="e">
        <f t="shared" si="89"/>
        <v>#N/A</v>
      </c>
      <c r="AH137" s="1221" t="e">
        <f t="shared" si="100"/>
        <v>#N/A</v>
      </c>
    </row>
    <row r="138" spans="1:34" ht="15.5">
      <c r="A138" s="1216" t="b">
        <f t="shared" si="77"/>
        <v>1</v>
      </c>
      <c r="B138" s="1217" t="b">
        <f t="shared" si="91"/>
        <v>1</v>
      </c>
      <c r="C138" s="1218" t="str">
        <f t="shared" si="92"/>
        <v>Dólares</v>
      </c>
      <c r="D138" s="48"/>
      <c r="E138" s="836"/>
      <c r="F138" s="50"/>
      <c r="G138" s="50" t="str">
        <f t="shared" si="78"/>
        <v xml:space="preserve"> </v>
      </c>
      <c r="H138" s="45">
        <v>0</v>
      </c>
      <c r="I138" s="49" t="str">
        <f>IFERROR(VLOOKUP(G138,Proveedores!B:C,2,0)," ")</f>
        <v xml:space="preserve"> </v>
      </c>
      <c r="J138" s="838">
        <v>0</v>
      </c>
      <c r="K138" s="1124"/>
      <c r="L138" s="1266">
        <f t="shared" si="79"/>
        <v>0</v>
      </c>
      <c r="M138" s="1267">
        <f t="shared" si="80"/>
        <v>0</v>
      </c>
      <c r="N138" s="1268">
        <f t="shared" si="99"/>
        <v>0</v>
      </c>
      <c r="O138" s="836" t="str">
        <f>IFERROR(VLOOKUP(G138,Proveedores!B:D,3,0)," ")</f>
        <v xml:space="preserve"> </v>
      </c>
      <c r="P138" s="836"/>
      <c r="Q138" s="1127" t="e">
        <f t="shared" si="81"/>
        <v>#N/A</v>
      </c>
      <c r="R138" s="1127" t="b">
        <f t="shared" si="93"/>
        <v>0</v>
      </c>
      <c r="S138" s="1127" t="e">
        <f t="shared" si="82"/>
        <v>#N/A</v>
      </c>
      <c r="T138" s="1127" t="b">
        <f t="shared" si="94"/>
        <v>0</v>
      </c>
      <c r="U138" s="1127" t="e">
        <f t="shared" si="83"/>
        <v>#N/A</v>
      </c>
      <c r="V138" s="1127" t="e">
        <f t="shared" si="95"/>
        <v>#N/A</v>
      </c>
      <c r="W138" s="1127" t="e">
        <f>IF(F138="Offiho",J138,IF(_xlfn.XLOOKUP(F138,Proveedores!A$2:A$50,Proveedores!E$2:E$50,"")="Nacional",(J138/0.5)+(V138*H138),((J138/0.3/0.5)+(V138*H138))))</f>
        <v>#N/A</v>
      </c>
      <c r="X138" s="1127" t="e">
        <f t="shared" si="84"/>
        <v>#N/A</v>
      </c>
      <c r="Y138" s="1126" t="b">
        <f t="shared" si="85"/>
        <v>0</v>
      </c>
      <c r="Z138" s="43">
        <v>0</v>
      </c>
      <c r="AA138" s="1219" t="e">
        <f t="shared" si="96"/>
        <v>#N/A</v>
      </c>
      <c r="AB138" s="1219" t="e">
        <f t="shared" si="97"/>
        <v>#N/A</v>
      </c>
      <c r="AC138" s="1219" t="e">
        <f t="shared" si="86"/>
        <v>#N/A</v>
      </c>
      <c r="AD138" s="1126" t="e">
        <f t="shared" si="98"/>
        <v>#N/A</v>
      </c>
      <c r="AE138" s="1217" t="e">
        <f t="shared" si="87"/>
        <v>#N/A</v>
      </c>
      <c r="AF138" s="1220" t="e">
        <f t="shared" si="88"/>
        <v>#N/A</v>
      </c>
      <c r="AG138" s="1176" t="e">
        <f t="shared" si="89"/>
        <v>#N/A</v>
      </c>
      <c r="AH138" s="1221" t="e">
        <f t="shared" si="100"/>
        <v>#N/A</v>
      </c>
    </row>
    <row r="139" spans="1:34" ht="15.5">
      <c r="A139" s="1216" t="b">
        <f t="shared" si="77"/>
        <v>1</v>
      </c>
      <c r="B139" s="1217" t="b">
        <f t="shared" si="91"/>
        <v>1</v>
      </c>
      <c r="C139" s="1218" t="str">
        <f t="shared" si="92"/>
        <v>Dólares</v>
      </c>
      <c r="D139" s="48"/>
      <c r="E139" s="836"/>
      <c r="F139" s="50"/>
      <c r="G139" s="50" t="str">
        <f t="shared" si="78"/>
        <v xml:space="preserve"> </v>
      </c>
      <c r="H139" s="45">
        <v>0</v>
      </c>
      <c r="I139" s="49" t="str">
        <f>IFERROR(VLOOKUP(G139,Proveedores!B:C,2,0)," ")</f>
        <v xml:space="preserve"> </v>
      </c>
      <c r="J139" s="838">
        <v>0</v>
      </c>
      <c r="K139" s="1124"/>
      <c r="L139" s="1266">
        <f t="shared" si="79"/>
        <v>0</v>
      </c>
      <c r="M139" s="1267">
        <f t="shared" si="80"/>
        <v>0</v>
      </c>
      <c r="N139" s="1268">
        <f t="shared" si="99"/>
        <v>0</v>
      </c>
      <c r="O139" s="836" t="str">
        <f>IFERROR(VLOOKUP(G139,Proveedores!B:D,3,0)," ")</f>
        <v xml:space="preserve"> </v>
      </c>
      <c r="P139" s="836"/>
      <c r="Q139" s="1127" t="e">
        <f t="shared" si="81"/>
        <v>#N/A</v>
      </c>
      <c r="R139" s="1127" t="b">
        <f t="shared" si="93"/>
        <v>0</v>
      </c>
      <c r="S139" s="1127" t="e">
        <f t="shared" si="82"/>
        <v>#N/A</v>
      </c>
      <c r="T139" s="1127" t="b">
        <f t="shared" si="94"/>
        <v>0</v>
      </c>
      <c r="U139" s="1127" t="e">
        <f t="shared" si="83"/>
        <v>#N/A</v>
      </c>
      <c r="V139" s="1127" t="e">
        <f t="shared" si="95"/>
        <v>#N/A</v>
      </c>
      <c r="W139" s="1127" t="e">
        <f>IF(F139="Offiho",J139,IF(_xlfn.XLOOKUP(F139,Proveedores!A$2:A$50,Proveedores!E$2:E$50,"")="Nacional",(J139/0.5)+(V139*H139),((J139/0.3/0.5)+(V139*H139))))</f>
        <v>#N/A</v>
      </c>
      <c r="X139" s="1127" t="e">
        <f t="shared" si="84"/>
        <v>#N/A</v>
      </c>
      <c r="Y139" s="1126" t="b">
        <f t="shared" si="85"/>
        <v>0</v>
      </c>
      <c r="Z139" s="43">
        <v>0</v>
      </c>
      <c r="AA139" s="1219" t="e">
        <f t="shared" si="96"/>
        <v>#N/A</v>
      </c>
      <c r="AB139" s="1219" t="e">
        <f t="shared" si="97"/>
        <v>#N/A</v>
      </c>
      <c r="AC139" s="1219" t="e">
        <f t="shared" si="86"/>
        <v>#N/A</v>
      </c>
      <c r="AD139" s="1126" t="e">
        <f t="shared" si="98"/>
        <v>#N/A</v>
      </c>
      <c r="AE139" s="1217" t="e">
        <f t="shared" si="87"/>
        <v>#N/A</v>
      </c>
      <c r="AF139" s="1220" t="e">
        <f t="shared" si="88"/>
        <v>#N/A</v>
      </c>
      <c r="AG139" s="1176" t="e">
        <f t="shared" si="89"/>
        <v>#N/A</v>
      </c>
      <c r="AH139" s="1221" t="e">
        <f t="shared" si="100"/>
        <v>#N/A</v>
      </c>
    </row>
    <row r="140" spans="1:34" ht="15.5">
      <c r="A140" s="1216" t="b">
        <f t="shared" si="77"/>
        <v>1</v>
      </c>
      <c r="B140" s="1217" t="b">
        <f t="shared" si="91"/>
        <v>1</v>
      </c>
      <c r="C140" s="1218" t="str">
        <f t="shared" si="92"/>
        <v>Dólares</v>
      </c>
      <c r="D140" s="48"/>
      <c r="E140" s="836"/>
      <c r="F140" s="50"/>
      <c r="G140" s="50" t="str">
        <f t="shared" si="78"/>
        <v xml:space="preserve"> </v>
      </c>
      <c r="H140" s="45">
        <v>0</v>
      </c>
      <c r="I140" s="49" t="str">
        <f>IFERROR(VLOOKUP(G140,Proveedores!B:C,2,0)," ")</f>
        <v xml:space="preserve"> </v>
      </c>
      <c r="J140" s="838">
        <v>0</v>
      </c>
      <c r="K140" s="1124"/>
      <c r="L140" s="1266">
        <f t="shared" si="79"/>
        <v>0</v>
      </c>
      <c r="M140" s="1267">
        <f t="shared" si="80"/>
        <v>0</v>
      </c>
      <c r="N140" s="1268">
        <f t="shared" si="99"/>
        <v>0</v>
      </c>
      <c r="O140" s="836" t="str">
        <f>IFERROR(VLOOKUP(G140,Proveedores!B:D,3,0)," ")</f>
        <v xml:space="preserve"> </v>
      </c>
      <c r="P140" s="836"/>
      <c r="Q140" s="1127" t="e">
        <f t="shared" si="81"/>
        <v>#N/A</v>
      </c>
      <c r="R140" s="1127" t="b">
        <f t="shared" si="93"/>
        <v>0</v>
      </c>
      <c r="S140" s="1127" t="e">
        <f t="shared" si="82"/>
        <v>#N/A</v>
      </c>
      <c r="T140" s="1127" t="b">
        <f t="shared" si="94"/>
        <v>0</v>
      </c>
      <c r="U140" s="1127" t="e">
        <f t="shared" si="83"/>
        <v>#N/A</v>
      </c>
      <c r="V140" s="1127" t="e">
        <f t="shared" si="95"/>
        <v>#N/A</v>
      </c>
      <c r="W140" s="1127" t="e">
        <f>IF(F140="Offiho",J140,IF(_xlfn.XLOOKUP(F140,Proveedores!A$2:A$50,Proveedores!E$2:E$50,"")="Nacional",(J140/0.5)+(V140*H140),((J140/0.3/0.5)+(V140*H140))))</f>
        <v>#N/A</v>
      </c>
      <c r="X140" s="1127" t="e">
        <f t="shared" si="84"/>
        <v>#N/A</v>
      </c>
      <c r="Y140" s="1126" t="b">
        <f t="shared" si="85"/>
        <v>0</v>
      </c>
      <c r="Z140" s="43">
        <v>0</v>
      </c>
      <c r="AA140" s="1219" t="e">
        <f t="shared" si="96"/>
        <v>#N/A</v>
      </c>
      <c r="AB140" s="1219" t="e">
        <f t="shared" si="97"/>
        <v>#N/A</v>
      </c>
      <c r="AC140" s="1219" t="e">
        <f t="shared" si="86"/>
        <v>#N/A</v>
      </c>
      <c r="AD140" s="1126" t="e">
        <f t="shared" si="98"/>
        <v>#N/A</v>
      </c>
      <c r="AE140" s="1217" t="e">
        <f t="shared" si="87"/>
        <v>#N/A</v>
      </c>
      <c r="AF140" s="1220" t="e">
        <f t="shared" si="88"/>
        <v>#N/A</v>
      </c>
      <c r="AG140" s="1176" t="e">
        <f t="shared" si="89"/>
        <v>#N/A</v>
      </c>
      <c r="AH140" s="1221" t="e">
        <f t="shared" si="100"/>
        <v>#N/A</v>
      </c>
    </row>
    <row r="141" spans="1:34" ht="15.5">
      <c r="A141" s="1216" t="b">
        <f t="shared" si="77"/>
        <v>1</v>
      </c>
      <c r="B141" s="1217" t="b">
        <f t="shared" si="91"/>
        <v>1</v>
      </c>
      <c r="C141" s="1218" t="str">
        <f t="shared" si="92"/>
        <v>Dólares</v>
      </c>
      <c r="D141" s="47"/>
      <c r="E141" s="836"/>
      <c r="F141" s="50"/>
      <c r="G141" s="50" t="str">
        <f t="shared" si="78"/>
        <v xml:space="preserve"> </v>
      </c>
      <c r="H141" s="45">
        <v>0</v>
      </c>
      <c r="I141" s="49" t="str">
        <f>IFERROR(VLOOKUP(G141,Proveedores!B:C,2,0)," ")</f>
        <v xml:space="preserve"> </v>
      </c>
      <c r="J141" s="838">
        <v>0</v>
      </c>
      <c r="K141" s="1124"/>
      <c r="L141" s="1266">
        <f t="shared" si="79"/>
        <v>0</v>
      </c>
      <c r="M141" s="1267">
        <f t="shared" si="80"/>
        <v>0</v>
      </c>
      <c r="N141" s="1268">
        <f t="shared" si="99"/>
        <v>0</v>
      </c>
      <c r="O141" s="836" t="str">
        <f>IFERROR(VLOOKUP(G141,Proveedores!B:D,3,0)," ")</f>
        <v xml:space="preserve"> </v>
      </c>
      <c r="P141" s="836"/>
      <c r="Q141" s="1127" t="e">
        <f t="shared" si="81"/>
        <v>#N/A</v>
      </c>
      <c r="R141" s="1127" t="b">
        <f t="shared" si="93"/>
        <v>0</v>
      </c>
      <c r="S141" s="1127" t="e">
        <f t="shared" si="82"/>
        <v>#N/A</v>
      </c>
      <c r="T141" s="1127" t="b">
        <f t="shared" si="94"/>
        <v>0</v>
      </c>
      <c r="U141" s="1127" t="e">
        <f t="shared" si="83"/>
        <v>#N/A</v>
      </c>
      <c r="V141" s="1127" t="e">
        <f t="shared" si="95"/>
        <v>#N/A</v>
      </c>
      <c r="W141" s="1127" t="e">
        <f>IF(F141="Offiho",J141,IF(_xlfn.XLOOKUP(F141,Proveedores!A$2:A$50,Proveedores!E$2:E$50,"")="Nacional",(J141/0.5)+(V141*H141),((J141/0.3/0.5)+(V141*H141))))</f>
        <v>#N/A</v>
      </c>
      <c r="X141" s="1127" t="e">
        <f t="shared" si="84"/>
        <v>#N/A</v>
      </c>
      <c r="Y141" s="1126" t="b">
        <f t="shared" si="85"/>
        <v>0</v>
      </c>
      <c r="Z141" s="43">
        <v>0</v>
      </c>
      <c r="AA141" s="1219" t="e">
        <f t="shared" si="96"/>
        <v>#N/A</v>
      </c>
      <c r="AB141" s="1219" t="e">
        <f t="shared" si="97"/>
        <v>#N/A</v>
      </c>
      <c r="AC141" s="1219" t="e">
        <f t="shared" si="86"/>
        <v>#N/A</v>
      </c>
      <c r="AD141" s="1126" t="e">
        <f t="shared" si="98"/>
        <v>#N/A</v>
      </c>
      <c r="AE141" s="1217" t="e">
        <f t="shared" si="87"/>
        <v>#N/A</v>
      </c>
      <c r="AF141" s="1220" t="e">
        <f t="shared" si="88"/>
        <v>#N/A</v>
      </c>
      <c r="AG141" s="1176" t="e">
        <f t="shared" si="89"/>
        <v>#N/A</v>
      </c>
      <c r="AH141" s="1221" t="e">
        <f t="shared" si="100"/>
        <v>#N/A</v>
      </c>
    </row>
    <row r="142" spans="1:34" ht="15.5">
      <c r="A142" s="1216" t="b">
        <f t="shared" si="77"/>
        <v>1</v>
      </c>
      <c r="B142" s="1217" t="b">
        <f t="shared" si="91"/>
        <v>1</v>
      </c>
      <c r="C142" s="1218" t="str">
        <f t="shared" si="92"/>
        <v>Dólares</v>
      </c>
      <c r="D142" s="47"/>
      <c r="E142" s="836"/>
      <c r="F142" s="50"/>
      <c r="G142" s="50" t="str">
        <f t="shared" si="78"/>
        <v xml:space="preserve"> </v>
      </c>
      <c r="H142" s="45">
        <v>0</v>
      </c>
      <c r="I142" s="49" t="str">
        <f>IFERROR(VLOOKUP(G142,Proveedores!B:C,2,0)," ")</f>
        <v xml:space="preserve"> </v>
      </c>
      <c r="J142" s="838">
        <v>0</v>
      </c>
      <c r="K142" s="1124"/>
      <c r="L142" s="1266">
        <f t="shared" si="79"/>
        <v>0</v>
      </c>
      <c r="M142" s="1267">
        <f t="shared" si="80"/>
        <v>0</v>
      </c>
      <c r="N142" s="1268">
        <f t="shared" si="99"/>
        <v>0</v>
      </c>
      <c r="O142" s="836" t="str">
        <f>IFERROR(VLOOKUP(G142,Proveedores!B:D,3,0)," ")</f>
        <v xml:space="preserve"> </v>
      </c>
      <c r="P142" s="836"/>
      <c r="Q142" s="1127" t="e">
        <f t="shared" si="81"/>
        <v>#N/A</v>
      </c>
      <c r="R142" s="1127" t="b">
        <f t="shared" si="93"/>
        <v>0</v>
      </c>
      <c r="S142" s="1127" t="e">
        <f t="shared" si="82"/>
        <v>#N/A</v>
      </c>
      <c r="T142" s="1127" t="b">
        <f t="shared" si="94"/>
        <v>0</v>
      </c>
      <c r="U142" s="1127" t="e">
        <f t="shared" si="83"/>
        <v>#N/A</v>
      </c>
      <c r="V142" s="1127" t="e">
        <f t="shared" si="95"/>
        <v>#N/A</v>
      </c>
      <c r="W142" s="1127" t="e">
        <f>IF(F142="Offiho",J142,IF(_xlfn.XLOOKUP(F142,Proveedores!A$2:A$50,Proveedores!E$2:E$50,"")="Nacional",(J142/0.5)+(V142*H142),((J142/0.3/0.5)+(V142*H142))))</f>
        <v>#N/A</v>
      </c>
      <c r="X142" s="1127" t="e">
        <f t="shared" si="84"/>
        <v>#N/A</v>
      </c>
      <c r="Y142" s="1126" t="b">
        <f t="shared" si="85"/>
        <v>0</v>
      </c>
      <c r="Z142" s="43">
        <v>0</v>
      </c>
      <c r="AA142" s="1219" t="e">
        <f t="shared" si="96"/>
        <v>#N/A</v>
      </c>
      <c r="AB142" s="1219" t="e">
        <f t="shared" si="97"/>
        <v>#N/A</v>
      </c>
      <c r="AC142" s="1219" t="e">
        <f t="shared" si="86"/>
        <v>#N/A</v>
      </c>
      <c r="AD142" s="1126" t="e">
        <f t="shared" si="98"/>
        <v>#N/A</v>
      </c>
      <c r="AE142" s="1217" t="e">
        <f t="shared" si="87"/>
        <v>#N/A</v>
      </c>
      <c r="AF142" s="1220" t="e">
        <f t="shared" si="88"/>
        <v>#N/A</v>
      </c>
      <c r="AG142" s="1176" t="e">
        <f t="shared" si="89"/>
        <v>#N/A</v>
      </c>
      <c r="AH142" s="1221" t="e">
        <f t="shared" si="100"/>
        <v>#N/A</v>
      </c>
    </row>
    <row r="143" spans="1:34" ht="15.5">
      <c r="A143" s="1216" t="b">
        <f t="shared" si="77"/>
        <v>1</v>
      </c>
      <c r="B143" s="1217" t="b">
        <f t="shared" si="91"/>
        <v>1</v>
      </c>
      <c r="C143" s="1218" t="str">
        <f t="shared" si="92"/>
        <v>Dólares</v>
      </c>
      <c r="D143" s="47"/>
      <c r="E143" s="836"/>
      <c r="F143" s="50"/>
      <c r="G143" s="50" t="str">
        <f t="shared" si="78"/>
        <v xml:space="preserve"> </v>
      </c>
      <c r="H143" s="45">
        <v>0</v>
      </c>
      <c r="I143" s="49" t="str">
        <f>IFERROR(VLOOKUP(G143,Proveedores!B:C,2,0)," ")</f>
        <v xml:space="preserve"> </v>
      </c>
      <c r="J143" s="838">
        <v>0</v>
      </c>
      <c r="K143" s="1124"/>
      <c r="L143" s="1266">
        <f t="shared" si="79"/>
        <v>0</v>
      </c>
      <c r="M143" s="1267">
        <f t="shared" si="80"/>
        <v>0</v>
      </c>
      <c r="N143" s="1268">
        <f t="shared" si="99"/>
        <v>0</v>
      </c>
      <c r="O143" s="836" t="str">
        <f>IFERROR(VLOOKUP(G143,Proveedores!B:D,3,0)," ")</f>
        <v xml:space="preserve"> </v>
      </c>
      <c r="P143" s="836"/>
      <c r="Q143" s="1127" t="e">
        <f t="shared" si="81"/>
        <v>#N/A</v>
      </c>
      <c r="R143" s="1127" t="b">
        <f t="shared" si="93"/>
        <v>0</v>
      </c>
      <c r="S143" s="1127" t="e">
        <f t="shared" si="82"/>
        <v>#N/A</v>
      </c>
      <c r="T143" s="1127" t="b">
        <f t="shared" si="94"/>
        <v>0</v>
      </c>
      <c r="U143" s="1127" t="e">
        <f t="shared" si="83"/>
        <v>#N/A</v>
      </c>
      <c r="V143" s="1127" t="e">
        <f t="shared" si="95"/>
        <v>#N/A</v>
      </c>
      <c r="W143" s="1127" t="e">
        <f>IF(F143="Offiho",J143,IF(_xlfn.XLOOKUP(F143,Proveedores!A$2:A$50,Proveedores!E$2:E$50,"")="Nacional",(J143/0.5)+(V143*H143),((J143/0.3/0.5)+(V143*H143))))</f>
        <v>#N/A</v>
      </c>
      <c r="X143" s="1127" t="e">
        <f t="shared" si="84"/>
        <v>#N/A</v>
      </c>
      <c r="Y143" s="1126" t="b">
        <f t="shared" si="85"/>
        <v>0</v>
      </c>
      <c r="Z143" s="43">
        <v>0</v>
      </c>
      <c r="AA143" s="1219" t="e">
        <f t="shared" si="96"/>
        <v>#N/A</v>
      </c>
      <c r="AB143" s="1219" t="e">
        <f t="shared" si="97"/>
        <v>#N/A</v>
      </c>
      <c r="AC143" s="1219" t="e">
        <f t="shared" si="86"/>
        <v>#N/A</v>
      </c>
      <c r="AD143" s="1126" t="e">
        <f t="shared" si="98"/>
        <v>#N/A</v>
      </c>
      <c r="AE143" s="1217" t="e">
        <f t="shared" si="87"/>
        <v>#N/A</v>
      </c>
      <c r="AF143" s="1220" t="e">
        <f t="shared" si="88"/>
        <v>#N/A</v>
      </c>
      <c r="AG143" s="1176" t="e">
        <f t="shared" si="89"/>
        <v>#N/A</v>
      </c>
      <c r="AH143" s="1221" t="e">
        <f t="shared" si="100"/>
        <v>#N/A</v>
      </c>
    </row>
    <row r="144" spans="1:34" ht="15.5">
      <c r="A144" s="1216" t="b">
        <f t="shared" si="77"/>
        <v>1</v>
      </c>
      <c r="B144" s="1217" t="b">
        <f t="shared" si="91"/>
        <v>1</v>
      </c>
      <c r="C144" s="1218" t="str">
        <f t="shared" si="92"/>
        <v>Dólares</v>
      </c>
      <c r="D144" s="48"/>
      <c r="E144" s="836"/>
      <c r="F144" s="50"/>
      <c r="G144" s="50" t="str">
        <f t="shared" si="78"/>
        <v xml:space="preserve"> </v>
      </c>
      <c r="H144" s="45">
        <v>0</v>
      </c>
      <c r="I144" s="49" t="str">
        <f>IFERROR(VLOOKUP(G144,Proveedores!B:C,2,0)," ")</f>
        <v xml:space="preserve"> </v>
      </c>
      <c r="J144" s="838">
        <v>0</v>
      </c>
      <c r="K144" s="1124"/>
      <c r="L144" s="1266">
        <f t="shared" si="79"/>
        <v>0</v>
      </c>
      <c r="M144" s="1267">
        <f t="shared" si="80"/>
        <v>0</v>
      </c>
      <c r="N144" s="1268">
        <f t="shared" si="99"/>
        <v>0</v>
      </c>
      <c r="O144" s="836" t="str">
        <f>IFERROR(VLOOKUP(G144,Proveedores!B:D,3,0)," ")</f>
        <v xml:space="preserve"> </v>
      </c>
      <c r="P144" s="836"/>
      <c r="Q144" s="1127" t="e">
        <f t="shared" si="81"/>
        <v>#N/A</v>
      </c>
      <c r="R144" s="1127" t="b">
        <f t="shared" si="93"/>
        <v>0</v>
      </c>
      <c r="S144" s="1127" t="e">
        <f t="shared" si="82"/>
        <v>#N/A</v>
      </c>
      <c r="T144" s="1127" t="b">
        <f t="shared" si="94"/>
        <v>0</v>
      </c>
      <c r="U144" s="1127" t="e">
        <f t="shared" si="83"/>
        <v>#N/A</v>
      </c>
      <c r="V144" s="1127" t="e">
        <f t="shared" si="95"/>
        <v>#N/A</v>
      </c>
      <c r="W144" s="1127" t="e">
        <f>IF(F144="Offiho",J144,IF(_xlfn.XLOOKUP(F144,Proveedores!A$2:A$50,Proveedores!E$2:E$50,"")="Nacional",(J144/0.5)+(V144*H144),((J144/0.3/0.5)+(V144*H144))))</f>
        <v>#N/A</v>
      </c>
      <c r="X144" s="1127" t="e">
        <f t="shared" si="84"/>
        <v>#N/A</v>
      </c>
      <c r="Y144" s="1126" t="b">
        <f t="shared" si="85"/>
        <v>0</v>
      </c>
      <c r="Z144" s="43">
        <v>0</v>
      </c>
      <c r="AA144" s="1219" t="e">
        <f t="shared" si="96"/>
        <v>#N/A</v>
      </c>
      <c r="AB144" s="1219" t="e">
        <f t="shared" si="97"/>
        <v>#N/A</v>
      </c>
      <c r="AC144" s="1219" t="e">
        <f t="shared" si="86"/>
        <v>#N/A</v>
      </c>
      <c r="AD144" s="1126" t="e">
        <f t="shared" si="98"/>
        <v>#N/A</v>
      </c>
      <c r="AE144" s="1217" t="e">
        <f t="shared" si="87"/>
        <v>#N/A</v>
      </c>
      <c r="AF144" s="1220" t="e">
        <f t="shared" si="88"/>
        <v>#N/A</v>
      </c>
      <c r="AG144" s="1176" t="e">
        <f t="shared" si="89"/>
        <v>#N/A</v>
      </c>
      <c r="AH144" s="1221" t="e">
        <f t="shared" si="100"/>
        <v>#N/A</v>
      </c>
    </row>
    <row r="145" spans="1:34" ht="15.5">
      <c r="A145" s="1216" t="b">
        <f t="shared" si="77"/>
        <v>1</v>
      </c>
      <c r="B145" s="1217" t="b">
        <f t="shared" si="91"/>
        <v>1</v>
      </c>
      <c r="C145" s="1218" t="str">
        <f t="shared" si="92"/>
        <v>Dólares</v>
      </c>
      <c r="D145" s="48"/>
      <c r="E145" s="836"/>
      <c r="F145" s="50"/>
      <c r="G145" s="50" t="str">
        <f t="shared" si="78"/>
        <v xml:space="preserve"> </v>
      </c>
      <c r="H145" s="45">
        <v>0</v>
      </c>
      <c r="I145" s="49" t="str">
        <f>IFERROR(VLOOKUP(G145,Proveedores!B:C,2,0)," ")</f>
        <v xml:space="preserve"> </v>
      </c>
      <c r="J145" s="838">
        <v>0</v>
      </c>
      <c r="K145" s="1124"/>
      <c r="L145" s="1266">
        <f t="shared" si="79"/>
        <v>0</v>
      </c>
      <c r="M145" s="1267">
        <f t="shared" si="80"/>
        <v>0</v>
      </c>
      <c r="N145" s="1268">
        <f t="shared" si="99"/>
        <v>0</v>
      </c>
      <c r="O145" s="836" t="str">
        <f>IFERROR(VLOOKUP(G145,Proveedores!B:D,3,0)," ")</f>
        <v xml:space="preserve"> </v>
      </c>
      <c r="P145" s="836"/>
      <c r="Q145" s="1127" t="e">
        <f t="shared" si="81"/>
        <v>#N/A</v>
      </c>
      <c r="R145" s="1127" t="b">
        <f t="shared" si="93"/>
        <v>0</v>
      </c>
      <c r="S145" s="1127" t="e">
        <f t="shared" si="82"/>
        <v>#N/A</v>
      </c>
      <c r="T145" s="1127" t="b">
        <f t="shared" si="94"/>
        <v>0</v>
      </c>
      <c r="U145" s="1127" t="e">
        <f t="shared" si="83"/>
        <v>#N/A</v>
      </c>
      <c r="V145" s="1127" t="e">
        <f t="shared" si="95"/>
        <v>#N/A</v>
      </c>
      <c r="W145" s="1127" t="e">
        <f>IF(F145="Offiho",J145,IF(_xlfn.XLOOKUP(F145,Proveedores!A$2:A$50,Proveedores!E$2:E$50,"")="Nacional",(J145/0.5)+(V145*H145),((J145/0.3/0.5)+(V145*H145))))</f>
        <v>#N/A</v>
      </c>
      <c r="X145" s="1127" t="e">
        <f t="shared" si="84"/>
        <v>#N/A</v>
      </c>
      <c r="Y145" s="1126" t="b">
        <f t="shared" si="85"/>
        <v>0</v>
      </c>
      <c r="Z145" s="43">
        <v>0</v>
      </c>
      <c r="AA145" s="1219" t="e">
        <f t="shared" si="96"/>
        <v>#N/A</v>
      </c>
      <c r="AB145" s="1219" t="e">
        <f t="shared" si="97"/>
        <v>#N/A</v>
      </c>
      <c r="AC145" s="1219" t="e">
        <f t="shared" si="86"/>
        <v>#N/A</v>
      </c>
      <c r="AD145" s="1126" t="e">
        <f t="shared" si="98"/>
        <v>#N/A</v>
      </c>
      <c r="AE145" s="1217" t="e">
        <f t="shared" si="87"/>
        <v>#N/A</v>
      </c>
      <c r="AF145" s="1220" t="e">
        <f t="shared" si="88"/>
        <v>#N/A</v>
      </c>
      <c r="AG145" s="1176" t="e">
        <f t="shared" si="89"/>
        <v>#N/A</v>
      </c>
      <c r="AH145" s="1221" t="e">
        <f t="shared" si="100"/>
        <v>#N/A</v>
      </c>
    </row>
    <row r="146" spans="1:34" ht="15.5">
      <c r="A146" s="1216" t="b">
        <f t="shared" si="77"/>
        <v>1</v>
      </c>
      <c r="B146" s="1217" t="b">
        <f t="shared" si="91"/>
        <v>1</v>
      </c>
      <c r="C146" s="1218" t="str">
        <f t="shared" si="92"/>
        <v>Dólares</v>
      </c>
      <c r="D146" s="47"/>
      <c r="E146" s="836"/>
      <c r="F146" s="50"/>
      <c r="G146" s="50" t="str">
        <f t="shared" si="78"/>
        <v xml:space="preserve"> </v>
      </c>
      <c r="H146" s="45">
        <v>0</v>
      </c>
      <c r="I146" s="49" t="str">
        <f>IFERROR(VLOOKUP(G146,Proveedores!B:C,2,0)," ")</f>
        <v xml:space="preserve"> </v>
      </c>
      <c r="J146" s="838">
        <v>0</v>
      </c>
      <c r="K146" s="1124"/>
      <c r="L146" s="1266">
        <f t="shared" si="79"/>
        <v>0</v>
      </c>
      <c r="M146" s="1267">
        <f t="shared" si="80"/>
        <v>0</v>
      </c>
      <c r="N146" s="1268">
        <f t="shared" si="99"/>
        <v>0</v>
      </c>
      <c r="O146" s="836" t="str">
        <f>IFERROR(VLOOKUP(G146,Proveedores!B:D,3,0)," ")</f>
        <v xml:space="preserve"> </v>
      </c>
      <c r="P146" s="836"/>
      <c r="Q146" s="1127" t="e">
        <f t="shared" si="81"/>
        <v>#N/A</v>
      </c>
      <c r="R146" s="1127" t="b">
        <f t="shared" si="93"/>
        <v>0</v>
      </c>
      <c r="S146" s="1127" t="e">
        <f t="shared" si="82"/>
        <v>#N/A</v>
      </c>
      <c r="T146" s="1127" t="b">
        <f t="shared" si="94"/>
        <v>0</v>
      </c>
      <c r="U146" s="1127" t="e">
        <f t="shared" si="83"/>
        <v>#N/A</v>
      </c>
      <c r="V146" s="1127" t="e">
        <f t="shared" si="95"/>
        <v>#N/A</v>
      </c>
      <c r="W146" s="1127" t="e">
        <f>IF(F146="Offiho",J146,IF(_xlfn.XLOOKUP(F146,Proveedores!A$2:A$50,Proveedores!E$2:E$50,"")="Nacional",(J146/0.5)+(V146*H146),((J146/0.3/0.5)+(V146*H146))))</f>
        <v>#N/A</v>
      </c>
      <c r="X146" s="1127" t="e">
        <f t="shared" si="84"/>
        <v>#N/A</v>
      </c>
      <c r="Y146" s="1126" t="b">
        <f t="shared" si="85"/>
        <v>0</v>
      </c>
      <c r="Z146" s="43">
        <v>0</v>
      </c>
      <c r="AA146" s="1219" t="e">
        <f t="shared" si="96"/>
        <v>#N/A</v>
      </c>
      <c r="AB146" s="1219" t="e">
        <f t="shared" si="97"/>
        <v>#N/A</v>
      </c>
      <c r="AC146" s="1219" t="e">
        <f t="shared" si="86"/>
        <v>#N/A</v>
      </c>
      <c r="AD146" s="1126" t="e">
        <f t="shared" si="98"/>
        <v>#N/A</v>
      </c>
      <c r="AE146" s="1217" t="e">
        <f t="shared" si="87"/>
        <v>#N/A</v>
      </c>
      <c r="AF146" s="1220" t="e">
        <f t="shared" si="88"/>
        <v>#N/A</v>
      </c>
      <c r="AG146" s="1176" t="e">
        <f t="shared" si="89"/>
        <v>#N/A</v>
      </c>
      <c r="AH146" s="1221" t="e">
        <f t="shared" si="100"/>
        <v>#N/A</v>
      </c>
    </row>
    <row r="147" spans="1:34" ht="15.5">
      <c r="A147" s="1216" t="b">
        <f t="shared" si="77"/>
        <v>1</v>
      </c>
      <c r="B147" s="1217" t="b">
        <f t="shared" si="91"/>
        <v>1</v>
      </c>
      <c r="C147" s="1218" t="str">
        <f t="shared" si="92"/>
        <v>Dólares</v>
      </c>
      <c r="D147" s="47"/>
      <c r="E147" s="836"/>
      <c r="F147" s="50"/>
      <c r="G147" s="50" t="str">
        <f t="shared" si="78"/>
        <v xml:space="preserve"> </v>
      </c>
      <c r="H147" s="45">
        <v>0</v>
      </c>
      <c r="I147" s="49" t="str">
        <f>IFERROR(VLOOKUP(G147,Proveedores!B:C,2,0)," ")</f>
        <v xml:space="preserve"> </v>
      </c>
      <c r="J147" s="838">
        <v>0</v>
      </c>
      <c r="K147" s="1124"/>
      <c r="L147" s="1266">
        <f t="shared" si="79"/>
        <v>0</v>
      </c>
      <c r="M147" s="1267">
        <f t="shared" si="80"/>
        <v>0</v>
      </c>
      <c r="N147" s="1268">
        <f t="shared" si="99"/>
        <v>0</v>
      </c>
      <c r="O147" s="836" t="str">
        <f>IFERROR(VLOOKUP(G147,Proveedores!B:D,3,0)," ")</f>
        <v xml:space="preserve"> </v>
      </c>
      <c r="P147" s="836"/>
      <c r="Q147" s="1127" t="e">
        <f t="shared" si="81"/>
        <v>#N/A</v>
      </c>
      <c r="R147" s="1127" t="b">
        <f t="shared" si="93"/>
        <v>0</v>
      </c>
      <c r="S147" s="1127" t="e">
        <f t="shared" si="82"/>
        <v>#N/A</v>
      </c>
      <c r="T147" s="1127" t="b">
        <f t="shared" si="94"/>
        <v>0</v>
      </c>
      <c r="U147" s="1127" t="e">
        <f t="shared" si="83"/>
        <v>#N/A</v>
      </c>
      <c r="V147" s="1127" t="e">
        <f t="shared" si="95"/>
        <v>#N/A</v>
      </c>
      <c r="W147" s="1127" t="e">
        <f>IF(F147="Offiho",J147,IF(_xlfn.XLOOKUP(F147,Proveedores!A$2:A$50,Proveedores!E$2:E$50,"")="Nacional",(J147/0.5)+(V147*H147),((J147/0.3/0.5)+(V147*H147))))</f>
        <v>#N/A</v>
      </c>
      <c r="X147" s="1127" t="e">
        <f t="shared" si="84"/>
        <v>#N/A</v>
      </c>
      <c r="Y147" s="1126" t="b">
        <f t="shared" si="85"/>
        <v>0</v>
      </c>
      <c r="Z147" s="43">
        <v>0</v>
      </c>
      <c r="AA147" s="1219" t="e">
        <f t="shared" si="96"/>
        <v>#N/A</v>
      </c>
      <c r="AB147" s="1219" t="e">
        <f t="shared" si="97"/>
        <v>#N/A</v>
      </c>
      <c r="AC147" s="1219" t="e">
        <f t="shared" si="86"/>
        <v>#N/A</v>
      </c>
      <c r="AD147" s="1126" t="e">
        <f t="shared" si="98"/>
        <v>#N/A</v>
      </c>
      <c r="AE147" s="1217" t="e">
        <f t="shared" si="87"/>
        <v>#N/A</v>
      </c>
      <c r="AF147" s="1220" t="e">
        <f t="shared" si="88"/>
        <v>#N/A</v>
      </c>
      <c r="AG147" s="1176" t="e">
        <f t="shared" si="89"/>
        <v>#N/A</v>
      </c>
      <c r="AH147" s="1221" t="e">
        <f t="shared" si="100"/>
        <v>#N/A</v>
      </c>
    </row>
    <row r="148" spans="1:34" ht="15.5">
      <c r="A148" s="1216" t="b">
        <f t="shared" si="77"/>
        <v>1</v>
      </c>
      <c r="B148" s="1217" t="b">
        <f t="shared" si="91"/>
        <v>1</v>
      </c>
      <c r="C148" s="1218" t="str">
        <f t="shared" si="92"/>
        <v>Dólares</v>
      </c>
      <c r="D148" s="47"/>
      <c r="E148" s="836"/>
      <c r="F148" s="50"/>
      <c r="G148" s="50" t="str">
        <f t="shared" si="78"/>
        <v xml:space="preserve"> </v>
      </c>
      <c r="H148" s="45">
        <v>0</v>
      </c>
      <c r="I148" s="49" t="str">
        <f>IFERROR(VLOOKUP(G148,Proveedores!B:C,2,0)," ")</f>
        <v xml:space="preserve"> </v>
      </c>
      <c r="J148" s="838">
        <v>0</v>
      </c>
      <c r="K148" s="1124"/>
      <c r="L148" s="1266">
        <f t="shared" si="79"/>
        <v>0</v>
      </c>
      <c r="M148" s="1267">
        <f t="shared" si="80"/>
        <v>0</v>
      </c>
      <c r="N148" s="1268">
        <f t="shared" si="99"/>
        <v>0</v>
      </c>
      <c r="O148" s="836" t="str">
        <f>IFERROR(VLOOKUP(G148,Proveedores!B:D,3,0)," ")</f>
        <v xml:space="preserve"> </v>
      </c>
      <c r="P148" s="836"/>
      <c r="Q148" s="1127" t="e">
        <f t="shared" si="81"/>
        <v>#N/A</v>
      </c>
      <c r="R148" s="1127" t="b">
        <f t="shared" si="93"/>
        <v>0</v>
      </c>
      <c r="S148" s="1127" t="e">
        <f t="shared" si="82"/>
        <v>#N/A</v>
      </c>
      <c r="T148" s="1127" t="b">
        <f t="shared" si="94"/>
        <v>0</v>
      </c>
      <c r="U148" s="1127" t="e">
        <f t="shared" si="83"/>
        <v>#N/A</v>
      </c>
      <c r="V148" s="1127" t="e">
        <f t="shared" si="95"/>
        <v>#N/A</v>
      </c>
      <c r="W148" s="1127" t="e">
        <f>IF(F148="Offiho",J148,IF(_xlfn.XLOOKUP(F148,Proveedores!A$2:A$50,Proveedores!E$2:E$50,"")="Nacional",(J148/0.5)+(V148*H148),((J148/0.3/0.5)+(V148*H148))))</f>
        <v>#N/A</v>
      </c>
      <c r="X148" s="1127" t="e">
        <f t="shared" si="84"/>
        <v>#N/A</v>
      </c>
      <c r="Y148" s="1126" t="b">
        <f t="shared" si="85"/>
        <v>0</v>
      </c>
      <c r="Z148" s="43">
        <v>0</v>
      </c>
      <c r="AA148" s="1219" t="e">
        <f t="shared" si="96"/>
        <v>#N/A</v>
      </c>
      <c r="AB148" s="1219" t="e">
        <f t="shared" si="97"/>
        <v>#N/A</v>
      </c>
      <c r="AC148" s="1219" t="e">
        <f t="shared" si="86"/>
        <v>#N/A</v>
      </c>
      <c r="AD148" s="1126" t="e">
        <f t="shared" si="98"/>
        <v>#N/A</v>
      </c>
      <c r="AE148" s="1217" t="e">
        <f t="shared" si="87"/>
        <v>#N/A</v>
      </c>
      <c r="AF148" s="1220" t="e">
        <f t="shared" si="88"/>
        <v>#N/A</v>
      </c>
      <c r="AG148" s="1176" t="e">
        <f t="shared" si="89"/>
        <v>#N/A</v>
      </c>
      <c r="AH148" s="1221" t="e">
        <f t="shared" si="100"/>
        <v>#N/A</v>
      </c>
    </row>
    <row r="149" spans="1:34" ht="15.5">
      <c r="A149" s="1216" t="b">
        <f t="shared" si="77"/>
        <v>1</v>
      </c>
      <c r="B149" s="1217" t="b">
        <f t="shared" si="91"/>
        <v>1</v>
      </c>
      <c r="C149" s="1218" t="str">
        <f t="shared" si="92"/>
        <v>Dólares</v>
      </c>
      <c r="D149" s="47"/>
      <c r="E149" s="836"/>
      <c r="F149" s="50"/>
      <c r="G149" s="50" t="str">
        <f t="shared" si="78"/>
        <v xml:space="preserve"> </v>
      </c>
      <c r="H149" s="45">
        <v>0</v>
      </c>
      <c r="I149" s="49" t="str">
        <f>IFERROR(VLOOKUP(G149,Proveedores!B:C,2,0)," ")</f>
        <v xml:space="preserve"> </v>
      </c>
      <c r="J149" s="838">
        <v>0</v>
      </c>
      <c r="K149" s="1124"/>
      <c r="L149" s="1266">
        <f t="shared" si="79"/>
        <v>0</v>
      </c>
      <c r="M149" s="1267">
        <f t="shared" si="80"/>
        <v>0</v>
      </c>
      <c r="N149" s="1268">
        <f t="shared" si="99"/>
        <v>0</v>
      </c>
      <c r="O149" s="836" t="str">
        <f>IFERROR(VLOOKUP(G149,Proveedores!B:D,3,0)," ")</f>
        <v xml:space="preserve"> </v>
      </c>
      <c r="P149" s="836"/>
      <c r="Q149" s="1127" t="e">
        <f t="shared" si="81"/>
        <v>#N/A</v>
      </c>
      <c r="R149" s="1127" t="b">
        <f t="shared" si="93"/>
        <v>0</v>
      </c>
      <c r="S149" s="1127" t="e">
        <f t="shared" si="82"/>
        <v>#N/A</v>
      </c>
      <c r="T149" s="1127" t="b">
        <f t="shared" si="94"/>
        <v>0</v>
      </c>
      <c r="U149" s="1127" t="e">
        <f t="shared" si="83"/>
        <v>#N/A</v>
      </c>
      <c r="V149" s="1127" t="e">
        <f t="shared" si="95"/>
        <v>#N/A</v>
      </c>
      <c r="W149" s="1127" t="e">
        <f>IF(F149="Offiho",J149,IF(_xlfn.XLOOKUP(F149,Proveedores!A$2:A$50,Proveedores!E$2:E$50,"")="Nacional",(J149/0.5)+(V149*H149),((J149/0.3/0.5)+(V149*H149))))</f>
        <v>#N/A</v>
      </c>
      <c r="X149" s="1127" t="e">
        <f t="shared" si="84"/>
        <v>#N/A</v>
      </c>
      <c r="Y149" s="1126" t="b">
        <f t="shared" si="85"/>
        <v>0</v>
      </c>
      <c r="Z149" s="43">
        <v>0</v>
      </c>
      <c r="AA149" s="1219" t="e">
        <f t="shared" si="96"/>
        <v>#N/A</v>
      </c>
      <c r="AB149" s="1219" t="e">
        <f t="shared" si="97"/>
        <v>#N/A</v>
      </c>
      <c r="AC149" s="1219" t="e">
        <f t="shared" si="86"/>
        <v>#N/A</v>
      </c>
      <c r="AD149" s="1126" t="e">
        <f t="shared" si="98"/>
        <v>#N/A</v>
      </c>
      <c r="AE149" s="1217" t="e">
        <f t="shared" si="87"/>
        <v>#N/A</v>
      </c>
      <c r="AF149" s="1220" t="e">
        <f t="shared" si="88"/>
        <v>#N/A</v>
      </c>
      <c r="AG149" s="1176" t="e">
        <f t="shared" si="89"/>
        <v>#N/A</v>
      </c>
      <c r="AH149" s="1221" t="e">
        <f t="shared" si="100"/>
        <v>#N/A</v>
      </c>
    </row>
    <row r="150" spans="1:34" ht="15.5">
      <c r="A150" s="1216" t="b">
        <f t="shared" si="77"/>
        <v>1</v>
      </c>
      <c r="B150" s="1217" t="b">
        <f t="shared" si="91"/>
        <v>1</v>
      </c>
      <c r="C150" s="1218" t="str">
        <f t="shared" si="92"/>
        <v>Dólares</v>
      </c>
      <c r="D150" s="47"/>
      <c r="E150" s="836"/>
      <c r="F150" s="50"/>
      <c r="G150" s="50" t="str">
        <f t="shared" si="78"/>
        <v xml:space="preserve"> </v>
      </c>
      <c r="H150" s="45">
        <v>0</v>
      </c>
      <c r="I150" s="49" t="str">
        <f>IFERROR(VLOOKUP(G150,Proveedores!B:C,2,0)," ")</f>
        <v xml:space="preserve"> </v>
      </c>
      <c r="J150" s="838">
        <v>0</v>
      </c>
      <c r="K150" s="1124"/>
      <c r="L150" s="1266">
        <f t="shared" si="79"/>
        <v>0</v>
      </c>
      <c r="M150" s="1267">
        <f t="shared" si="80"/>
        <v>0</v>
      </c>
      <c r="N150" s="1268">
        <f t="shared" si="99"/>
        <v>0</v>
      </c>
      <c r="O150" s="836" t="str">
        <f>IFERROR(VLOOKUP(G150,Proveedores!B:D,3,0)," ")</f>
        <v xml:space="preserve"> </v>
      </c>
      <c r="P150" s="836"/>
      <c r="Q150" s="1127" t="e">
        <f t="shared" si="81"/>
        <v>#N/A</v>
      </c>
      <c r="R150" s="1127" t="b">
        <f t="shared" si="93"/>
        <v>0</v>
      </c>
      <c r="S150" s="1127" t="e">
        <f t="shared" si="82"/>
        <v>#N/A</v>
      </c>
      <c r="T150" s="1127" t="b">
        <f t="shared" si="94"/>
        <v>0</v>
      </c>
      <c r="U150" s="1127" t="e">
        <f t="shared" si="83"/>
        <v>#N/A</v>
      </c>
      <c r="V150" s="1127" t="e">
        <f t="shared" si="95"/>
        <v>#N/A</v>
      </c>
      <c r="W150" s="1127" t="e">
        <f>IF(F150="Offiho",J150,IF(_xlfn.XLOOKUP(F150,Proveedores!A$2:A$50,Proveedores!E$2:E$50,"")="Nacional",(J150/0.5)+(V150*H150),((J150/0.3/0.5)+(V150*H150))))</f>
        <v>#N/A</v>
      </c>
      <c r="X150" s="1127" t="e">
        <f t="shared" si="84"/>
        <v>#N/A</v>
      </c>
      <c r="Y150" s="1126" t="b">
        <f t="shared" si="85"/>
        <v>0</v>
      </c>
      <c r="Z150" s="43">
        <v>0</v>
      </c>
      <c r="AA150" s="1219" t="e">
        <f t="shared" si="96"/>
        <v>#N/A</v>
      </c>
      <c r="AB150" s="1219" t="e">
        <f t="shared" si="97"/>
        <v>#N/A</v>
      </c>
      <c r="AC150" s="1219" t="e">
        <f t="shared" si="86"/>
        <v>#N/A</v>
      </c>
      <c r="AD150" s="1126" t="e">
        <f t="shared" si="98"/>
        <v>#N/A</v>
      </c>
      <c r="AE150" s="1217" t="e">
        <f t="shared" si="87"/>
        <v>#N/A</v>
      </c>
      <c r="AF150" s="1220" t="e">
        <f t="shared" si="88"/>
        <v>#N/A</v>
      </c>
      <c r="AG150" s="1176" t="e">
        <f t="shared" si="89"/>
        <v>#N/A</v>
      </c>
      <c r="AH150" s="1221" t="e">
        <f t="shared" si="100"/>
        <v>#N/A</v>
      </c>
    </row>
    <row r="151" spans="1:34" ht="15.5">
      <c r="A151" s="1216" t="b">
        <f t="shared" si="77"/>
        <v>1</v>
      </c>
      <c r="B151" s="1217" t="b">
        <f t="shared" si="91"/>
        <v>1</v>
      </c>
      <c r="C151" s="1218" t="str">
        <f t="shared" si="92"/>
        <v>Dólares</v>
      </c>
      <c r="D151" s="47"/>
      <c r="E151" s="836"/>
      <c r="F151" s="50"/>
      <c r="G151" s="50" t="str">
        <f t="shared" si="78"/>
        <v xml:space="preserve"> </v>
      </c>
      <c r="H151" s="45">
        <v>0</v>
      </c>
      <c r="I151" s="49" t="str">
        <f>IFERROR(VLOOKUP(G151,Proveedores!B:C,2,0)," ")</f>
        <v xml:space="preserve"> </v>
      </c>
      <c r="J151" s="838">
        <v>0</v>
      </c>
      <c r="K151" s="1124"/>
      <c r="L151" s="1266">
        <f t="shared" si="79"/>
        <v>0</v>
      </c>
      <c r="M151" s="1267">
        <f t="shared" si="80"/>
        <v>0</v>
      </c>
      <c r="N151" s="1268">
        <f t="shared" si="99"/>
        <v>0</v>
      </c>
      <c r="O151" s="836" t="str">
        <f>IFERROR(VLOOKUP(G151,Proveedores!B:D,3,0)," ")</f>
        <v xml:space="preserve"> </v>
      </c>
      <c r="P151" s="836"/>
      <c r="Q151" s="1127" t="e">
        <f t="shared" si="81"/>
        <v>#N/A</v>
      </c>
      <c r="R151" s="1127" t="b">
        <f t="shared" si="93"/>
        <v>0</v>
      </c>
      <c r="S151" s="1127" t="e">
        <f t="shared" si="82"/>
        <v>#N/A</v>
      </c>
      <c r="T151" s="1127" t="b">
        <f t="shared" si="94"/>
        <v>0</v>
      </c>
      <c r="U151" s="1127" t="e">
        <f t="shared" si="83"/>
        <v>#N/A</v>
      </c>
      <c r="V151" s="1127" t="e">
        <f t="shared" si="95"/>
        <v>#N/A</v>
      </c>
      <c r="W151" s="1127" t="e">
        <f>IF(F151="Offiho",J151,IF(_xlfn.XLOOKUP(F151,Proveedores!A$2:A$50,Proveedores!E$2:E$50,"")="Nacional",(J151/0.5)+(V151*H151),((J151/0.3/0.5)+(V151*H151))))</f>
        <v>#N/A</v>
      </c>
      <c r="X151" s="1127" t="e">
        <f t="shared" si="84"/>
        <v>#N/A</v>
      </c>
      <c r="Y151" s="1126" t="b">
        <f t="shared" si="85"/>
        <v>0</v>
      </c>
      <c r="Z151" s="43">
        <v>0</v>
      </c>
      <c r="AA151" s="1219" t="e">
        <f t="shared" si="96"/>
        <v>#N/A</v>
      </c>
      <c r="AB151" s="1219" t="e">
        <f t="shared" si="97"/>
        <v>#N/A</v>
      </c>
      <c r="AC151" s="1219" t="e">
        <f t="shared" si="86"/>
        <v>#N/A</v>
      </c>
      <c r="AD151" s="1126" t="str">
        <f t="shared" si="98"/>
        <v>NA</v>
      </c>
      <c r="AE151" s="1217" t="e">
        <f t="shared" si="87"/>
        <v>#N/A</v>
      </c>
      <c r="AF151" s="1220" t="e">
        <f t="shared" si="88"/>
        <v>#N/A</v>
      </c>
      <c r="AG151" s="1176" t="e">
        <f t="shared" si="89"/>
        <v>#N/A</v>
      </c>
      <c r="AH151" s="1221" t="e">
        <f t="shared" si="100"/>
        <v>#N/A</v>
      </c>
    </row>
    <row r="152" spans="1:34" ht="24" customHeight="1">
      <c r="A152" s="1422" t="s">
        <v>122</v>
      </c>
      <c r="B152" s="1422"/>
      <c r="C152" s="1422"/>
      <c r="D152" s="1422"/>
      <c r="E152" s="1422"/>
      <c r="F152" s="1422"/>
      <c r="G152" s="1228"/>
      <c r="H152" s="1229" cm="1">
        <f t="array" ref="H152">SUM(IFERROR(H119:H151,0))</f>
        <v>0</v>
      </c>
      <c r="I152" s="1228"/>
      <c r="J152" s="1230"/>
      <c r="K152" s="1231"/>
      <c r="L152" s="1229" cm="1">
        <f t="array" ref="L152">SUM(IFERROR(L119:L151,0))</f>
        <v>0</v>
      </c>
      <c r="M152" s="1235"/>
      <c r="N152" s="1232" cm="1">
        <f t="array" ref="N152">SUM(IFERROR(N119:N151,0))</f>
        <v>0</v>
      </c>
      <c r="O152" s="1233"/>
      <c r="P152" s="1233"/>
      <c r="Q152" s="1233"/>
      <c r="R152" s="1233"/>
      <c r="S152" s="1233"/>
      <c r="T152" s="1233"/>
      <c r="U152" s="1233"/>
      <c r="V152" s="1233"/>
      <c r="W152" s="1231"/>
      <c r="X152" s="1232" cm="1">
        <f t="array" ref="X152">SUM(IFERROR(X119:X151,0))</f>
        <v>0</v>
      </c>
      <c r="Y152" s="1233" t="s">
        <v>116</v>
      </c>
      <c r="Z152" s="1233"/>
      <c r="AA152" s="1233"/>
      <c r="AB152" s="1233"/>
      <c r="AC152" s="1232" cm="1">
        <f t="array" ref="AC152">SUM(IFERROR(AC119:AC151,0))</f>
        <v>0</v>
      </c>
      <c r="AD152" s="1232"/>
      <c r="AE152" s="1232"/>
      <c r="AF152" s="1232" cm="1">
        <f t="array" ref="AF152">SUM(IFERROR(AF119:AF151,0))</f>
        <v>0</v>
      </c>
      <c r="AG152" s="1177">
        <f>IFERROR(1-(N152/AC152),0)</f>
        <v>0</v>
      </c>
      <c r="AH152"/>
    </row>
    <row r="153" spans="1:34" ht="26" customHeight="1">
      <c r="A153" s="1419" t="s">
        <v>123</v>
      </c>
      <c r="B153" s="1419"/>
      <c r="C153" s="1419"/>
      <c r="D153" s="1419"/>
      <c r="E153" s="1419"/>
      <c r="F153" s="1419"/>
      <c r="G153" s="1419"/>
      <c r="H153" s="1419"/>
      <c r="I153" s="1419"/>
      <c r="J153" s="1420"/>
      <c r="K153" s="1214"/>
      <c r="L153" s="1214"/>
      <c r="M153" s="1236"/>
      <c r="N153" s="1214"/>
      <c r="O153" s="1213"/>
      <c r="P153" s="1213"/>
      <c r="Q153" s="1213"/>
      <c r="R153" s="1213"/>
      <c r="S153" s="1213"/>
      <c r="T153" s="1213"/>
      <c r="U153" s="1213"/>
      <c r="V153" s="1213"/>
      <c r="W153" s="1178"/>
      <c r="X153" s="1178"/>
      <c r="Y153" s="1178"/>
      <c r="Z153" s="1213"/>
      <c r="AA153" s="1213"/>
      <c r="AB153" s="1213"/>
      <c r="AC153" s="1213"/>
      <c r="AD153" s="1213"/>
      <c r="AE153" s="1213"/>
      <c r="AF153" s="1213"/>
      <c r="AG153" s="1215"/>
      <c r="AH153"/>
    </row>
    <row r="154" spans="1:34" ht="15.5">
      <c r="A154" s="1216" t="b">
        <f t="shared" ref="A154:A186" si="101">$A$13</f>
        <v>1</v>
      </c>
      <c r="B154" s="1217" t="b">
        <f>A154</f>
        <v>1</v>
      </c>
      <c r="C154" s="1218" t="str">
        <f>$C$13</f>
        <v>Dólares</v>
      </c>
      <c r="D154" s="44"/>
      <c r="E154" s="836"/>
      <c r="F154" s="50"/>
      <c r="G154" s="50" t="str">
        <f t="shared" ref="G154:G186" si="102">IFERROR(VLOOKUP(F154,Tabla_Proveedores_1,2,0)," ")</f>
        <v xml:space="preserve"> </v>
      </c>
      <c r="H154" s="45">
        <v>0</v>
      </c>
      <c r="I154" s="49" t="str">
        <f>IFERROR(VLOOKUP(G154,Proveedores!B:C,2,0)," ")</f>
        <v xml:space="preserve"> </v>
      </c>
      <c r="J154" s="838">
        <v>0</v>
      </c>
      <c r="K154" s="1124"/>
      <c r="L154" s="1266">
        <f t="shared" ref="L154:L186" si="103">K154*H154</f>
        <v>0</v>
      </c>
      <c r="M154" s="1267">
        <f t="shared" ref="M154:M186" si="104">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Brasil"),J154,IFERROR(IF(K713&lt;=$AO$578,J154*2.14,IF(K713&lt;=$AN$579,J154*1.8,IF(K713&gt;$AN$580,J154*1.5))),J154))*1.1)</f>
        <v>0</v>
      </c>
      <c r="N154" s="1268">
        <f>M154*H154</f>
        <v>0</v>
      </c>
      <c r="O154" s="836" t="str">
        <f>IFERROR(VLOOKUP(G154,Proveedores!B:D,3,0)," ")</f>
        <v xml:space="preserve"> </v>
      </c>
      <c r="P154" s="836"/>
      <c r="Q154" s="1127" t="e">
        <f t="shared" ref="Q154:Q186" si="105">VLOOKUP(E154,Tabla_Fletes,3,FALSE)</f>
        <v>#N/A</v>
      </c>
      <c r="R154" s="1127" t="b">
        <f>IF(P154="Centro",Q154,IF(P154="Norte",Q154*1.6,IF(P154="Occidente",Q154*1.2,IF(P154="Sur",Q154*2))))</f>
        <v>0</v>
      </c>
      <c r="S154" s="1127" t="e">
        <f t="shared" ref="S154:S186" si="106">VLOOKUP(E154,Tabla_Instalacion,2,FALSE)</f>
        <v>#N/A</v>
      </c>
      <c r="T154" s="1127" t="b">
        <f>IF(P154="Centro",S154,IF(P154="Norte",S154*1.1,IF(P154="Occidente",S154*1.1,IF(P154="Sur",S154*1.1))))</f>
        <v>0</v>
      </c>
      <c r="U154" s="1127" t="e">
        <f t="shared" ref="U154:U186" si="107">IF(F154="Offiho",0,Q154+S154)</f>
        <v>#N/A</v>
      </c>
      <c r="V154" s="1127" t="e">
        <f>IF(K154=0,U154/$H$573,U154*(K154/L154))*H154</f>
        <v>#N/A</v>
      </c>
      <c r="W154" s="1127" t="e">
        <f>IF(F154="Offiho",J154,IF(_xlfn.XLOOKUP(F154,Proveedores!A$2:A$50,Proveedores!E$2:E$50,"")="Nacional",(J154/0.5)+(V154*H154),((J154/0.3/0.5)+(V154*H154))))</f>
        <v>#N/A</v>
      </c>
      <c r="X154" s="1127" t="e">
        <f t="shared" ref="X154:X186" si="108">W154*H154</f>
        <v>#N/A</v>
      </c>
      <c r="Y154" s="1126" t="b">
        <f t="shared" ref="Y154:Y186" si="109">IF(F154="Sunon Inc",$AJ$577,IF(F154="Alma - Exterior",$AJ$578,IF(F154="Yabo - Hotelería",$AJ$579,IF(F154="OSJ - Medical",$AJ$580,IF(F154="Seezo - Home",$AJ$581,IF(F154="A&amp;D - Home",$AJ$582,IF(F154="Encore Alfombras Hoteleria Asia",$AJ$583,IF(F154="Zhong Xian - Leds",$AJ$584,IF(F154="Tarkett Europa",$AJ$585,IF(F154="2tec2",$AJ$586,IF(F154="Balsan Europa",$AJ$587,IF(F154="Armstrong Pisos USA",$AJ$588,IF(F154="Tarkett USA",$AJ$589,IF(F154="Tarkett Brasil",$AJ$590,IF(F154="Tarkett MX",$AJ$591,IF(F154="Jome",$AJ$592,IF(F154="Offiho",$AJ$593,IF(F154="Lumbro",$AJ$594,IF(F154="Sunon Mty",$AJ$595,IF(F154="Conceptos Sofas",$AJ$596,IF(F154="Lauco Sofas",$AJ$597,IF(F154="CR Global - Mesas Ajustables",$AJ$598,IF(F154="Vandesk",$AJ$599,IF(F154="Mamparas Tela",$AJ$600,IF(F154="Mampara Cristales",$AJ$601,IF(F154="Herrajes",$AJ$602,IF(F154="MetalWork",$AJ$603,IF(F154="Requiez",$AJ$604,IF(F154="Labenze",$AJ$605,IF(F154="Infinity",$AJ$606,IF(F154="Proveedor Externo",$AJ$607)))))))))))))))))))))))))))))))</f>
        <v>0</v>
      </c>
      <c r="Z154" s="43">
        <v>0.2</v>
      </c>
      <c r="AA154" s="1219" t="e">
        <f>W154*Z154</f>
        <v>#N/A</v>
      </c>
      <c r="AB154" s="1219" t="e">
        <f>IF(Z154&gt;Y154,"ERROR",(W154-AA154))</f>
        <v>#N/A</v>
      </c>
      <c r="AC154" s="1219" t="e">
        <f t="shared" ref="AC154:AC186" si="110">AB154*H154</f>
        <v>#N/A</v>
      </c>
      <c r="AD154" s="1126" t="e">
        <f>IF(A155=TRUE,MAX(0,1-(AE154/W154)),"NA")</f>
        <v>#N/A</v>
      </c>
      <c r="AE154" s="1217" t="e">
        <f t="shared" ref="AE154:AE186" si="111">IF(A153=FALSE,"NO APLICA",AB154*1.2)</f>
        <v>#N/A</v>
      </c>
      <c r="AF154" s="1220" t="e">
        <f t="shared" ref="AF154:AF186" si="112">AE154*H154</f>
        <v>#N/A</v>
      </c>
      <c r="AG154" s="1176" t="e">
        <f t="shared" ref="AG154:AG186" si="113">(AC154-N154)/AC154</f>
        <v>#N/A</v>
      </c>
      <c r="AH154" s="1221" t="e">
        <f>IF(AG154&lt;30%,"ERROR","OK")</f>
        <v>#N/A</v>
      </c>
    </row>
    <row r="155" spans="1:34" ht="15.5">
      <c r="A155" s="1216" t="b">
        <f t="shared" si="101"/>
        <v>1</v>
      </c>
      <c r="B155" s="1217" t="b">
        <f t="shared" ref="B155:B186" si="114">A155</f>
        <v>1</v>
      </c>
      <c r="C155" s="1218" t="str">
        <f t="shared" ref="C155:C186" si="115">$C$13</f>
        <v>Dólares</v>
      </c>
      <c r="D155" s="44"/>
      <c r="E155" s="836"/>
      <c r="F155" s="50"/>
      <c r="G155" s="50" t="str">
        <f t="shared" si="102"/>
        <v xml:space="preserve"> </v>
      </c>
      <c r="H155" s="45">
        <v>0</v>
      </c>
      <c r="I155" s="49" t="str">
        <f>IFERROR(VLOOKUP(G155,Proveedores!B:C,2,0)," ")</f>
        <v xml:space="preserve"> </v>
      </c>
      <c r="J155" s="838">
        <v>0</v>
      </c>
      <c r="K155" s="1124"/>
      <c r="L155" s="1266">
        <f t="shared" si="103"/>
        <v>0</v>
      </c>
      <c r="M155" s="1267">
        <f t="shared" si="104"/>
        <v>0</v>
      </c>
      <c r="N155" s="1268">
        <f>M155*H155</f>
        <v>0</v>
      </c>
      <c r="O155" s="836" t="str">
        <f>IFERROR(VLOOKUP(G155,Proveedores!B:D,3,0)," ")</f>
        <v xml:space="preserve"> </v>
      </c>
      <c r="P155" s="836"/>
      <c r="Q155" s="1127" t="e">
        <f t="shared" si="105"/>
        <v>#N/A</v>
      </c>
      <c r="R155" s="1127" t="b">
        <f t="shared" ref="R155:R186" si="116">IF(P155="Centro",Q155,IF(P155="Norte",Q155*1.6,IF(P155="Occidente",Q155*1.2,IF(P155="Sur",Q155*2))))</f>
        <v>0</v>
      </c>
      <c r="S155" s="1127" t="e">
        <f t="shared" si="106"/>
        <v>#N/A</v>
      </c>
      <c r="T155" s="1127" t="b">
        <f t="shared" ref="T155:T186" si="117">IF(P155="Centro",S155,IF(P155="Norte",S155*1.1,IF(P155="Occidente",S155*1.1,IF(P155="Sur",S155*1.1))))</f>
        <v>0</v>
      </c>
      <c r="U155" s="1127" t="e">
        <f t="shared" si="107"/>
        <v>#N/A</v>
      </c>
      <c r="V155" s="1127" t="e">
        <f t="shared" ref="V155:V186" si="118">IF(K155=0,U155/$H$573,U155*(K155/L155))*H155</f>
        <v>#N/A</v>
      </c>
      <c r="W155" s="1127" t="e">
        <f>IF(F155="Offiho",J155,IF(_xlfn.XLOOKUP(F155,Proveedores!A$2:A$50,Proveedores!E$2:E$50,"")="Nacional",(J155/0.5)+(V155*H155),((J155/0.3/0.5)+(V155*H155))))</f>
        <v>#N/A</v>
      </c>
      <c r="X155" s="1127" t="e">
        <f t="shared" si="108"/>
        <v>#N/A</v>
      </c>
      <c r="Y155" s="1126" t="b">
        <f t="shared" si="109"/>
        <v>0</v>
      </c>
      <c r="Z155" s="43">
        <v>0.2</v>
      </c>
      <c r="AA155" s="1219" t="e">
        <f t="shared" ref="AA155:AA186" si="119">W155*Z155</f>
        <v>#N/A</v>
      </c>
      <c r="AB155" s="1219" t="e">
        <f t="shared" ref="AB155:AB186" si="120">IF(Z155&gt;Y155,"ERROR",(W155-AA155))</f>
        <v>#N/A</v>
      </c>
      <c r="AC155" s="1219" t="e">
        <f t="shared" si="110"/>
        <v>#N/A</v>
      </c>
      <c r="AD155" s="1126" t="e">
        <f t="shared" ref="AD155:AD186" si="121">IF(A156=TRUE,MAX(0,1-(AE155/W155)),"NA")</f>
        <v>#N/A</v>
      </c>
      <c r="AE155" s="1217" t="e">
        <f t="shared" si="111"/>
        <v>#N/A</v>
      </c>
      <c r="AF155" s="1220" t="e">
        <f t="shared" si="112"/>
        <v>#N/A</v>
      </c>
      <c r="AG155" s="1176" t="e">
        <f t="shared" si="113"/>
        <v>#N/A</v>
      </c>
      <c r="AH155" s="1221" t="e">
        <f t="shared" ref="AH155:AH186" si="122">IF(AG155&lt;30%,"ERROR","OK")</f>
        <v>#N/A</v>
      </c>
    </row>
    <row r="156" spans="1:34" ht="15.5">
      <c r="A156" s="1216" t="b">
        <f t="shared" si="101"/>
        <v>1</v>
      </c>
      <c r="B156" s="1217" t="b">
        <f t="shared" si="114"/>
        <v>1</v>
      </c>
      <c r="C156" s="1218" t="str">
        <f t="shared" si="115"/>
        <v>Dólares</v>
      </c>
      <c r="D156" s="46"/>
      <c r="E156" s="836"/>
      <c r="F156" s="50"/>
      <c r="G156" s="50" t="str">
        <f t="shared" si="102"/>
        <v xml:space="preserve"> </v>
      </c>
      <c r="H156" s="45">
        <v>0</v>
      </c>
      <c r="I156" s="49" t="str">
        <f>IFERROR(VLOOKUP(G156,Proveedores!B:C,2,0)," ")</f>
        <v xml:space="preserve"> </v>
      </c>
      <c r="J156" s="838">
        <v>0</v>
      </c>
      <c r="K156" s="1124"/>
      <c r="L156" s="1266">
        <f t="shared" si="103"/>
        <v>0</v>
      </c>
      <c r="M156" s="1267">
        <f t="shared" si="104"/>
        <v>0</v>
      </c>
      <c r="N156" s="1268">
        <f>(M156*H156)</f>
        <v>0</v>
      </c>
      <c r="O156" s="836" t="str">
        <f>IFERROR(VLOOKUP(G156,Proveedores!B:D,3,0)," ")</f>
        <v xml:space="preserve"> </v>
      </c>
      <c r="P156" s="836"/>
      <c r="Q156" s="1127" t="e">
        <f t="shared" si="105"/>
        <v>#N/A</v>
      </c>
      <c r="R156" s="1127" t="b">
        <f t="shared" si="116"/>
        <v>0</v>
      </c>
      <c r="S156" s="1127" t="e">
        <f t="shared" si="106"/>
        <v>#N/A</v>
      </c>
      <c r="T156" s="1127" t="b">
        <f t="shared" si="117"/>
        <v>0</v>
      </c>
      <c r="U156" s="1127" t="e">
        <f t="shared" si="107"/>
        <v>#N/A</v>
      </c>
      <c r="V156" s="1127" t="e">
        <f t="shared" si="118"/>
        <v>#N/A</v>
      </c>
      <c r="W156" s="1127" t="e">
        <f>IF(F156="Offiho",J156,IF(_xlfn.XLOOKUP(F156,Proveedores!A$2:A$50,Proveedores!E$2:E$50,"")="Nacional",(J156/0.5)+(V156*H156),((J156/0.3/0.5)+(V156*H156))))</f>
        <v>#N/A</v>
      </c>
      <c r="X156" s="1127" t="e">
        <f t="shared" si="108"/>
        <v>#N/A</v>
      </c>
      <c r="Y156" s="1126" t="b">
        <f t="shared" si="109"/>
        <v>0</v>
      </c>
      <c r="Z156" s="43">
        <v>0</v>
      </c>
      <c r="AA156" s="1219" t="e">
        <f t="shared" si="119"/>
        <v>#N/A</v>
      </c>
      <c r="AB156" s="1219" t="e">
        <f t="shared" si="120"/>
        <v>#N/A</v>
      </c>
      <c r="AC156" s="1219" t="e">
        <f t="shared" si="110"/>
        <v>#N/A</v>
      </c>
      <c r="AD156" s="1126" t="e">
        <f t="shared" si="121"/>
        <v>#N/A</v>
      </c>
      <c r="AE156" s="1217" t="e">
        <f t="shared" si="111"/>
        <v>#N/A</v>
      </c>
      <c r="AF156" s="1220" t="e">
        <f t="shared" si="112"/>
        <v>#N/A</v>
      </c>
      <c r="AG156" s="1176" t="e">
        <f t="shared" si="113"/>
        <v>#N/A</v>
      </c>
      <c r="AH156" s="1221" t="e">
        <f t="shared" si="122"/>
        <v>#N/A</v>
      </c>
    </row>
    <row r="157" spans="1:34" ht="15.5">
      <c r="A157" s="1216" t="b">
        <f t="shared" si="101"/>
        <v>1</v>
      </c>
      <c r="B157" s="1217" t="b">
        <f t="shared" si="114"/>
        <v>1</v>
      </c>
      <c r="C157" s="1218" t="str">
        <f t="shared" si="115"/>
        <v>Dólares</v>
      </c>
      <c r="D157" s="46"/>
      <c r="E157" s="836"/>
      <c r="F157" s="50"/>
      <c r="G157" s="50" t="str">
        <f t="shared" si="102"/>
        <v xml:space="preserve"> </v>
      </c>
      <c r="H157" s="45">
        <v>0</v>
      </c>
      <c r="I157" s="49" t="str">
        <f>IFERROR(VLOOKUP(G157,Proveedores!B:C,2,0)," ")</f>
        <v xml:space="preserve"> </v>
      </c>
      <c r="J157" s="838">
        <v>0</v>
      </c>
      <c r="K157" s="1124"/>
      <c r="L157" s="1266">
        <f t="shared" si="103"/>
        <v>0</v>
      </c>
      <c r="M157" s="1267">
        <f t="shared" si="104"/>
        <v>0</v>
      </c>
      <c r="N157" s="1268">
        <f t="shared" ref="N157:N186" si="123">M157*H157</f>
        <v>0</v>
      </c>
      <c r="O157" s="836" t="str">
        <f>IFERROR(VLOOKUP(G157,Proveedores!B:D,3,0)," ")</f>
        <v xml:space="preserve"> </v>
      </c>
      <c r="P157" s="836"/>
      <c r="Q157" s="1127" t="e">
        <f t="shared" si="105"/>
        <v>#N/A</v>
      </c>
      <c r="R157" s="1127" t="b">
        <f t="shared" si="116"/>
        <v>0</v>
      </c>
      <c r="S157" s="1127" t="e">
        <f t="shared" si="106"/>
        <v>#N/A</v>
      </c>
      <c r="T157" s="1127" t="b">
        <f t="shared" si="117"/>
        <v>0</v>
      </c>
      <c r="U157" s="1127" t="e">
        <f t="shared" si="107"/>
        <v>#N/A</v>
      </c>
      <c r="V157" s="1127" t="e">
        <f t="shared" si="118"/>
        <v>#N/A</v>
      </c>
      <c r="W157" s="1127" t="e">
        <f>IF(F157="Offiho",J157,IF(_xlfn.XLOOKUP(F157,Proveedores!A$2:A$50,Proveedores!E$2:E$50,"")="Nacional",(J157/0.5)+(V157*H157),((J157/0.3/0.5)+(V157*H157))))</f>
        <v>#N/A</v>
      </c>
      <c r="X157" s="1127" t="e">
        <f t="shared" si="108"/>
        <v>#N/A</v>
      </c>
      <c r="Y157" s="1126" t="b">
        <f t="shared" si="109"/>
        <v>0</v>
      </c>
      <c r="Z157" s="43">
        <v>0</v>
      </c>
      <c r="AA157" s="1219" t="e">
        <f t="shared" si="119"/>
        <v>#N/A</v>
      </c>
      <c r="AB157" s="1219" t="e">
        <f t="shared" si="120"/>
        <v>#N/A</v>
      </c>
      <c r="AC157" s="1219" t="e">
        <f t="shared" si="110"/>
        <v>#N/A</v>
      </c>
      <c r="AD157" s="1126" t="e">
        <f t="shared" si="121"/>
        <v>#N/A</v>
      </c>
      <c r="AE157" s="1217" t="e">
        <f t="shared" si="111"/>
        <v>#N/A</v>
      </c>
      <c r="AF157" s="1220" t="e">
        <f t="shared" si="112"/>
        <v>#N/A</v>
      </c>
      <c r="AG157" s="1176" t="e">
        <f t="shared" si="113"/>
        <v>#N/A</v>
      </c>
      <c r="AH157" s="1221" t="e">
        <f t="shared" si="122"/>
        <v>#N/A</v>
      </c>
    </row>
    <row r="158" spans="1:34" ht="15.5">
      <c r="A158" s="1216" t="b">
        <f t="shared" si="101"/>
        <v>1</v>
      </c>
      <c r="B158" s="1217" t="b">
        <f t="shared" si="114"/>
        <v>1</v>
      </c>
      <c r="C158" s="1218" t="str">
        <f t="shared" si="115"/>
        <v>Dólares</v>
      </c>
      <c r="D158" s="46"/>
      <c r="E158" s="836"/>
      <c r="F158" s="50"/>
      <c r="G158" s="50" t="str">
        <f t="shared" si="102"/>
        <v xml:space="preserve"> </v>
      </c>
      <c r="H158" s="45">
        <v>0</v>
      </c>
      <c r="I158" s="49" t="str">
        <f>IFERROR(VLOOKUP(G158,Proveedores!B:C,2,0)," ")</f>
        <v xml:space="preserve"> </v>
      </c>
      <c r="J158" s="838">
        <v>0</v>
      </c>
      <c r="K158" s="1124"/>
      <c r="L158" s="1266">
        <f t="shared" si="103"/>
        <v>0</v>
      </c>
      <c r="M158" s="1267">
        <f t="shared" si="104"/>
        <v>0</v>
      </c>
      <c r="N158" s="1268">
        <f t="shared" si="123"/>
        <v>0</v>
      </c>
      <c r="O158" s="836" t="str">
        <f>IFERROR(VLOOKUP(G158,Proveedores!B:D,3,0)," ")</f>
        <v xml:space="preserve"> </v>
      </c>
      <c r="P158" s="836"/>
      <c r="Q158" s="1127" t="e">
        <f t="shared" si="105"/>
        <v>#N/A</v>
      </c>
      <c r="R158" s="1127" t="b">
        <f t="shared" si="116"/>
        <v>0</v>
      </c>
      <c r="S158" s="1127" t="e">
        <f t="shared" si="106"/>
        <v>#N/A</v>
      </c>
      <c r="T158" s="1127" t="b">
        <f t="shared" si="117"/>
        <v>0</v>
      </c>
      <c r="U158" s="1127" t="e">
        <f t="shared" si="107"/>
        <v>#N/A</v>
      </c>
      <c r="V158" s="1127" t="e">
        <f t="shared" si="118"/>
        <v>#N/A</v>
      </c>
      <c r="W158" s="1127" t="e">
        <f>IF(F158="Offiho",J158,IF(_xlfn.XLOOKUP(F158,Proveedores!A$2:A$50,Proveedores!E$2:E$50,"")="Nacional",(J158/0.5)+(V158*H158),((J158/0.3/0.5)+(V158*H158))))</f>
        <v>#N/A</v>
      </c>
      <c r="X158" s="1127" t="e">
        <f t="shared" si="108"/>
        <v>#N/A</v>
      </c>
      <c r="Y158" s="1126" t="b">
        <f t="shared" si="109"/>
        <v>0</v>
      </c>
      <c r="Z158" s="43">
        <v>0</v>
      </c>
      <c r="AA158" s="1219" t="e">
        <f t="shared" si="119"/>
        <v>#N/A</v>
      </c>
      <c r="AB158" s="1219" t="e">
        <f t="shared" si="120"/>
        <v>#N/A</v>
      </c>
      <c r="AC158" s="1219" t="e">
        <f t="shared" si="110"/>
        <v>#N/A</v>
      </c>
      <c r="AD158" s="1126" t="e">
        <f t="shared" si="121"/>
        <v>#N/A</v>
      </c>
      <c r="AE158" s="1217" t="e">
        <f t="shared" si="111"/>
        <v>#N/A</v>
      </c>
      <c r="AF158" s="1220" t="e">
        <f t="shared" si="112"/>
        <v>#N/A</v>
      </c>
      <c r="AG158" s="1176" t="e">
        <f t="shared" si="113"/>
        <v>#N/A</v>
      </c>
      <c r="AH158" s="1221" t="e">
        <f t="shared" si="122"/>
        <v>#N/A</v>
      </c>
    </row>
    <row r="159" spans="1:34" ht="15.5">
      <c r="A159" s="1216" t="b">
        <f t="shared" si="101"/>
        <v>1</v>
      </c>
      <c r="B159" s="1217" t="b">
        <f t="shared" si="114"/>
        <v>1</v>
      </c>
      <c r="C159" s="1218" t="str">
        <f t="shared" si="115"/>
        <v>Dólares</v>
      </c>
      <c r="D159" s="46"/>
      <c r="E159" s="836"/>
      <c r="F159" s="50"/>
      <c r="G159" s="50" t="str">
        <f t="shared" si="102"/>
        <v xml:space="preserve"> </v>
      </c>
      <c r="H159" s="45">
        <v>0</v>
      </c>
      <c r="I159" s="49" t="str">
        <f>IFERROR(VLOOKUP(G159,Proveedores!B:C,2,0)," ")</f>
        <v xml:space="preserve"> </v>
      </c>
      <c r="J159" s="838">
        <v>0</v>
      </c>
      <c r="K159" s="1124"/>
      <c r="L159" s="1266">
        <f t="shared" si="103"/>
        <v>0</v>
      </c>
      <c r="M159" s="1267">
        <f t="shared" si="104"/>
        <v>0</v>
      </c>
      <c r="N159" s="1268">
        <f t="shared" si="123"/>
        <v>0</v>
      </c>
      <c r="O159" s="836" t="str">
        <f>IFERROR(VLOOKUP(G159,Proveedores!B:D,3,0)," ")</f>
        <v xml:space="preserve"> </v>
      </c>
      <c r="P159" s="836"/>
      <c r="Q159" s="1127" t="e">
        <f t="shared" si="105"/>
        <v>#N/A</v>
      </c>
      <c r="R159" s="1127" t="b">
        <f t="shared" si="116"/>
        <v>0</v>
      </c>
      <c r="S159" s="1127" t="e">
        <f t="shared" si="106"/>
        <v>#N/A</v>
      </c>
      <c r="T159" s="1127" t="b">
        <f t="shared" si="117"/>
        <v>0</v>
      </c>
      <c r="U159" s="1127" t="e">
        <f t="shared" si="107"/>
        <v>#N/A</v>
      </c>
      <c r="V159" s="1127" t="e">
        <f t="shared" si="118"/>
        <v>#N/A</v>
      </c>
      <c r="W159" s="1127" t="e">
        <f>IF(F159="Offiho",J159,IF(_xlfn.XLOOKUP(F159,Proveedores!A$2:A$50,Proveedores!E$2:E$50,"")="Nacional",(J159/0.5)+(V159*H159),((J159/0.3/0.5)+(V159*H159))))</f>
        <v>#N/A</v>
      </c>
      <c r="X159" s="1127" t="e">
        <f t="shared" si="108"/>
        <v>#N/A</v>
      </c>
      <c r="Y159" s="1126" t="b">
        <f t="shared" si="109"/>
        <v>0</v>
      </c>
      <c r="Z159" s="43">
        <v>0</v>
      </c>
      <c r="AA159" s="1219" t="e">
        <f t="shared" si="119"/>
        <v>#N/A</v>
      </c>
      <c r="AB159" s="1219" t="e">
        <f t="shared" si="120"/>
        <v>#N/A</v>
      </c>
      <c r="AC159" s="1219" t="e">
        <f t="shared" si="110"/>
        <v>#N/A</v>
      </c>
      <c r="AD159" s="1126" t="e">
        <f t="shared" si="121"/>
        <v>#N/A</v>
      </c>
      <c r="AE159" s="1217" t="e">
        <f t="shared" si="111"/>
        <v>#N/A</v>
      </c>
      <c r="AF159" s="1220" t="e">
        <f t="shared" si="112"/>
        <v>#N/A</v>
      </c>
      <c r="AG159" s="1176" t="e">
        <f t="shared" si="113"/>
        <v>#N/A</v>
      </c>
      <c r="AH159" s="1221" t="e">
        <f t="shared" si="122"/>
        <v>#N/A</v>
      </c>
    </row>
    <row r="160" spans="1:34" ht="15.5">
      <c r="A160" s="1216" t="b">
        <f t="shared" si="101"/>
        <v>1</v>
      </c>
      <c r="B160" s="1217" t="b">
        <f t="shared" si="114"/>
        <v>1</v>
      </c>
      <c r="C160" s="1218" t="str">
        <f t="shared" si="115"/>
        <v>Dólares</v>
      </c>
      <c r="D160" s="44"/>
      <c r="E160" s="836"/>
      <c r="F160" s="50"/>
      <c r="G160" s="50" t="str">
        <f t="shared" si="102"/>
        <v xml:space="preserve"> </v>
      </c>
      <c r="H160" s="45">
        <v>0</v>
      </c>
      <c r="I160" s="49" t="str">
        <f>IFERROR(VLOOKUP(G160,Proveedores!B:C,2,0)," ")</f>
        <v xml:space="preserve"> </v>
      </c>
      <c r="J160" s="838">
        <v>0</v>
      </c>
      <c r="K160" s="1124"/>
      <c r="L160" s="1266">
        <f t="shared" si="103"/>
        <v>0</v>
      </c>
      <c r="M160" s="1267">
        <f t="shared" si="104"/>
        <v>0</v>
      </c>
      <c r="N160" s="1268">
        <f t="shared" si="123"/>
        <v>0</v>
      </c>
      <c r="O160" s="836" t="str">
        <f>IFERROR(VLOOKUP(G160,Proveedores!B:D,3,0)," ")</f>
        <v xml:space="preserve"> </v>
      </c>
      <c r="P160" s="836"/>
      <c r="Q160" s="1127" t="e">
        <f t="shared" si="105"/>
        <v>#N/A</v>
      </c>
      <c r="R160" s="1127" t="b">
        <f t="shared" si="116"/>
        <v>0</v>
      </c>
      <c r="S160" s="1127" t="e">
        <f t="shared" si="106"/>
        <v>#N/A</v>
      </c>
      <c r="T160" s="1127" t="b">
        <f t="shared" si="117"/>
        <v>0</v>
      </c>
      <c r="U160" s="1127" t="e">
        <f t="shared" si="107"/>
        <v>#N/A</v>
      </c>
      <c r="V160" s="1127" t="e">
        <f t="shared" si="118"/>
        <v>#N/A</v>
      </c>
      <c r="W160" s="1127" t="e">
        <f>IF(F160="Offiho",J160,IF(_xlfn.XLOOKUP(F160,Proveedores!A$2:A$50,Proveedores!E$2:E$50,"")="Nacional",(J160/0.5)+(V160*H160),((J160/0.3/0.5)+(V160*H160))))</f>
        <v>#N/A</v>
      </c>
      <c r="X160" s="1127" t="e">
        <f t="shared" si="108"/>
        <v>#N/A</v>
      </c>
      <c r="Y160" s="1126" t="b">
        <f t="shared" si="109"/>
        <v>0</v>
      </c>
      <c r="Z160" s="43">
        <v>0</v>
      </c>
      <c r="AA160" s="1219" t="e">
        <f t="shared" si="119"/>
        <v>#N/A</v>
      </c>
      <c r="AB160" s="1219" t="e">
        <f t="shared" si="120"/>
        <v>#N/A</v>
      </c>
      <c r="AC160" s="1219" t="e">
        <f t="shared" si="110"/>
        <v>#N/A</v>
      </c>
      <c r="AD160" s="1126" t="e">
        <f t="shared" si="121"/>
        <v>#N/A</v>
      </c>
      <c r="AE160" s="1217" t="e">
        <f t="shared" si="111"/>
        <v>#N/A</v>
      </c>
      <c r="AF160" s="1220" t="e">
        <f t="shared" si="112"/>
        <v>#N/A</v>
      </c>
      <c r="AG160" s="1176" t="e">
        <f t="shared" si="113"/>
        <v>#N/A</v>
      </c>
      <c r="AH160" s="1221" t="e">
        <f t="shared" si="122"/>
        <v>#N/A</v>
      </c>
    </row>
    <row r="161" spans="1:34" ht="15.5">
      <c r="A161" s="1216" t="b">
        <f t="shared" si="101"/>
        <v>1</v>
      </c>
      <c r="B161" s="1217" t="b">
        <f t="shared" si="114"/>
        <v>1</v>
      </c>
      <c r="C161" s="1218" t="str">
        <f t="shared" si="115"/>
        <v>Dólares</v>
      </c>
      <c r="D161" s="44"/>
      <c r="E161" s="836"/>
      <c r="F161" s="50"/>
      <c r="G161" s="50" t="str">
        <f t="shared" si="102"/>
        <v xml:space="preserve"> </v>
      </c>
      <c r="H161" s="45">
        <v>0</v>
      </c>
      <c r="I161" s="49" t="str">
        <f>IFERROR(VLOOKUP(G161,Proveedores!B:C,2,0)," ")</f>
        <v xml:space="preserve"> </v>
      </c>
      <c r="J161" s="838">
        <v>0</v>
      </c>
      <c r="K161" s="1124"/>
      <c r="L161" s="1266">
        <f t="shared" si="103"/>
        <v>0</v>
      </c>
      <c r="M161" s="1267">
        <f t="shared" si="104"/>
        <v>0</v>
      </c>
      <c r="N161" s="1268">
        <f t="shared" si="123"/>
        <v>0</v>
      </c>
      <c r="O161" s="836" t="str">
        <f>IFERROR(VLOOKUP(G161,Proveedores!B:D,3,0)," ")</f>
        <v xml:space="preserve"> </v>
      </c>
      <c r="P161" s="836"/>
      <c r="Q161" s="1127" t="e">
        <f t="shared" si="105"/>
        <v>#N/A</v>
      </c>
      <c r="R161" s="1127" t="b">
        <f t="shared" si="116"/>
        <v>0</v>
      </c>
      <c r="S161" s="1127" t="e">
        <f t="shared" si="106"/>
        <v>#N/A</v>
      </c>
      <c r="T161" s="1127" t="b">
        <f t="shared" si="117"/>
        <v>0</v>
      </c>
      <c r="U161" s="1127" t="e">
        <f t="shared" si="107"/>
        <v>#N/A</v>
      </c>
      <c r="V161" s="1127" t="e">
        <f t="shared" si="118"/>
        <v>#N/A</v>
      </c>
      <c r="W161" s="1127" t="e">
        <f>IF(F161="Offiho",J161,IF(_xlfn.XLOOKUP(F161,Proveedores!A$2:A$50,Proveedores!E$2:E$50,"")="Nacional",(J161/0.5)+(V161*H161),((J161/0.3/0.5)+(V161*H161))))</f>
        <v>#N/A</v>
      </c>
      <c r="X161" s="1127" t="e">
        <f t="shared" si="108"/>
        <v>#N/A</v>
      </c>
      <c r="Y161" s="1126" t="b">
        <f t="shared" si="109"/>
        <v>0</v>
      </c>
      <c r="Z161" s="43">
        <v>0</v>
      </c>
      <c r="AA161" s="1219" t="e">
        <f t="shared" si="119"/>
        <v>#N/A</v>
      </c>
      <c r="AB161" s="1219" t="e">
        <f t="shared" si="120"/>
        <v>#N/A</v>
      </c>
      <c r="AC161" s="1219" t="e">
        <f t="shared" si="110"/>
        <v>#N/A</v>
      </c>
      <c r="AD161" s="1126" t="e">
        <f t="shared" si="121"/>
        <v>#N/A</v>
      </c>
      <c r="AE161" s="1217" t="e">
        <f t="shared" si="111"/>
        <v>#N/A</v>
      </c>
      <c r="AF161" s="1220" t="e">
        <f t="shared" si="112"/>
        <v>#N/A</v>
      </c>
      <c r="AG161" s="1176" t="e">
        <f t="shared" si="113"/>
        <v>#N/A</v>
      </c>
      <c r="AH161" s="1221" t="e">
        <f t="shared" si="122"/>
        <v>#N/A</v>
      </c>
    </row>
    <row r="162" spans="1:34" ht="15.5">
      <c r="A162" s="1216" t="b">
        <f t="shared" si="101"/>
        <v>1</v>
      </c>
      <c r="B162" s="1217" t="b">
        <f t="shared" si="114"/>
        <v>1</v>
      </c>
      <c r="C162" s="1218" t="str">
        <f t="shared" si="115"/>
        <v>Dólares</v>
      </c>
      <c r="D162" s="44"/>
      <c r="E162" s="836"/>
      <c r="F162" s="50"/>
      <c r="G162" s="50" t="str">
        <f t="shared" si="102"/>
        <v xml:space="preserve"> </v>
      </c>
      <c r="H162" s="45">
        <v>0</v>
      </c>
      <c r="I162" s="49" t="str">
        <f>IFERROR(VLOOKUP(G162,Proveedores!B:C,2,0)," ")</f>
        <v xml:space="preserve"> </v>
      </c>
      <c r="J162" s="838">
        <v>0</v>
      </c>
      <c r="K162" s="1124"/>
      <c r="L162" s="1266">
        <f t="shared" si="103"/>
        <v>0</v>
      </c>
      <c r="M162" s="1267">
        <f t="shared" si="104"/>
        <v>0</v>
      </c>
      <c r="N162" s="1268">
        <f t="shared" si="123"/>
        <v>0</v>
      </c>
      <c r="O162" s="836" t="str">
        <f>IFERROR(VLOOKUP(G162,Proveedores!B:D,3,0)," ")</f>
        <v xml:space="preserve"> </v>
      </c>
      <c r="P162" s="836"/>
      <c r="Q162" s="1127" t="e">
        <f t="shared" si="105"/>
        <v>#N/A</v>
      </c>
      <c r="R162" s="1127" t="b">
        <f t="shared" si="116"/>
        <v>0</v>
      </c>
      <c r="S162" s="1127" t="e">
        <f t="shared" si="106"/>
        <v>#N/A</v>
      </c>
      <c r="T162" s="1127" t="b">
        <f t="shared" si="117"/>
        <v>0</v>
      </c>
      <c r="U162" s="1127" t="e">
        <f t="shared" si="107"/>
        <v>#N/A</v>
      </c>
      <c r="V162" s="1127" t="e">
        <f t="shared" si="118"/>
        <v>#N/A</v>
      </c>
      <c r="W162" s="1127" t="e">
        <f>IF(F162="Offiho",J162,IF(_xlfn.XLOOKUP(F162,Proveedores!A$2:A$50,Proveedores!E$2:E$50,"")="Nacional",(J162/0.5)+(V162*H162),((J162/0.3/0.5)+(V162*H162))))</f>
        <v>#N/A</v>
      </c>
      <c r="X162" s="1127" t="e">
        <f t="shared" si="108"/>
        <v>#N/A</v>
      </c>
      <c r="Y162" s="1126" t="b">
        <f t="shared" si="109"/>
        <v>0</v>
      </c>
      <c r="Z162" s="43">
        <v>0</v>
      </c>
      <c r="AA162" s="1219" t="e">
        <f t="shared" si="119"/>
        <v>#N/A</v>
      </c>
      <c r="AB162" s="1219" t="e">
        <f t="shared" si="120"/>
        <v>#N/A</v>
      </c>
      <c r="AC162" s="1219" t="e">
        <f t="shared" si="110"/>
        <v>#N/A</v>
      </c>
      <c r="AD162" s="1126" t="e">
        <f t="shared" si="121"/>
        <v>#N/A</v>
      </c>
      <c r="AE162" s="1217" t="e">
        <f t="shared" si="111"/>
        <v>#N/A</v>
      </c>
      <c r="AF162" s="1220" t="e">
        <f t="shared" si="112"/>
        <v>#N/A</v>
      </c>
      <c r="AG162" s="1176" t="e">
        <f t="shared" si="113"/>
        <v>#N/A</v>
      </c>
      <c r="AH162" s="1221" t="e">
        <f t="shared" si="122"/>
        <v>#N/A</v>
      </c>
    </row>
    <row r="163" spans="1:34" ht="15.5">
      <c r="A163" s="1216" t="b">
        <f t="shared" si="101"/>
        <v>1</v>
      </c>
      <c r="B163" s="1217" t="b">
        <f t="shared" si="114"/>
        <v>1</v>
      </c>
      <c r="C163" s="1218" t="str">
        <f t="shared" si="115"/>
        <v>Dólares</v>
      </c>
      <c r="D163" s="44"/>
      <c r="E163" s="836"/>
      <c r="F163" s="50"/>
      <c r="G163" s="50" t="str">
        <f t="shared" si="102"/>
        <v xml:space="preserve"> </v>
      </c>
      <c r="H163" s="45">
        <v>0</v>
      </c>
      <c r="I163" s="49" t="str">
        <f>IFERROR(VLOOKUP(G163,Proveedores!B:C,2,0)," ")</f>
        <v xml:space="preserve"> </v>
      </c>
      <c r="J163" s="838">
        <v>0</v>
      </c>
      <c r="K163" s="1124"/>
      <c r="L163" s="1266">
        <f t="shared" si="103"/>
        <v>0</v>
      </c>
      <c r="M163" s="1267">
        <f t="shared" si="104"/>
        <v>0</v>
      </c>
      <c r="N163" s="1268">
        <f t="shared" si="123"/>
        <v>0</v>
      </c>
      <c r="O163" s="836" t="str">
        <f>IFERROR(VLOOKUP(G163,Proveedores!B:D,3,0)," ")</f>
        <v xml:space="preserve"> </v>
      </c>
      <c r="P163" s="836"/>
      <c r="Q163" s="1127" t="e">
        <f t="shared" si="105"/>
        <v>#N/A</v>
      </c>
      <c r="R163" s="1127" t="b">
        <f t="shared" si="116"/>
        <v>0</v>
      </c>
      <c r="S163" s="1127" t="e">
        <f t="shared" si="106"/>
        <v>#N/A</v>
      </c>
      <c r="T163" s="1127" t="b">
        <f t="shared" si="117"/>
        <v>0</v>
      </c>
      <c r="U163" s="1127" t="e">
        <f t="shared" si="107"/>
        <v>#N/A</v>
      </c>
      <c r="V163" s="1127" t="e">
        <f t="shared" si="118"/>
        <v>#N/A</v>
      </c>
      <c r="W163" s="1127" t="e">
        <f>IF(F163="Offiho",J163,IF(_xlfn.XLOOKUP(F163,Proveedores!A$2:A$50,Proveedores!E$2:E$50,"")="Nacional",(J163/0.5)+(V163*H163),((J163/0.3/0.5)+(V163*H163))))</f>
        <v>#N/A</v>
      </c>
      <c r="X163" s="1127" t="e">
        <f t="shared" si="108"/>
        <v>#N/A</v>
      </c>
      <c r="Y163" s="1126" t="b">
        <f t="shared" si="109"/>
        <v>0</v>
      </c>
      <c r="Z163" s="43">
        <v>0</v>
      </c>
      <c r="AA163" s="1219" t="e">
        <f t="shared" si="119"/>
        <v>#N/A</v>
      </c>
      <c r="AB163" s="1219" t="e">
        <f t="shared" si="120"/>
        <v>#N/A</v>
      </c>
      <c r="AC163" s="1219" t="e">
        <f t="shared" si="110"/>
        <v>#N/A</v>
      </c>
      <c r="AD163" s="1126" t="e">
        <f t="shared" si="121"/>
        <v>#N/A</v>
      </c>
      <c r="AE163" s="1217" t="e">
        <f t="shared" si="111"/>
        <v>#N/A</v>
      </c>
      <c r="AF163" s="1220" t="e">
        <f t="shared" si="112"/>
        <v>#N/A</v>
      </c>
      <c r="AG163" s="1176" t="e">
        <f t="shared" si="113"/>
        <v>#N/A</v>
      </c>
      <c r="AH163" s="1221" t="e">
        <f t="shared" si="122"/>
        <v>#N/A</v>
      </c>
    </row>
    <row r="164" spans="1:34" ht="15.5">
      <c r="A164" s="1216" t="b">
        <f t="shared" si="101"/>
        <v>1</v>
      </c>
      <c r="B164" s="1217" t="b">
        <f t="shared" si="114"/>
        <v>1</v>
      </c>
      <c r="C164" s="1218" t="str">
        <f t="shared" si="115"/>
        <v>Dólares</v>
      </c>
      <c r="D164" s="46"/>
      <c r="E164" s="836"/>
      <c r="F164" s="50"/>
      <c r="G164" s="50" t="str">
        <f t="shared" si="102"/>
        <v xml:space="preserve"> </v>
      </c>
      <c r="H164" s="45">
        <v>0</v>
      </c>
      <c r="I164" s="49" t="str">
        <f>IFERROR(VLOOKUP(G164,Proveedores!B:C,2,0)," ")</f>
        <v xml:space="preserve"> </v>
      </c>
      <c r="J164" s="838">
        <v>0</v>
      </c>
      <c r="K164" s="1124"/>
      <c r="L164" s="1266">
        <f t="shared" si="103"/>
        <v>0</v>
      </c>
      <c r="M164" s="1267">
        <f t="shared" si="104"/>
        <v>0</v>
      </c>
      <c r="N164" s="1268">
        <f t="shared" si="123"/>
        <v>0</v>
      </c>
      <c r="O164" s="836" t="str">
        <f>IFERROR(VLOOKUP(G164,Proveedores!B:D,3,0)," ")</f>
        <v xml:space="preserve"> </v>
      </c>
      <c r="P164" s="836"/>
      <c r="Q164" s="1127" t="e">
        <f t="shared" si="105"/>
        <v>#N/A</v>
      </c>
      <c r="R164" s="1127" t="b">
        <f t="shared" si="116"/>
        <v>0</v>
      </c>
      <c r="S164" s="1127" t="e">
        <f t="shared" si="106"/>
        <v>#N/A</v>
      </c>
      <c r="T164" s="1127" t="b">
        <f t="shared" si="117"/>
        <v>0</v>
      </c>
      <c r="U164" s="1127" t="e">
        <f t="shared" si="107"/>
        <v>#N/A</v>
      </c>
      <c r="V164" s="1127" t="e">
        <f t="shared" si="118"/>
        <v>#N/A</v>
      </c>
      <c r="W164" s="1127" t="e">
        <f>IF(F164="Offiho",J164,IF(_xlfn.XLOOKUP(F164,Proveedores!A$2:A$50,Proveedores!E$2:E$50,"")="Nacional",(J164/0.5)+(V164*H164),((J164/0.3/0.5)+(V164*H164))))</f>
        <v>#N/A</v>
      </c>
      <c r="X164" s="1127" t="e">
        <f t="shared" si="108"/>
        <v>#N/A</v>
      </c>
      <c r="Y164" s="1126" t="b">
        <f t="shared" si="109"/>
        <v>0</v>
      </c>
      <c r="Z164" s="43">
        <v>0</v>
      </c>
      <c r="AA164" s="1219" t="e">
        <f t="shared" si="119"/>
        <v>#N/A</v>
      </c>
      <c r="AB164" s="1219" t="e">
        <f t="shared" si="120"/>
        <v>#N/A</v>
      </c>
      <c r="AC164" s="1219" t="e">
        <f t="shared" si="110"/>
        <v>#N/A</v>
      </c>
      <c r="AD164" s="1126" t="e">
        <f t="shared" si="121"/>
        <v>#N/A</v>
      </c>
      <c r="AE164" s="1217" t="e">
        <f t="shared" si="111"/>
        <v>#N/A</v>
      </c>
      <c r="AF164" s="1220" t="e">
        <f t="shared" si="112"/>
        <v>#N/A</v>
      </c>
      <c r="AG164" s="1176" t="e">
        <f t="shared" si="113"/>
        <v>#N/A</v>
      </c>
      <c r="AH164" s="1221" t="e">
        <f t="shared" si="122"/>
        <v>#N/A</v>
      </c>
    </row>
    <row r="165" spans="1:34" ht="15.5">
      <c r="A165" s="1216" t="b">
        <f t="shared" si="101"/>
        <v>1</v>
      </c>
      <c r="B165" s="1217" t="b">
        <f t="shared" si="114"/>
        <v>1</v>
      </c>
      <c r="C165" s="1218" t="str">
        <f t="shared" si="115"/>
        <v>Dólares</v>
      </c>
      <c r="D165" s="46"/>
      <c r="E165" s="836"/>
      <c r="F165" s="50"/>
      <c r="G165" s="50" t="str">
        <f t="shared" si="102"/>
        <v xml:space="preserve"> </v>
      </c>
      <c r="H165" s="45">
        <v>0</v>
      </c>
      <c r="I165" s="49" t="str">
        <f>IFERROR(VLOOKUP(G165,Proveedores!B:C,2,0)," ")</f>
        <v xml:space="preserve"> </v>
      </c>
      <c r="J165" s="838">
        <v>0</v>
      </c>
      <c r="K165" s="1124"/>
      <c r="L165" s="1266">
        <f t="shared" si="103"/>
        <v>0</v>
      </c>
      <c r="M165" s="1267">
        <f t="shared" si="104"/>
        <v>0</v>
      </c>
      <c r="N165" s="1268">
        <f t="shared" si="123"/>
        <v>0</v>
      </c>
      <c r="O165" s="836" t="str">
        <f>IFERROR(VLOOKUP(G165,Proveedores!B:D,3,0)," ")</f>
        <v xml:space="preserve"> </v>
      </c>
      <c r="P165" s="836"/>
      <c r="Q165" s="1127" t="e">
        <f t="shared" si="105"/>
        <v>#N/A</v>
      </c>
      <c r="R165" s="1127" t="b">
        <f t="shared" si="116"/>
        <v>0</v>
      </c>
      <c r="S165" s="1127" t="e">
        <f t="shared" si="106"/>
        <v>#N/A</v>
      </c>
      <c r="T165" s="1127" t="b">
        <f t="shared" si="117"/>
        <v>0</v>
      </c>
      <c r="U165" s="1127" t="e">
        <f t="shared" si="107"/>
        <v>#N/A</v>
      </c>
      <c r="V165" s="1127" t="e">
        <f t="shared" si="118"/>
        <v>#N/A</v>
      </c>
      <c r="W165" s="1127" t="e">
        <f>IF(F165="Offiho",J165,IF(_xlfn.XLOOKUP(F165,Proveedores!A$2:A$50,Proveedores!E$2:E$50,"")="Nacional",(J165/0.5)+(V165*H165),((J165/0.3/0.5)+(V165*H165))))</f>
        <v>#N/A</v>
      </c>
      <c r="X165" s="1127" t="e">
        <f t="shared" si="108"/>
        <v>#N/A</v>
      </c>
      <c r="Y165" s="1126" t="b">
        <f t="shared" si="109"/>
        <v>0</v>
      </c>
      <c r="Z165" s="43">
        <v>0</v>
      </c>
      <c r="AA165" s="1219" t="e">
        <f t="shared" si="119"/>
        <v>#N/A</v>
      </c>
      <c r="AB165" s="1219" t="e">
        <f t="shared" si="120"/>
        <v>#N/A</v>
      </c>
      <c r="AC165" s="1219" t="e">
        <f t="shared" si="110"/>
        <v>#N/A</v>
      </c>
      <c r="AD165" s="1126" t="e">
        <f t="shared" si="121"/>
        <v>#N/A</v>
      </c>
      <c r="AE165" s="1217" t="e">
        <f t="shared" si="111"/>
        <v>#N/A</v>
      </c>
      <c r="AF165" s="1220" t="e">
        <f t="shared" si="112"/>
        <v>#N/A</v>
      </c>
      <c r="AG165" s="1176" t="e">
        <f t="shared" si="113"/>
        <v>#N/A</v>
      </c>
      <c r="AH165" s="1221" t="e">
        <f t="shared" si="122"/>
        <v>#N/A</v>
      </c>
    </row>
    <row r="166" spans="1:34" ht="15.5">
      <c r="A166" s="1216" t="b">
        <f t="shared" si="101"/>
        <v>1</v>
      </c>
      <c r="B166" s="1217" t="b">
        <f t="shared" si="114"/>
        <v>1</v>
      </c>
      <c r="C166" s="1218" t="str">
        <f t="shared" si="115"/>
        <v>Dólares</v>
      </c>
      <c r="D166" s="46"/>
      <c r="E166" s="836"/>
      <c r="F166" s="50"/>
      <c r="G166" s="50" t="str">
        <f t="shared" si="102"/>
        <v xml:space="preserve"> </v>
      </c>
      <c r="H166" s="45">
        <v>0</v>
      </c>
      <c r="I166" s="49" t="str">
        <f>IFERROR(VLOOKUP(G166,Proveedores!B:C,2,0)," ")</f>
        <v xml:space="preserve"> </v>
      </c>
      <c r="J166" s="838">
        <v>0</v>
      </c>
      <c r="K166" s="1124"/>
      <c r="L166" s="1266">
        <f t="shared" si="103"/>
        <v>0</v>
      </c>
      <c r="M166" s="1267">
        <f t="shared" si="104"/>
        <v>0</v>
      </c>
      <c r="N166" s="1268">
        <f t="shared" si="123"/>
        <v>0</v>
      </c>
      <c r="O166" s="836" t="str">
        <f>IFERROR(VLOOKUP(G166,Proveedores!B:D,3,0)," ")</f>
        <v xml:space="preserve"> </v>
      </c>
      <c r="P166" s="836"/>
      <c r="Q166" s="1127" t="e">
        <f t="shared" si="105"/>
        <v>#N/A</v>
      </c>
      <c r="R166" s="1127" t="b">
        <f t="shared" si="116"/>
        <v>0</v>
      </c>
      <c r="S166" s="1127" t="e">
        <f t="shared" si="106"/>
        <v>#N/A</v>
      </c>
      <c r="T166" s="1127" t="b">
        <f t="shared" si="117"/>
        <v>0</v>
      </c>
      <c r="U166" s="1127" t="e">
        <f t="shared" si="107"/>
        <v>#N/A</v>
      </c>
      <c r="V166" s="1127" t="e">
        <f t="shared" si="118"/>
        <v>#N/A</v>
      </c>
      <c r="W166" s="1127" t="e">
        <f>IF(F166="Offiho",J166,IF(_xlfn.XLOOKUP(F166,Proveedores!A$2:A$50,Proveedores!E$2:E$50,"")="Nacional",(J166/0.5)+(V166*H166),((J166/0.3/0.5)+(V166*H166))))</f>
        <v>#N/A</v>
      </c>
      <c r="X166" s="1127" t="e">
        <f t="shared" si="108"/>
        <v>#N/A</v>
      </c>
      <c r="Y166" s="1126" t="b">
        <f t="shared" si="109"/>
        <v>0</v>
      </c>
      <c r="Z166" s="43">
        <v>0</v>
      </c>
      <c r="AA166" s="1219" t="e">
        <f t="shared" si="119"/>
        <v>#N/A</v>
      </c>
      <c r="AB166" s="1219" t="e">
        <f t="shared" si="120"/>
        <v>#N/A</v>
      </c>
      <c r="AC166" s="1219" t="e">
        <f t="shared" si="110"/>
        <v>#N/A</v>
      </c>
      <c r="AD166" s="1126" t="e">
        <f t="shared" si="121"/>
        <v>#N/A</v>
      </c>
      <c r="AE166" s="1217" t="e">
        <f t="shared" si="111"/>
        <v>#N/A</v>
      </c>
      <c r="AF166" s="1220" t="e">
        <f t="shared" si="112"/>
        <v>#N/A</v>
      </c>
      <c r="AG166" s="1176" t="e">
        <f t="shared" si="113"/>
        <v>#N/A</v>
      </c>
      <c r="AH166" s="1221" t="e">
        <f t="shared" si="122"/>
        <v>#N/A</v>
      </c>
    </row>
    <row r="167" spans="1:34" ht="15.5">
      <c r="A167" s="1216" t="b">
        <f t="shared" si="101"/>
        <v>1</v>
      </c>
      <c r="B167" s="1217" t="b">
        <f t="shared" si="114"/>
        <v>1</v>
      </c>
      <c r="C167" s="1218" t="str">
        <f t="shared" si="115"/>
        <v>Dólares</v>
      </c>
      <c r="D167" s="46"/>
      <c r="E167" s="836"/>
      <c r="F167" s="50"/>
      <c r="G167" s="50" t="str">
        <f t="shared" si="102"/>
        <v xml:space="preserve"> </v>
      </c>
      <c r="H167" s="45">
        <v>0</v>
      </c>
      <c r="I167" s="49" t="str">
        <f>IFERROR(VLOOKUP(G167,Proveedores!B:C,2,0)," ")</f>
        <v xml:space="preserve"> </v>
      </c>
      <c r="J167" s="838">
        <v>0</v>
      </c>
      <c r="K167" s="1124"/>
      <c r="L167" s="1266">
        <f t="shared" si="103"/>
        <v>0</v>
      </c>
      <c r="M167" s="1267">
        <f t="shared" si="104"/>
        <v>0</v>
      </c>
      <c r="N167" s="1268">
        <f t="shared" si="123"/>
        <v>0</v>
      </c>
      <c r="O167" s="836" t="str">
        <f>IFERROR(VLOOKUP(G167,Proveedores!B:D,3,0)," ")</f>
        <v xml:space="preserve"> </v>
      </c>
      <c r="P167" s="836"/>
      <c r="Q167" s="1127" t="e">
        <f t="shared" si="105"/>
        <v>#N/A</v>
      </c>
      <c r="R167" s="1127" t="b">
        <f t="shared" si="116"/>
        <v>0</v>
      </c>
      <c r="S167" s="1127" t="e">
        <f t="shared" si="106"/>
        <v>#N/A</v>
      </c>
      <c r="T167" s="1127" t="b">
        <f t="shared" si="117"/>
        <v>0</v>
      </c>
      <c r="U167" s="1127" t="e">
        <f t="shared" si="107"/>
        <v>#N/A</v>
      </c>
      <c r="V167" s="1127" t="e">
        <f t="shared" si="118"/>
        <v>#N/A</v>
      </c>
      <c r="W167" s="1127" t="e">
        <f>IF(F167="Offiho",J167,IF(_xlfn.XLOOKUP(F167,Proveedores!A$2:A$50,Proveedores!E$2:E$50,"")="Nacional",(J167/0.5)+(V167*H167),((J167/0.3/0.5)+(V167*H167))))</f>
        <v>#N/A</v>
      </c>
      <c r="X167" s="1127" t="e">
        <f t="shared" si="108"/>
        <v>#N/A</v>
      </c>
      <c r="Y167" s="1126" t="b">
        <f t="shared" si="109"/>
        <v>0</v>
      </c>
      <c r="Z167" s="43">
        <v>0</v>
      </c>
      <c r="AA167" s="1219" t="e">
        <f t="shared" si="119"/>
        <v>#N/A</v>
      </c>
      <c r="AB167" s="1219" t="e">
        <f t="shared" si="120"/>
        <v>#N/A</v>
      </c>
      <c r="AC167" s="1219" t="e">
        <f t="shared" si="110"/>
        <v>#N/A</v>
      </c>
      <c r="AD167" s="1126" t="e">
        <f t="shared" si="121"/>
        <v>#N/A</v>
      </c>
      <c r="AE167" s="1217" t="e">
        <f t="shared" si="111"/>
        <v>#N/A</v>
      </c>
      <c r="AF167" s="1220" t="e">
        <f t="shared" si="112"/>
        <v>#N/A</v>
      </c>
      <c r="AG167" s="1176" t="e">
        <f t="shared" si="113"/>
        <v>#N/A</v>
      </c>
      <c r="AH167" s="1221" t="e">
        <f t="shared" si="122"/>
        <v>#N/A</v>
      </c>
    </row>
    <row r="168" spans="1:34" ht="15.5">
      <c r="A168" s="1216" t="b">
        <f t="shared" si="101"/>
        <v>1</v>
      </c>
      <c r="B168" s="1217" t="b">
        <f t="shared" si="114"/>
        <v>1</v>
      </c>
      <c r="C168" s="1218" t="str">
        <f t="shared" si="115"/>
        <v>Dólares</v>
      </c>
      <c r="D168" s="46"/>
      <c r="E168" s="836"/>
      <c r="F168" s="50"/>
      <c r="G168" s="50" t="str">
        <f t="shared" si="102"/>
        <v xml:space="preserve"> </v>
      </c>
      <c r="H168" s="45">
        <v>0</v>
      </c>
      <c r="I168" s="49" t="str">
        <f>IFERROR(VLOOKUP(G168,Proveedores!B:C,2,0)," ")</f>
        <v xml:space="preserve"> </v>
      </c>
      <c r="J168" s="838">
        <v>0</v>
      </c>
      <c r="K168" s="1124"/>
      <c r="L168" s="1266">
        <f t="shared" si="103"/>
        <v>0</v>
      </c>
      <c r="M168" s="1267">
        <f t="shared" si="104"/>
        <v>0</v>
      </c>
      <c r="N168" s="1268">
        <f t="shared" si="123"/>
        <v>0</v>
      </c>
      <c r="O168" s="836" t="str">
        <f>IFERROR(VLOOKUP(G168,Proveedores!B:D,3,0)," ")</f>
        <v xml:space="preserve"> </v>
      </c>
      <c r="P168" s="836"/>
      <c r="Q168" s="1127" t="e">
        <f t="shared" si="105"/>
        <v>#N/A</v>
      </c>
      <c r="R168" s="1127" t="b">
        <f t="shared" si="116"/>
        <v>0</v>
      </c>
      <c r="S168" s="1127" t="e">
        <f t="shared" si="106"/>
        <v>#N/A</v>
      </c>
      <c r="T168" s="1127" t="b">
        <f t="shared" si="117"/>
        <v>0</v>
      </c>
      <c r="U168" s="1127" t="e">
        <f t="shared" si="107"/>
        <v>#N/A</v>
      </c>
      <c r="V168" s="1127" t="e">
        <f t="shared" si="118"/>
        <v>#N/A</v>
      </c>
      <c r="W168" s="1127" t="e">
        <f>IF(F168="Offiho",J168,IF(_xlfn.XLOOKUP(F168,Proveedores!A$2:A$50,Proveedores!E$2:E$50,"")="Nacional",(J168/0.5)+(V168*H168),((J168/0.3/0.5)+(V168*H168))))</f>
        <v>#N/A</v>
      </c>
      <c r="X168" s="1127" t="e">
        <f t="shared" si="108"/>
        <v>#N/A</v>
      </c>
      <c r="Y168" s="1126" t="b">
        <f t="shared" si="109"/>
        <v>0</v>
      </c>
      <c r="Z168" s="43">
        <v>0</v>
      </c>
      <c r="AA168" s="1219" t="e">
        <f t="shared" si="119"/>
        <v>#N/A</v>
      </c>
      <c r="AB168" s="1219" t="e">
        <f t="shared" si="120"/>
        <v>#N/A</v>
      </c>
      <c r="AC168" s="1219" t="e">
        <f t="shared" si="110"/>
        <v>#N/A</v>
      </c>
      <c r="AD168" s="1126" t="e">
        <f t="shared" si="121"/>
        <v>#N/A</v>
      </c>
      <c r="AE168" s="1217" t="e">
        <f t="shared" si="111"/>
        <v>#N/A</v>
      </c>
      <c r="AF168" s="1220" t="e">
        <f t="shared" si="112"/>
        <v>#N/A</v>
      </c>
      <c r="AG168" s="1176" t="e">
        <f t="shared" si="113"/>
        <v>#N/A</v>
      </c>
      <c r="AH168" s="1221" t="e">
        <f t="shared" si="122"/>
        <v>#N/A</v>
      </c>
    </row>
    <row r="169" spans="1:34" ht="15.5">
      <c r="A169" s="1216" t="b">
        <f t="shared" si="101"/>
        <v>1</v>
      </c>
      <c r="B169" s="1217" t="b">
        <f t="shared" si="114"/>
        <v>1</v>
      </c>
      <c r="C169" s="1218" t="str">
        <f t="shared" si="115"/>
        <v>Dólares</v>
      </c>
      <c r="D169" s="46"/>
      <c r="E169" s="836"/>
      <c r="F169" s="50"/>
      <c r="G169" s="50" t="str">
        <f t="shared" si="102"/>
        <v xml:space="preserve"> </v>
      </c>
      <c r="H169" s="45">
        <v>0</v>
      </c>
      <c r="I169" s="49" t="str">
        <f>IFERROR(VLOOKUP(G169,Proveedores!B:C,2,0)," ")</f>
        <v xml:space="preserve"> </v>
      </c>
      <c r="J169" s="838">
        <v>0</v>
      </c>
      <c r="K169" s="1124"/>
      <c r="L169" s="1266">
        <f t="shared" si="103"/>
        <v>0</v>
      </c>
      <c r="M169" s="1267">
        <f t="shared" si="104"/>
        <v>0</v>
      </c>
      <c r="N169" s="1268">
        <f t="shared" si="123"/>
        <v>0</v>
      </c>
      <c r="O169" s="836" t="str">
        <f>IFERROR(VLOOKUP(G169,Proveedores!B:D,3,0)," ")</f>
        <v xml:space="preserve"> </v>
      </c>
      <c r="P169" s="836"/>
      <c r="Q169" s="1127" t="e">
        <f t="shared" si="105"/>
        <v>#N/A</v>
      </c>
      <c r="R169" s="1127" t="b">
        <f t="shared" si="116"/>
        <v>0</v>
      </c>
      <c r="S169" s="1127" t="e">
        <f t="shared" si="106"/>
        <v>#N/A</v>
      </c>
      <c r="T169" s="1127" t="b">
        <f t="shared" si="117"/>
        <v>0</v>
      </c>
      <c r="U169" s="1127" t="e">
        <f t="shared" si="107"/>
        <v>#N/A</v>
      </c>
      <c r="V169" s="1127" t="e">
        <f t="shared" si="118"/>
        <v>#N/A</v>
      </c>
      <c r="W169" s="1127" t="e">
        <f>IF(F169="Offiho",J169,IF(_xlfn.XLOOKUP(F169,Proveedores!A$2:A$50,Proveedores!E$2:E$50,"")="Nacional",(J169/0.5)+(V169*H169),((J169/0.3/0.5)+(V169*H169))))</f>
        <v>#N/A</v>
      </c>
      <c r="X169" s="1127" t="e">
        <f t="shared" si="108"/>
        <v>#N/A</v>
      </c>
      <c r="Y169" s="1126" t="b">
        <f t="shared" si="109"/>
        <v>0</v>
      </c>
      <c r="Z169" s="43">
        <v>0</v>
      </c>
      <c r="AA169" s="1219" t="e">
        <f t="shared" si="119"/>
        <v>#N/A</v>
      </c>
      <c r="AB169" s="1219" t="e">
        <f t="shared" si="120"/>
        <v>#N/A</v>
      </c>
      <c r="AC169" s="1219" t="e">
        <f t="shared" si="110"/>
        <v>#N/A</v>
      </c>
      <c r="AD169" s="1126" t="e">
        <f t="shared" si="121"/>
        <v>#N/A</v>
      </c>
      <c r="AE169" s="1217" t="e">
        <f t="shared" si="111"/>
        <v>#N/A</v>
      </c>
      <c r="AF169" s="1220" t="e">
        <f t="shared" si="112"/>
        <v>#N/A</v>
      </c>
      <c r="AG169" s="1176" t="e">
        <f t="shared" si="113"/>
        <v>#N/A</v>
      </c>
      <c r="AH169" s="1221" t="e">
        <f t="shared" si="122"/>
        <v>#N/A</v>
      </c>
    </row>
    <row r="170" spans="1:34" ht="15.5">
      <c r="A170" s="1216" t="b">
        <f t="shared" si="101"/>
        <v>1</v>
      </c>
      <c r="B170" s="1217" t="b">
        <f t="shared" si="114"/>
        <v>1</v>
      </c>
      <c r="C170" s="1218" t="str">
        <f t="shared" si="115"/>
        <v>Dólares</v>
      </c>
      <c r="D170" s="46"/>
      <c r="E170" s="836"/>
      <c r="F170" s="50"/>
      <c r="G170" s="50" t="str">
        <f t="shared" si="102"/>
        <v xml:space="preserve"> </v>
      </c>
      <c r="H170" s="45">
        <v>0</v>
      </c>
      <c r="I170" s="49" t="str">
        <f>IFERROR(VLOOKUP(G170,Proveedores!B:C,2,0)," ")</f>
        <v xml:space="preserve"> </v>
      </c>
      <c r="J170" s="838">
        <v>0</v>
      </c>
      <c r="K170" s="1124"/>
      <c r="L170" s="1266">
        <f t="shared" si="103"/>
        <v>0</v>
      </c>
      <c r="M170" s="1267">
        <f t="shared" si="104"/>
        <v>0</v>
      </c>
      <c r="N170" s="1268">
        <f t="shared" si="123"/>
        <v>0</v>
      </c>
      <c r="O170" s="836" t="str">
        <f>IFERROR(VLOOKUP(G170,Proveedores!B:D,3,0)," ")</f>
        <v xml:space="preserve"> </v>
      </c>
      <c r="P170" s="836"/>
      <c r="Q170" s="1127" t="e">
        <f t="shared" si="105"/>
        <v>#N/A</v>
      </c>
      <c r="R170" s="1127" t="b">
        <f t="shared" si="116"/>
        <v>0</v>
      </c>
      <c r="S170" s="1127" t="e">
        <f t="shared" si="106"/>
        <v>#N/A</v>
      </c>
      <c r="T170" s="1127" t="b">
        <f t="shared" si="117"/>
        <v>0</v>
      </c>
      <c r="U170" s="1127" t="e">
        <f t="shared" si="107"/>
        <v>#N/A</v>
      </c>
      <c r="V170" s="1127" t="e">
        <f t="shared" si="118"/>
        <v>#N/A</v>
      </c>
      <c r="W170" s="1127" t="e">
        <f>IF(F170="Offiho",J170,IF(_xlfn.XLOOKUP(F170,Proveedores!A$2:A$50,Proveedores!E$2:E$50,"")="Nacional",(J170/0.5)+(V170*H170),((J170/0.3/0.5)+(V170*H170))))</f>
        <v>#N/A</v>
      </c>
      <c r="X170" s="1127" t="e">
        <f t="shared" si="108"/>
        <v>#N/A</v>
      </c>
      <c r="Y170" s="1126" t="b">
        <f t="shared" si="109"/>
        <v>0</v>
      </c>
      <c r="Z170" s="43">
        <v>0</v>
      </c>
      <c r="AA170" s="1219" t="e">
        <f t="shared" si="119"/>
        <v>#N/A</v>
      </c>
      <c r="AB170" s="1219" t="e">
        <f t="shared" si="120"/>
        <v>#N/A</v>
      </c>
      <c r="AC170" s="1219" t="e">
        <f t="shared" si="110"/>
        <v>#N/A</v>
      </c>
      <c r="AD170" s="1126" t="e">
        <f t="shared" si="121"/>
        <v>#N/A</v>
      </c>
      <c r="AE170" s="1217" t="e">
        <f t="shared" si="111"/>
        <v>#N/A</v>
      </c>
      <c r="AF170" s="1220" t="e">
        <f t="shared" si="112"/>
        <v>#N/A</v>
      </c>
      <c r="AG170" s="1176" t="e">
        <f t="shared" si="113"/>
        <v>#N/A</v>
      </c>
      <c r="AH170" s="1221" t="e">
        <f t="shared" si="122"/>
        <v>#N/A</v>
      </c>
    </row>
    <row r="171" spans="1:34" ht="15.5">
      <c r="A171" s="1216" t="b">
        <f t="shared" si="101"/>
        <v>1</v>
      </c>
      <c r="B171" s="1217" t="b">
        <f t="shared" si="114"/>
        <v>1</v>
      </c>
      <c r="C171" s="1218" t="str">
        <f t="shared" si="115"/>
        <v>Dólares</v>
      </c>
      <c r="D171" s="47"/>
      <c r="E171" s="836"/>
      <c r="F171" s="50"/>
      <c r="G171" s="50" t="str">
        <f t="shared" si="102"/>
        <v xml:space="preserve"> </v>
      </c>
      <c r="H171" s="45">
        <v>0</v>
      </c>
      <c r="I171" s="49" t="str">
        <f>IFERROR(VLOOKUP(G171,Proveedores!B:C,2,0)," ")</f>
        <v xml:space="preserve"> </v>
      </c>
      <c r="J171" s="838">
        <v>0</v>
      </c>
      <c r="K171" s="1124"/>
      <c r="L171" s="1266">
        <f t="shared" si="103"/>
        <v>0</v>
      </c>
      <c r="M171" s="1267">
        <f t="shared" si="104"/>
        <v>0</v>
      </c>
      <c r="N171" s="1268">
        <f t="shared" si="123"/>
        <v>0</v>
      </c>
      <c r="O171" s="836" t="str">
        <f>IFERROR(VLOOKUP(G171,Proveedores!B:D,3,0)," ")</f>
        <v xml:space="preserve"> </v>
      </c>
      <c r="P171" s="836"/>
      <c r="Q171" s="1127" t="e">
        <f t="shared" si="105"/>
        <v>#N/A</v>
      </c>
      <c r="R171" s="1127" t="b">
        <f t="shared" si="116"/>
        <v>0</v>
      </c>
      <c r="S171" s="1127" t="e">
        <f t="shared" si="106"/>
        <v>#N/A</v>
      </c>
      <c r="T171" s="1127" t="b">
        <f t="shared" si="117"/>
        <v>0</v>
      </c>
      <c r="U171" s="1127" t="e">
        <f t="shared" si="107"/>
        <v>#N/A</v>
      </c>
      <c r="V171" s="1127" t="e">
        <f t="shared" si="118"/>
        <v>#N/A</v>
      </c>
      <c r="W171" s="1127" t="e">
        <f>IF(F171="Offiho",J171,IF(_xlfn.XLOOKUP(F171,Proveedores!A$2:A$50,Proveedores!E$2:E$50,"")="Nacional",(J171/0.5)+(V171*H171),((J171/0.3/0.5)+(V171*H171))))</f>
        <v>#N/A</v>
      </c>
      <c r="X171" s="1127" t="e">
        <f t="shared" si="108"/>
        <v>#N/A</v>
      </c>
      <c r="Y171" s="1126" t="b">
        <f t="shared" si="109"/>
        <v>0</v>
      </c>
      <c r="Z171" s="43">
        <v>0</v>
      </c>
      <c r="AA171" s="1219" t="e">
        <f t="shared" si="119"/>
        <v>#N/A</v>
      </c>
      <c r="AB171" s="1219" t="e">
        <f t="shared" si="120"/>
        <v>#N/A</v>
      </c>
      <c r="AC171" s="1219" t="e">
        <f t="shared" si="110"/>
        <v>#N/A</v>
      </c>
      <c r="AD171" s="1126" t="e">
        <f t="shared" si="121"/>
        <v>#N/A</v>
      </c>
      <c r="AE171" s="1217" t="e">
        <f t="shared" si="111"/>
        <v>#N/A</v>
      </c>
      <c r="AF171" s="1220" t="e">
        <f t="shared" si="112"/>
        <v>#N/A</v>
      </c>
      <c r="AG171" s="1176" t="e">
        <f t="shared" si="113"/>
        <v>#N/A</v>
      </c>
      <c r="AH171" s="1221" t="e">
        <f t="shared" si="122"/>
        <v>#N/A</v>
      </c>
    </row>
    <row r="172" spans="1:34" ht="15.5">
      <c r="A172" s="1216" t="b">
        <f t="shared" si="101"/>
        <v>1</v>
      </c>
      <c r="B172" s="1217" t="b">
        <f t="shared" si="114"/>
        <v>1</v>
      </c>
      <c r="C172" s="1218" t="str">
        <f t="shared" si="115"/>
        <v>Dólares</v>
      </c>
      <c r="D172" s="48"/>
      <c r="E172" s="836"/>
      <c r="F172" s="50"/>
      <c r="G172" s="50" t="str">
        <f t="shared" si="102"/>
        <v xml:space="preserve"> </v>
      </c>
      <c r="H172" s="45">
        <v>0</v>
      </c>
      <c r="I172" s="49" t="str">
        <f>IFERROR(VLOOKUP(G172,Proveedores!B:C,2,0)," ")</f>
        <v xml:space="preserve"> </v>
      </c>
      <c r="J172" s="838">
        <v>0</v>
      </c>
      <c r="K172" s="1124"/>
      <c r="L172" s="1266">
        <f t="shared" si="103"/>
        <v>0</v>
      </c>
      <c r="M172" s="1267">
        <f t="shared" si="104"/>
        <v>0</v>
      </c>
      <c r="N172" s="1268">
        <f t="shared" si="123"/>
        <v>0</v>
      </c>
      <c r="O172" s="836" t="str">
        <f>IFERROR(VLOOKUP(G172,Proveedores!B:D,3,0)," ")</f>
        <v xml:space="preserve"> </v>
      </c>
      <c r="P172" s="836"/>
      <c r="Q172" s="1127" t="e">
        <f t="shared" si="105"/>
        <v>#N/A</v>
      </c>
      <c r="R172" s="1127" t="b">
        <f t="shared" si="116"/>
        <v>0</v>
      </c>
      <c r="S172" s="1127" t="e">
        <f t="shared" si="106"/>
        <v>#N/A</v>
      </c>
      <c r="T172" s="1127" t="b">
        <f t="shared" si="117"/>
        <v>0</v>
      </c>
      <c r="U172" s="1127" t="e">
        <f t="shared" si="107"/>
        <v>#N/A</v>
      </c>
      <c r="V172" s="1127" t="e">
        <f t="shared" si="118"/>
        <v>#N/A</v>
      </c>
      <c r="W172" s="1127" t="e">
        <f>IF(F172="Offiho",J172,IF(_xlfn.XLOOKUP(F172,Proveedores!A$2:A$50,Proveedores!E$2:E$50,"")="Nacional",(J172/0.5)+(V172*H172),((J172/0.3/0.5)+(V172*H172))))</f>
        <v>#N/A</v>
      </c>
      <c r="X172" s="1127" t="e">
        <f t="shared" si="108"/>
        <v>#N/A</v>
      </c>
      <c r="Y172" s="1126" t="b">
        <f t="shared" si="109"/>
        <v>0</v>
      </c>
      <c r="Z172" s="43">
        <v>0</v>
      </c>
      <c r="AA172" s="1219" t="e">
        <f t="shared" si="119"/>
        <v>#N/A</v>
      </c>
      <c r="AB172" s="1219" t="e">
        <f t="shared" si="120"/>
        <v>#N/A</v>
      </c>
      <c r="AC172" s="1219" t="e">
        <f t="shared" si="110"/>
        <v>#N/A</v>
      </c>
      <c r="AD172" s="1126" t="e">
        <f t="shared" si="121"/>
        <v>#N/A</v>
      </c>
      <c r="AE172" s="1217" t="e">
        <f t="shared" si="111"/>
        <v>#N/A</v>
      </c>
      <c r="AF172" s="1220" t="e">
        <f t="shared" si="112"/>
        <v>#N/A</v>
      </c>
      <c r="AG172" s="1176" t="e">
        <f t="shared" si="113"/>
        <v>#N/A</v>
      </c>
      <c r="AH172" s="1221" t="e">
        <f t="shared" si="122"/>
        <v>#N/A</v>
      </c>
    </row>
    <row r="173" spans="1:34" ht="15.5">
      <c r="A173" s="1216" t="b">
        <f t="shared" si="101"/>
        <v>1</v>
      </c>
      <c r="B173" s="1217" t="b">
        <f t="shared" si="114"/>
        <v>1</v>
      </c>
      <c r="C173" s="1218" t="str">
        <f t="shared" si="115"/>
        <v>Dólares</v>
      </c>
      <c r="D173" s="48"/>
      <c r="E173" s="836"/>
      <c r="F173" s="50"/>
      <c r="G173" s="50" t="str">
        <f t="shared" si="102"/>
        <v xml:space="preserve"> </v>
      </c>
      <c r="H173" s="45">
        <v>0</v>
      </c>
      <c r="I173" s="49" t="str">
        <f>IFERROR(VLOOKUP(G173,Proveedores!B:C,2,0)," ")</f>
        <v xml:space="preserve"> </v>
      </c>
      <c r="J173" s="838">
        <v>0</v>
      </c>
      <c r="K173" s="1124"/>
      <c r="L173" s="1266">
        <f t="shared" si="103"/>
        <v>0</v>
      </c>
      <c r="M173" s="1267">
        <f t="shared" si="104"/>
        <v>0</v>
      </c>
      <c r="N173" s="1268">
        <f t="shared" si="123"/>
        <v>0</v>
      </c>
      <c r="O173" s="836" t="str">
        <f>IFERROR(VLOOKUP(G173,Proveedores!B:D,3,0)," ")</f>
        <v xml:space="preserve"> </v>
      </c>
      <c r="P173" s="836"/>
      <c r="Q173" s="1127" t="e">
        <f t="shared" si="105"/>
        <v>#N/A</v>
      </c>
      <c r="R173" s="1127" t="b">
        <f t="shared" si="116"/>
        <v>0</v>
      </c>
      <c r="S173" s="1127" t="e">
        <f t="shared" si="106"/>
        <v>#N/A</v>
      </c>
      <c r="T173" s="1127" t="b">
        <f t="shared" si="117"/>
        <v>0</v>
      </c>
      <c r="U173" s="1127" t="e">
        <f t="shared" si="107"/>
        <v>#N/A</v>
      </c>
      <c r="V173" s="1127" t="e">
        <f t="shared" si="118"/>
        <v>#N/A</v>
      </c>
      <c r="W173" s="1127" t="e">
        <f>IF(F173="Offiho",J173,IF(_xlfn.XLOOKUP(F173,Proveedores!A$2:A$50,Proveedores!E$2:E$50,"")="Nacional",(J173/0.5)+(V173*H173),((J173/0.3/0.5)+(V173*H173))))</f>
        <v>#N/A</v>
      </c>
      <c r="X173" s="1127" t="e">
        <f t="shared" si="108"/>
        <v>#N/A</v>
      </c>
      <c r="Y173" s="1126" t="b">
        <f t="shared" si="109"/>
        <v>0</v>
      </c>
      <c r="Z173" s="43">
        <v>0</v>
      </c>
      <c r="AA173" s="1219" t="e">
        <f t="shared" si="119"/>
        <v>#N/A</v>
      </c>
      <c r="AB173" s="1219" t="e">
        <f t="shared" si="120"/>
        <v>#N/A</v>
      </c>
      <c r="AC173" s="1219" t="e">
        <f t="shared" si="110"/>
        <v>#N/A</v>
      </c>
      <c r="AD173" s="1126" t="e">
        <f t="shared" si="121"/>
        <v>#N/A</v>
      </c>
      <c r="AE173" s="1217" t="e">
        <f t="shared" si="111"/>
        <v>#N/A</v>
      </c>
      <c r="AF173" s="1220" t="e">
        <f t="shared" si="112"/>
        <v>#N/A</v>
      </c>
      <c r="AG173" s="1176" t="e">
        <f t="shared" si="113"/>
        <v>#N/A</v>
      </c>
      <c r="AH173" s="1221" t="e">
        <f t="shared" si="122"/>
        <v>#N/A</v>
      </c>
    </row>
    <row r="174" spans="1:34" ht="15.5">
      <c r="A174" s="1216" t="b">
        <f t="shared" si="101"/>
        <v>1</v>
      </c>
      <c r="B174" s="1217" t="b">
        <f t="shared" si="114"/>
        <v>1</v>
      </c>
      <c r="C174" s="1218" t="str">
        <f t="shared" si="115"/>
        <v>Dólares</v>
      </c>
      <c r="D174" s="48"/>
      <c r="E174" s="836"/>
      <c r="F174" s="50"/>
      <c r="G174" s="50" t="str">
        <f t="shared" si="102"/>
        <v xml:space="preserve"> </v>
      </c>
      <c r="H174" s="45">
        <v>0</v>
      </c>
      <c r="I174" s="49" t="str">
        <f>IFERROR(VLOOKUP(G174,Proveedores!B:C,2,0)," ")</f>
        <v xml:space="preserve"> </v>
      </c>
      <c r="J174" s="838">
        <v>0</v>
      </c>
      <c r="K174" s="1124"/>
      <c r="L174" s="1266">
        <f t="shared" si="103"/>
        <v>0</v>
      </c>
      <c r="M174" s="1267">
        <f t="shared" si="104"/>
        <v>0</v>
      </c>
      <c r="N174" s="1268">
        <f t="shared" si="123"/>
        <v>0</v>
      </c>
      <c r="O174" s="836" t="str">
        <f>IFERROR(VLOOKUP(G174,Proveedores!B:D,3,0)," ")</f>
        <v xml:space="preserve"> </v>
      </c>
      <c r="P174" s="836"/>
      <c r="Q174" s="1127" t="e">
        <f t="shared" si="105"/>
        <v>#N/A</v>
      </c>
      <c r="R174" s="1127" t="b">
        <f t="shared" si="116"/>
        <v>0</v>
      </c>
      <c r="S174" s="1127" t="e">
        <f t="shared" si="106"/>
        <v>#N/A</v>
      </c>
      <c r="T174" s="1127" t="b">
        <f t="shared" si="117"/>
        <v>0</v>
      </c>
      <c r="U174" s="1127" t="e">
        <f t="shared" si="107"/>
        <v>#N/A</v>
      </c>
      <c r="V174" s="1127" t="e">
        <f t="shared" si="118"/>
        <v>#N/A</v>
      </c>
      <c r="W174" s="1127" t="e">
        <f>IF(F174="Offiho",J174,IF(_xlfn.XLOOKUP(F174,Proveedores!A$2:A$50,Proveedores!E$2:E$50,"")="Nacional",(J174/0.5)+(V174*H174),((J174/0.3/0.5)+(V174*H174))))</f>
        <v>#N/A</v>
      </c>
      <c r="X174" s="1127" t="e">
        <f t="shared" si="108"/>
        <v>#N/A</v>
      </c>
      <c r="Y174" s="1126" t="b">
        <f t="shared" si="109"/>
        <v>0</v>
      </c>
      <c r="Z174" s="43">
        <v>0</v>
      </c>
      <c r="AA174" s="1219" t="e">
        <f t="shared" si="119"/>
        <v>#N/A</v>
      </c>
      <c r="AB174" s="1219" t="e">
        <f t="shared" si="120"/>
        <v>#N/A</v>
      </c>
      <c r="AC174" s="1219" t="e">
        <f t="shared" si="110"/>
        <v>#N/A</v>
      </c>
      <c r="AD174" s="1126" t="e">
        <f t="shared" si="121"/>
        <v>#N/A</v>
      </c>
      <c r="AE174" s="1217" t="e">
        <f t="shared" si="111"/>
        <v>#N/A</v>
      </c>
      <c r="AF174" s="1220" t="e">
        <f t="shared" si="112"/>
        <v>#N/A</v>
      </c>
      <c r="AG174" s="1176" t="e">
        <f t="shared" si="113"/>
        <v>#N/A</v>
      </c>
      <c r="AH174" s="1221" t="e">
        <f t="shared" si="122"/>
        <v>#N/A</v>
      </c>
    </row>
    <row r="175" spans="1:34" ht="15.5">
      <c r="A175" s="1216" t="b">
        <f t="shared" si="101"/>
        <v>1</v>
      </c>
      <c r="B175" s="1217" t="b">
        <f t="shared" si="114"/>
        <v>1</v>
      </c>
      <c r="C175" s="1218" t="str">
        <f t="shared" si="115"/>
        <v>Dólares</v>
      </c>
      <c r="D175" s="48"/>
      <c r="E175" s="836"/>
      <c r="F175" s="50"/>
      <c r="G175" s="50" t="str">
        <f t="shared" si="102"/>
        <v xml:space="preserve"> </v>
      </c>
      <c r="H175" s="45">
        <v>0</v>
      </c>
      <c r="I175" s="49" t="str">
        <f>IFERROR(VLOOKUP(G175,Proveedores!B:C,2,0)," ")</f>
        <v xml:space="preserve"> </v>
      </c>
      <c r="J175" s="838">
        <v>0</v>
      </c>
      <c r="K175" s="1124"/>
      <c r="L175" s="1266">
        <f t="shared" si="103"/>
        <v>0</v>
      </c>
      <c r="M175" s="1267">
        <f t="shared" si="104"/>
        <v>0</v>
      </c>
      <c r="N175" s="1268">
        <f t="shared" si="123"/>
        <v>0</v>
      </c>
      <c r="O175" s="836" t="str">
        <f>IFERROR(VLOOKUP(G175,Proveedores!B:D,3,0)," ")</f>
        <v xml:space="preserve"> </v>
      </c>
      <c r="P175" s="836"/>
      <c r="Q175" s="1127" t="e">
        <f t="shared" si="105"/>
        <v>#N/A</v>
      </c>
      <c r="R175" s="1127" t="b">
        <f t="shared" si="116"/>
        <v>0</v>
      </c>
      <c r="S175" s="1127" t="e">
        <f t="shared" si="106"/>
        <v>#N/A</v>
      </c>
      <c r="T175" s="1127" t="b">
        <f t="shared" si="117"/>
        <v>0</v>
      </c>
      <c r="U175" s="1127" t="e">
        <f t="shared" si="107"/>
        <v>#N/A</v>
      </c>
      <c r="V175" s="1127" t="e">
        <f t="shared" si="118"/>
        <v>#N/A</v>
      </c>
      <c r="W175" s="1127" t="e">
        <f>IF(F175="Offiho",J175,IF(_xlfn.XLOOKUP(F175,Proveedores!A$2:A$50,Proveedores!E$2:E$50,"")="Nacional",(J175/0.5)+(V175*H175),((J175/0.3/0.5)+(V175*H175))))</f>
        <v>#N/A</v>
      </c>
      <c r="X175" s="1127" t="e">
        <f t="shared" si="108"/>
        <v>#N/A</v>
      </c>
      <c r="Y175" s="1126" t="b">
        <f t="shared" si="109"/>
        <v>0</v>
      </c>
      <c r="Z175" s="43">
        <v>0</v>
      </c>
      <c r="AA175" s="1219" t="e">
        <f t="shared" si="119"/>
        <v>#N/A</v>
      </c>
      <c r="AB175" s="1219" t="e">
        <f t="shared" si="120"/>
        <v>#N/A</v>
      </c>
      <c r="AC175" s="1219" t="e">
        <f t="shared" si="110"/>
        <v>#N/A</v>
      </c>
      <c r="AD175" s="1126" t="e">
        <f t="shared" si="121"/>
        <v>#N/A</v>
      </c>
      <c r="AE175" s="1217" t="e">
        <f t="shared" si="111"/>
        <v>#N/A</v>
      </c>
      <c r="AF175" s="1220" t="e">
        <f t="shared" si="112"/>
        <v>#N/A</v>
      </c>
      <c r="AG175" s="1176" t="e">
        <f t="shared" si="113"/>
        <v>#N/A</v>
      </c>
      <c r="AH175" s="1221" t="e">
        <f t="shared" si="122"/>
        <v>#N/A</v>
      </c>
    </row>
    <row r="176" spans="1:34" ht="15.5">
      <c r="A176" s="1216" t="b">
        <f t="shared" si="101"/>
        <v>1</v>
      </c>
      <c r="B176" s="1217" t="b">
        <f t="shared" si="114"/>
        <v>1</v>
      </c>
      <c r="C176" s="1218" t="str">
        <f t="shared" si="115"/>
        <v>Dólares</v>
      </c>
      <c r="D176" s="47"/>
      <c r="E176" s="836"/>
      <c r="F176" s="50"/>
      <c r="G176" s="50" t="str">
        <f t="shared" si="102"/>
        <v xml:space="preserve"> </v>
      </c>
      <c r="H176" s="45">
        <v>0</v>
      </c>
      <c r="I176" s="49" t="str">
        <f>IFERROR(VLOOKUP(G176,Proveedores!B:C,2,0)," ")</f>
        <v xml:space="preserve"> </v>
      </c>
      <c r="J176" s="838">
        <v>0</v>
      </c>
      <c r="K176" s="1124"/>
      <c r="L176" s="1266">
        <f t="shared" si="103"/>
        <v>0</v>
      </c>
      <c r="M176" s="1267">
        <f t="shared" si="104"/>
        <v>0</v>
      </c>
      <c r="N176" s="1268">
        <f t="shared" si="123"/>
        <v>0</v>
      </c>
      <c r="O176" s="836" t="str">
        <f>IFERROR(VLOOKUP(G176,Proveedores!B:D,3,0)," ")</f>
        <v xml:space="preserve"> </v>
      </c>
      <c r="P176" s="836"/>
      <c r="Q176" s="1127" t="e">
        <f t="shared" si="105"/>
        <v>#N/A</v>
      </c>
      <c r="R176" s="1127" t="b">
        <f t="shared" si="116"/>
        <v>0</v>
      </c>
      <c r="S176" s="1127" t="e">
        <f t="shared" si="106"/>
        <v>#N/A</v>
      </c>
      <c r="T176" s="1127" t="b">
        <f t="shared" si="117"/>
        <v>0</v>
      </c>
      <c r="U176" s="1127" t="e">
        <f t="shared" si="107"/>
        <v>#N/A</v>
      </c>
      <c r="V176" s="1127" t="e">
        <f t="shared" si="118"/>
        <v>#N/A</v>
      </c>
      <c r="W176" s="1127" t="e">
        <f>IF(F176="Offiho",J176,IF(_xlfn.XLOOKUP(F176,Proveedores!A$2:A$50,Proveedores!E$2:E$50,"")="Nacional",(J176/0.5)+(V176*H176),((J176/0.3/0.5)+(V176*H176))))</f>
        <v>#N/A</v>
      </c>
      <c r="X176" s="1127" t="e">
        <f t="shared" si="108"/>
        <v>#N/A</v>
      </c>
      <c r="Y176" s="1126" t="b">
        <f t="shared" si="109"/>
        <v>0</v>
      </c>
      <c r="Z176" s="43">
        <v>0</v>
      </c>
      <c r="AA176" s="1219" t="e">
        <f t="shared" si="119"/>
        <v>#N/A</v>
      </c>
      <c r="AB176" s="1219" t="e">
        <f t="shared" si="120"/>
        <v>#N/A</v>
      </c>
      <c r="AC176" s="1219" t="e">
        <f t="shared" si="110"/>
        <v>#N/A</v>
      </c>
      <c r="AD176" s="1126" t="e">
        <f t="shared" si="121"/>
        <v>#N/A</v>
      </c>
      <c r="AE176" s="1217" t="e">
        <f t="shared" si="111"/>
        <v>#N/A</v>
      </c>
      <c r="AF176" s="1220" t="e">
        <f t="shared" si="112"/>
        <v>#N/A</v>
      </c>
      <c r="AG176" s="1176" t="e">
        <f t="shared" si="113"/>
        <v>#N/A</v>
      </c>
      <c r="AH176" s="1221" t="e">
        <f t="shared" si="122"/>
        <v>#N/A</v>
      </c>
    </row>
    <row r="177" spans="1:34" ht="15.5">
      <c r="A177" s="1216" t="b">
        <f t="shared" si="101"/>
        <v>1</v>
      </c>
      <c r="B177" s="1217" t="b">
        <f t="shared" si="114"/>
        <v>1</v>
      </c>
      <c r="C177" s="1218" t="str">
        <f t="shared" si="115"/>
        <v>Dólares</v>
      </c>
      <c r="D177" s="47"/>
      <c r="E177" s="836"/>
      <c r="F177" s="50"/>
      <c r="G177" s="50" t="str">
        <f t="shared" si="102"/>
        <v xml:space="preserve"> </v>
      </c>
      <c r="H177" s="45">
        <v>0</v>
      </c>
      <c r="I177" s="49" t="str">
        <f>IFERROR(VLOOKUP(G177,Proveedores!B:C,2,0)," ")</f>
        <v xml:space="preserve"> </v>
      </c>
      <c r="J177" s="838">
        <v>0</v>
      </c>
      <c r="K177" s="1124"/>
      <c r="L177" s="1266">
        <f t="shared" si="103"/>
        <v>0</v>
      </c>
      <c r="M177" s="1267">
        <f t="shared" si="104"/>
        <v>0</v>
      </c>
      <c r="N177" s="1268">
        <f t="shared" si="123"/>
        <v>0</v>
      </c>
      <c r="O177" s="836" t="str">
        <f>IFERROR(VLOOKUP(G177,Proveedores!B:D,3,0)," ")</f>
        <v xml:space="preserve"> </v>
      </c>
      <c r="P177" s="836"/>
      <c r="Q177" s="1127" t="e">
        <f t="shared" si="105"/>
        <v>#N/A</v>
      </c>
      <c r="R177" s="1127" t="b">
        <f t="shared" si="116"/>
        <v>0</v>
      </c>
      <c r="S177" s="1127" t="e">
        <f t="shared" si="106"/>
        <v>#N/A</v>
      </c>
      <c r="T177" s="1127" t="b">
        <f t="shared" si="117"/>
        <v>0</v>
      </c>
      <c r="U177" s="1127" t="e">
        <f t="shared" si="107"/>
        <v>#N/A</v>
      </c>
      <c r="V177" s="1127" t="e">
        <f t="shared" si="118"/>
        <v>#N/A</v>
      </c>
      <c r="W177" s="1127" t="e">
        <f>IF(F177="Offiho",J177,IF(_xlfn.XLOOKUP(F177,Proveedores!A$2:A$50,Proveedores!E$2:E$50,"")="Nacional",(J177/0.5)+(V177*H177),((J177/0.3/0.5)+(V177*H177))))</f>
        <v>#N/A</v>
      </c>
      <c r="X177" s="1127" t="e">
        <f t="shared" si="108"/>
        <v>#N/A</v>
      </c>
      <c r="Y177" s="1126" t="b">
        <f t="shared" si="109"/>
        <v>0</v>
      </c>
      <c r="Z177" s="43">
        <v>0</v>
      </c>
      <c r="AA177" s="1219" t="e">
        <f t="shared" si="119"/>
        <v>#N/A</v>
      </c>
      <c r="AB177" s="1219" t="e">
        <f t="shared" si="120"/>
        <v>#N/A</v>
      </c>
      <c r="AC177" s="1219" t="e">
        <f t="shared" si="110"/>
        <v>#N/A</v>
      </c>
      <c r="AD177" s="1126" t="e">
        <f t="shared" si="121"/>
        <v>#N/A</v>
      </c>
      <c r="AE177" s="1217" t="e">
        <f t="shared" si="111"/>
        <v>#N/A</v>
      </c>
      <c r="AF177" s="1220" t="e">
        <f t="shared" si="112"/>
        <v>#N/A</v>
      </c>
      <c r="AG177" s="1176" t="e">
        <f t="shared" si="113"/>
        <v>#N/A</v>
      </c>
      <c r="AH177" s="1221" t="e">
        <f t="shared" si="122"/>
        <v>#N/A</v>
      </c>
    </row>
    <row r="178" spans="1:34" ht="15.5">
      <c r="A178" s="1216" t="b">
        <f t="shared" si="101"/>
        <v>1</v>
      </c>
      <c r="B178" s="1217" t="b">
        <f t="shared" si="114"/>
        <v>1</v>
      </c>
      <c r="C178" s="1218" t="str">
        <f t="shared" si="115"/>
        <v>Dólares</v>
      </c>
      <c r="D178" s="47"/>
      <c r="E178" s="836"/>
      <c r="F178" s="50"/>
      <c r="G178" s="50" t="str">
        <f t="shared" si="102"/>
        <v xml:space="preserve"> </v>
      </c>
      <c r="H178" s="45">
        <v>0</v>
      </c>
      <c r="I178" s="49" t="str">
        <f>IFERROR(VLOOKUP(G178,Proveedores!B:C,2,0)," ")</f>
        <v xml:space="preserve"> </v>
      </c>
      <c r="J178" s="838">
        <v>0</v>
      </c>
      <c r="K178" s="1124"/>
      <c r="L178" s="1266">
        <f t="shared" si="103"/>
        <v>0</v>
      </c>
      <c r="M178" s="1267">
        <f t="shared" si="104"/>
        <v>0</v>
      </c>
      <c r="N178" s="1268">
        <f t="shared" si="123"/>
        <v>0</v>
      </c>
      <c r="O178" s="836" t="str">
        <f>IFERROR(VLOOKUP(G178,Proveedores!B:D,3,0)," ")</f>
        <v xml:space="preserve"> </v>
      </c>
      <c r="P178" s="836"/>
      <c r="Q178" s="1127" t="e">
        <f t="shared" si="105"/>
        <v>#N/A</v>
      </c>
      <c r="R178" s="1127" t="b">
        <f t="shared" si="116"/>
        <v>0</v>
      </c>
      <c r="S178" s="1127" t="e">
        <f t="shared" si="106"/>
        <v>#N/A</v>
      </c>
      <c r="T178" s="1127" t="b">
        <f t="shared" si="117"/>
        <v>0</v>
      </c>
      <c r="U178" s="1127" t="e">
        <f t="shared" si="107"/>
        <v>#N/A</v>
      </c>
      <c r="V178" s="1127" t="e">
        <f t="shared" si="118"/>
        <v>#N/A</v>
      </c>
      <c r="W178" s="1127" t="e">
        <f>IF(F178="Offiho",J178,IF(_xlfn.XLOOKUP(F178,Proveedores!A$2:A$50,Proveedores!E$2:E$50,"")="Nacional",(J178/0.5)+(V178*H178),((J178/0.3/0.5)+(V178*H178))))</f>
        <v>#N/A</v>
      </c>
      <c r="X178" s="1127" t="e">
        <f t="shared" si="108"/>
        <v>#N/A</v>
      </c>
      <c r="Y178" s="1126" t="b">
        <f t="shared" si="109"/>
        <v>0</v>
      </c>
      <c r="Z178" s="43">
        <v>0</v>
      </c>
      <c r="AA178" s="1219" t="e">
        <f t="shared" si="119"/>
        <v>#N/A</v>
      </c>
      <c r="AB178" s="1219" t="e">
        <f t="shared" si="120"/>
        <v>#N/A</v>
      </c>
      <c r="AC178" s="1219" t="e">
        <f t="shared" si="110"/>
        <v>#N/A</v>
      </c>
      <c r="AD178" s="1126" t="e">
        <f t="shared" si="121"/>
        <v>#N/A</v>
      </c>
      <c r="AE178" s="1217" t="e">
        <f t="shared" si="111"/>
        <v>#N/A</v>
      </c>
      <c r="AF178" s="1220" t="e">
        <f t="shared" si="112"/>
        <v>#N/A</v>
      </c>
      <c r="AG178" s="1176" t="e">
        <f t="shared" si="113"/>
        <v>#N/A</v>
      </c>
      <c r="AH178" s="1221" t="e">
        <f t="shared" si="122"/>
        <v>#N/A</v>
      </c>
    </row>
    <row r="179" spans="1:34" ht="15.5">
      <c r="A179" s="1216" t="b">
        <f t="shared" si="101"/>
        <v>1</v>
      </c>
      <c r="B179" s="1217" t="b">
        <f t="shared" si="114"/>
        <v>1</v>
      </c>
      <c r="C179" s="1218" t="str">
        <f t="shared" si="115"/>
        <v>Dólares</v>
      </c>
      <c r="D179" s="48"/>
      <c r="E179" s="836"/>
      <c r="F179" s="50"/>
      <c r="G179" s="50" t="str">
        <f t="shared" si="102"/>
        <v xml:space="preserve"> </v>
      </c>
      <c r="H179" s="45">
        <v>0</v>
      </c>
      <c r="I179" s="49" t="str">
        <f>IFERROR(VLOOKUP(G179,Proveedores!B:C,2,0)," ")</f>
        <v xml:space="preserve"> </v>
      </c>
      <c r="J179" s="838">
        <v>0</v>
      </c>
      <c r="K179" s="1124"/>
      <c r="L179" s="1266">
        <f t="shared" si="103"/>
        <v>0</v>
      </c>
      <c r="M179" s="1267">
        <f t="shared" si="104"/>
        <v>0</v>
      </c>
      <c r="N179" s="1268">
        <f t="shared" si="123"/>
        <v>0</v>
      </c>
      <c r="O179" s="836" t="str">
        <f>IFERROR(VLOOKUP(G179,Proveedores!B:D,3,0)," ")</f>
        <v xml:space="preserve"> </v>
      </c>
      <c r="P179" s="836"/>
      <c r="Q179" s="1127" t="e">
        <f t="shared" si="105"/>
        <v>#N/A</v>
      </c>
      <c r="R179" s="1127" t="b">
        <f t="shared" si="116"/>
        <v>0</v>
      </c>
      <c r="S179" s="1127" t="e">
        <f t="shared" si="106"/>
        <v>#N/A</v>
      </c>
      <c r="T179" s="1127" t="b">
        <f t="shared" si="117"/>
        <v>0</v>
      </c>
      <c r="U179" s="1127" t="e">
        <f t="shared" si="107"/>
        <v>#N/A</v>
      </c>
      <c r="V179" s="1127" t="e">
        <f t="shared" si="118"/>
        <v>#N/A</v>
      </c>
      <c r="W179" s="1127" t="e">
        <f>IF(F179="Offiho",J179,IF(_xlfn.XLOOKUP(F179,Proveedores!A$2:A$50,Proveedores!E$2:E$50,"")="Nacional",(J179/0.5)+(V179*H179),((J179/0.3/0.5)+(V179*H179))))</f>
        <v>#N/A</v>
      </c>
      <c r="X179" s="1127" t="e">
        <f t="shared" si="108"/>
        <v>#N/A</v>
      </c>
      <c r="Y179" s="1126" t="b">
        <f t="shared" si="109"/>
        <v>0</v>
      </c>
      <c r="Z179" s="43">
        <v>0</v>
      </c>
      <c r="AA179" s="1219" t="e">
        <f t="shared" si="119"/>
        <v>#N/A</v>
      </c>
      <c r="AB179" s="1219" t="e">
        <f t="shared" si="120"/>
        <v>#N/A</v>
      </c>
      <c r="AC179" s="1219" t="e">
        <f t="shared" si="110"/>
        <v>#N/A</v>
      </c>
      <c r="AD179" s="1126" t="e">
        <f t="shared" si="121"/>
        <v>#N/A</v>
      </c>
      <c r="AE179" s="1217" t="e">
        <f t="shared" si="111"/>
        <v>#N/A</v>
      </c>
      <c r="AF179" s="1220" t="e">
        <f t="shared" si="112"/>
        <v>#N/A</v>
      </c>
      <c r="AG179" s="1176" t="e">
        <f t="shared" si="113"/>
        <v>#N/A</v>
      </c>
      <c r="AH179" s="1221" t="e">
        <f t="shared" si="122"/>
        <v>#N/A</v>
      </c>
    </row>
    <row r="180" spans="1:34" ht="15.5">
      <c r="A180" s="1216" t="b">
        <f t="shared" si="101"/>
        <v>1</v>
      </c>
      <c r="B180" s="1217" t="b">
        <f t="shared" si="114"/>
        <v>1</v>
      </c>
      <c r="C180" s="1218" t="str">
        <f t="shared" si="115"/>
        <v>Dólares</v>
      </c>
      <c r="D180" s="48"/>
      <c r="E180" s="836"/>
      <c r="F180" s="50"/>
      <c r="G180" s="50" t="str">
        <f t="shared" si="102"/>
        <v xml:space="preserve"> </v>
      </c>
      <c r="H180" s="45">
        <v>0</v>
      </c>
      <c r="I180" s="49" t="str">
        <f>IFERROR(VLOOKUP(G180,Proveedores!B:C,2,0)," ")</f>
        <v xml:space="preserve"> </v>
      </c>
      <c r="J180" s="838">
        <v>0</v>
      </c>
      <c r="K180" s="1124"/>
      <c r="L180" s="1266">
        <f t="shared" si="103"/>
        <v>0</v>
      </c>
      <c r="M180" s="1267">
        <f t="shared" si="104"/>
        <v>0</v>
      </c>
      <c r="N180" s="1268">
        <f t="shared" si="123"/>
        <v>0</v>
      </c>
      <c r="O180" s="836" t="str">
        <f>IFERROR(VLOOKUP(G180,Proveedores!B:D,3,0)," ")</f>
        <v xml:space="preserve"> </v>
      </c>
      <c r="P180" s="836"/>
      <c r="Q180" s="1127" t="e">
        <f t="shared" si="105"/>
        <v>#N/A</v>
      </c>
      <c r="R180" s="1127" t="b">
        <f t="shared" si="116"/>
        <v>0</v>
      </c>
      <c r="S180" s="1127" t="e">
        <f t="shared" si="106"/>
        <v>#N/A</v>
      </c>
      <c r="T180" s="1127" t="b">
        <f t="shared" si="117"/>
        <v>0</v>
      </c>
      <c r="U180" s="1127" t="e">
        <f t="shared" si="107"/>
        <v>#N/A</v>
      </c>
      <c r="V180" s="1127" t="e">
        <f t="shared" si="118"/>
        <v>#N/A</v>
      </c>
      <c r="W180" s="1127" t="e">
        <f>IF(F180="Offiho",J180,IF(_xlfn.XLOOKUP(F180,Proveedores!A$2:A$50,Proveedores!E$2:E$50,"")="Nacional",(J180/0.5)+(V180*H180),((J180/0.3/0.5)+(V180*H180))))</f>
        <v>#N/A</v>
      </c>
      <c r="X180" s="1127" t="e">
        <f t="shared" si="108"/>
        <v>#N/A</v>
      </c>
      <c r="Y180" s="1126" t="b">
        <f t="shared" si="109"/>
        <v>0</v>
      </c>
      <c r="Z180" s="43">
        <v>0</v>
      </c>
      <c r="AA180" s="1219" t="e">
        <f t="shared" si="119"/>
        <v>#N/A</v>
      </c>
      <c r="AB180" s="1219" t="e">
        <f t="shared" si="120"/>
        <v>#N/A</v>
      </c>
      <c r="AC180" s="1219" t="e">
        <f t="shared" si="110"/>
        <v>#N/A</v>
      </c>
      <c r="AD180" s="1126" t="e">
        <f t="shared" si="121"/>
        <v>#N/A</v>
      </c>
      <c r="AE180" s="1217" t="e">
        <f t="shared" si="111"/>
        <v>#N/A</v>
      </c>
      <c r="AF180" s="1220" t="e">
        <f t="shared" si="112"/>
        <v>#N/A</v>
      </c>
      <c r="AG180" s="1176" t="e">
        <f t="shared" si="113"/>
        <v>#N/A</v>
      </c>
      <c r="AH180" s="1221" t="e">
        <f t="shared" si="122"/>
        <v>#N/A</v>
      </c>
    </row>
    <row r="181" spans="1:34" ht="15.5">
      <c r="A181" s="1216" t="b">
        <f t="shared" si="101"/>
        <v>1</v>
      </c>
      <c r="B181" s="1217" t="b">
        <f t="shared" si="114"/>
        <v>1</v>
      </c>
      <c r="C181" s="1218" t="str">
        <f t="shared" si="115"/>
        <v>Dólares</v>
      </c>
      <c r="D181" s="47"/>
      <c r="E181" s="836"/>
      <c r="F181" s="50"/>
      <c r="G181" s="50" t="str">
        <f t="shared" si="102"/>
        <v xml:space="preserve"> </v>
      </c>
      <c r="H181" s="45">
        <v>0</v>
      </c>
      <c r="I181" s="49" t="str">
        <f>IFERROR(VLOOKUP(G181,Proveedores!B:C,2,0)," ")</f>
        <v xml:space="preserve"> </v>
      </c>
      <c r="J181" s="838">
        <v>0</v>
      </c>
      <c r="K181" s="1124"/>
      <c r="L181" s="1266">
        <f t="shared" si="103"/>
        <v>0</v>
      </c>
      <c r="M181" s="1267">
        <f t="shared" si="104"/>
        <v>0</v>
      </c>
      <c r="N181" s="1268">
        <f t="shared" si="123"/>
        <v>0</v>
      </c>
      <c r="O181" s="836" t="str">
        <f>IFERROR(VLOOKUP(G181,Proveedores!B:D,3,0)," ")</f>
        <v xml:space="preserve"> </v>
      </c>
      <c r="P181" s="836"/>
      <c r="Q181" s="1127" t="e">
        <f t="shared" si="105"/>
        <v>#N/A</v>
      </c>
      <c r="R181" s="1127" t="b">
        <f t="shared" si="116"/>
        <v>0</v>
      </c>
      <c r="S181" s="1127" t="e">
        <f t="shared" si="106"/>
        <v>#N/A</v>
      </c>
      <c r="T181" s="1127" t="b">
        <f t="shared" si="117"/>
        <v>0</v>
      </c>
      <c r="U181" s="1127" t="e">
        <f t="shared" si="107"/>
        <v>#N/A</v>
      </c>
      <c r="V181" s="1127" t="e">
        <f t="shared" si="118"/>
        <v>#N/A</v>
      </c>
      <c r="W181" s="1127" t="e">
        <f>IF(F181="Offiho",J181,IF(_xlfn.XLOOKUP(F181,Proveedores!A$2:A$50,Proveedores!E$2:E$50,"")="Nacional",(J181/0.5)+(V181*H181),((J181/0.3/0.5)+(V181*H181))))</f>
        <v>#N/A</v>
      </c>
      <c r="X181" s="1127" t="e">
        <f t="shared" si="108"/>
        <v>#N/A</v>
      </c>
      <c r="Y181" s="1126" t="b">
        <f t="shared" si="109"/>
        <v>0</v>
      </c>
      <c r="Z181" s="43">
        <v>0</v>
      </c>
      <c r="AA181" s="1219" t="e">
        <f t="shared" si="119"/>
        <v>#N/A</v>
      </c>
      <c r="AB181" s="1219" t="e">
        <f t="shared" si="120"/>
        <v>#N/A</v>
      </c>
      <c r="AC181" s="1219" t="e">
        <f t="shared" si="110"/>
        <v>#N/A</v>
      </c>
      <c r="AD181" s="1126" t="e">
        <f t="shared" si="121"/>
        <v>#N/A</v>
      </c>
      <c r="AE181" s="1217" t="e">
        <f t="shared" si="111"/>
        <v>#N/A</v>
      </c>
      <c r="AF181" s="1220" t="e">
        <f t="shared" si="112"/>
        <v>#N/A</v>
      </c>
      <c r="AG181" s="1176" t="e">
        <f t="shared" si="113"/>
        <v>#N/A</v>
      </c>
      <c r="AH181" s="1221" t="e">
        <f t="shared" si="122"/>
        <v>#N/A</v>
      </c>
    </row>
    <row r="182" spans="1:34" ht="15.5">
      <c r="A182" s="1216" t="b">
        <f t="shared" si="101"/>
        <v>1</v>
      </c>
      <c r="B182" s="1217" t="b">
        <f t="shared" si="114"/>
        <v>1</v>
      </c>
      <c r="C182" s="1218" t="str">
        <f t="shared" si="115"/>
        <v>Dólares</v>
      </c>
      <c r="D182" s="47"/>
      <c r="E182" s="836"/>
      <c r="F182" s="50"/>
      <c r="G182" s="50" t="str">
        <f t="shared" si="102"/>
        <v xml:space="preserve"> </v>
      </c>
      <c r="H182" s="45">
        <v>0</v>
      </c>
      <c r="I182" s="49" t="str">
        <f>IFERROR(VLOOKUP(G182,Proveedores!B:C,2,0)," ")</f>
        <v xml:space="preserve"> </v>
      </c>
      <c r="J182" s="838">
        <v>0</v>
      </c>
      <c r="K182" s="1124"/>
      <c r="L182" s="1266">
        <f t="shared" si="103"/>
        <v>0</v>
      </c>
      <c r="M182" s="1267">
        <f t="shared" si="104"/>
        <v>0</v>
      </c>
      <c r="N182" s="1268">
        <f t="shared" si="123"/>
        <v>0</v>
      </c>
      <c r="O182" s="836" t="str">
        <f>IFERROR(VLOOKUP(G182,Proveedores!B:D,3,0)," ")</f>
        <v xml:space="preserve"> </v>
      </c>
      <c r="P182" s="836"/>
      <c r="Q182" s="1127" t="e">
        <f t="shared" si="105"/>
        <v>#N/A</v>
      </c>
      <c r="R182" s="1127" t="b">
        <f t="shared" si="116"/>
        <v>0</v>
      </c>
      <c r="S182" s="1127" t="e">
        <f t="shared" si="106"/>
        <v>#N/A</v>
      </c>
      <c r="T182" s="1127" t="b">
        <f t="shared" si="117"/>
        <v>0</v>
      </c>
      <c r="U182" s="1127" t="e">
        <f t="shared" si="107"/>
        <v>#N/A</v>
      </c>
      <c r="V182" s="1127" t="e">
        <f t="shared" si="118"/>
        <v>#N/A</v>
      </c>
      <c r="W182" s="1127" t="e">
        <f>IF(F182="Offiho",J182,IF(_xlfn.XLOOKUP(F182,Proveedores!A$2:A$50,Proveedores!E$2:E$50,"")="Nacional",(J182/0.5)+(V182*H182),((J182/0.3/0.5)+(V182*H182))))</f>
        <v>#N/A</v>
      </c>
      <c r="X182" s="1127" t="e">
        <f t="shared" si="108"/>
        <v>#N/A</v>
      </c>
      <c r="Y182" s="1126" t="b">
        <f t="shared" si="109"/>
        <v>0</v>
      </c>
      <c r="Z182" s="43">
        <v>0</v>
      </c>
      <c r="AA182" s="1219" t="e">
        <f t="shared" si="119"/>
        <v>#N/A</v>
      </c>
      <c r="AB182" s="1219" t="e">
        <f t="shared" si="120"/>
        <v>#N/A</v>
      </c>
      <c r="AC182" s="1219" t="e">
        <f t="shared" si="110"/>
        <v>#N/A</v>
      </c>
      <c r="AD182" s="1126" t="e">
        <f t="shared" si="121"/>
        <v>#N/A</v>
      </c>
      <c r="AE182" s="1217" t="e">
        <f t="shared" si="111"/>
        <v>#N/A</v>
      </c>
      <c r="AF182" s="1220" t="e">
        <f t="shared" si="112"/>
        <v>#N/A</v>
      </c>
      <c r="AG182" s="1176" t="e">
        <f t="shared" si="113"/>
        <v>#N/A</v>
      </c>
      <c r="AH182" s="1221" t="e">
        <f t="shared" si="122"/>
        <v>#N/A</v>
      </c>
    </row>
    <row r="183" spans="1:34" ht="15.5">
      <c r="A183" s="1216" t="b">
        <f t="shared" si="101"/>
        <v>1</v>
      </c>
      <c r="B183" s="1217" t="b">
        <f t="shared" si="114"/>
        <v>1</v>
      </c>
      <c r="C183" s="1218" t="str">
        <f t="shared" si="115"/>
        <v>Dólares</v>
      </c>
      <c r="D183" s="47"/>
      <c r="E183" s="836"/>
      <c r="F183" s="50"/>
      <c r="G183" s="50" t="str">
        <f t="shared" si="102"/>
        <v xml:space="preserve"> </v>
      </c>
      <c r="H183" s="45">
        <v>0</v>
      </c>
      <c r="I183" s="49" t="str">
        <f>IFERROR(VLOOKUP(G183,Proveedores!B:C,2,0)," ")</f>
        <v xml:space="preserve"> </v>
      </c>
      <c r="J183" s="838">
        <v>0</v>
      </c>
      <c r="K183" s="1124"/>
      <c r="L183" s="1266">
        <f t="shared" si="103"/>
        <v>0</v>
      </c>
      <c r="M183" s="1267">
        <f t="shared" si="104"/>
        <v>0</v>
      </c>
      <c r="N183" s="1268">
        <f t="shared" si="123"/>
        <v>0</v>
      </c>
      <c r="O183" s="836" t="str">
        <f>IFERROR(VLOOKUP(G183,Proveedores!B:D,3,0)," ")</f>
        <v xml:space="preserve"> </v>
      </c>
      <c r="P183" s="836"/>
      <c r="Q183" s="1127" t="e">
        <f t="shared" si="105"/>
        <v>#N/A</v>
      </c>
      <c r="R183" s="1127" t="b">
        <f t="shared" si="116"/>
        <v>0</v>
      </c>
      <c r="S183" s="1127" t="e">
        <f t="shared" si="106"/>
        <v>#N/A</v>
      </c>
      <c r="T183" s="1127" t="b">
        <f t="shared" si="117"/>
        <v>0</v>
      </c>
      <c r="U183" s="1127" t="e">
        <f t="shared" si="107"/>
        <v>#N/A</v>
      </c>
      <c r="V183" s="1127" t="e">
        <f t="shared" si="118"/>
        <v>#N/A</v>
      </c>
      <c r="W183" s="1127" t="e">
        <f>IF(F183="Offiho",J183,IF(_xlfn.XLOOKUP(F183,Proveedores!A$2:A$50,Proveedores!E$2:E$50,"")="Nacional",(J183/0.5)+(V183*H183),((J183/0.3/0.5)+(V183*H183))))</f>
        <v>#N/A</v>
      </c>
      <c r="X183" s="1127" t="e">
        <f t="shared" si="108"/>
        <v>#N/A</v>
      </c>
      <c r="Y183" s="1126" t="b">
        <f t="shared" si="109"/>
        <v>0</v>
      </c>
      <c r="Z183" s="43">
        <v>0</v>
      </c>
      <c r="AA183" s="1219" t="e">
        <f t="shared" si="119"/>
        <v>#N/A</v>
      </c>
      <c r="AB183" s="1219" t="e">
        <f t="shared" si="120"/>
        <v>#N/A</v>
      </c>
      <c r="AC183" s="1219" t="e">
        <f t="shared" si="110"/>
        <v>#N/A</v>
      </c>
      <c r="AD183" s="1126" t="e">
        <f t="shared" si="121"/>
        <v>#N/A</v>
      </c>
      <c r="AE183" s="1217" t="e">
        <f t="shared" si="111"/>
        <v>#N/A</v>
      </c>
      <c r="AF183" s="1220" t="e">
        <f t="shared" si="112"/>
        <v>#N/A</v>
      </c>
      <c r="AG183" s="1176" t="e">
        <f t="shared" si="113"/>
        <v>#N/A</v>
      </c>
      <c r="AH183" s="1221" t="e">
        <f t="shared" si="122"/>
        <v>#N/A</v>
      </c>
    </row>
    <row r="184" spans="1:34" ht="15.5">
      <c r="A184" s="1216" t="b">
        <f t="shared" si="101"/>
        <v>1</v>
      </c>
      <c r="B184" s="1217" t="b">
        <f t="shared" si="114"/>
        <v>1</v>
      </c>
      <c r="C184" s="1218" t="str">
        <f t="shared" si="115"/>
        <v>Dólares</v>
      </c>
      <c r="D184" s="47"/>
      <c r="E184" s="836"/>
      <c r="F184" s="50"/>
      <c r="G184" s="50" t="str">
        <f t="shared" si="102"/>
        <v xml:space="preserve"> </v>
      </c>
      <c r="H184" s="45">
        <v>0</v>
      </c>
      <c r="I184" s="49" t="str">
        <f>IFERROR(VLOOKUP(G184,Proveedores!B:C,2,0)," ")</f>
        <v xml:space="preserve"> </v>
      </c>
      <c r="J184" s="838">
        <v>0</v>
      </c>
      <c r="K184" s="1124"/>
      <c r="L184" s="1266">
        <f t="shared" si="103"/>
        <v>0</v>
      </c>
      <c r="M184" s="1267">
        <f t="shared" si="104"/>
        <v>0</v>
      </c>
      <c r="N184" s="1268">
        <f t="shared" si="123"/>
        <v>0</v>
      </c>
      <c r="O184" s="836" t="str">
        <f>IFERROR(VLOOKUP(G184,Proveedores!B:D,3,0)," ")</f>
        <v xml:space="preserve"> </v>
      </c>
      <c r="P184" s="836"/>
      <c r="Q184" s="1127" t="e">
        <f t="shared" si="105"/>
        <v>#N/A</v>
      </c>
      <c r="R184" s="1127" t="b">
        <f t="shared" si="116"/>
        <v>0</v>
      </c>
      <c r="S184" s="1127" t="e">
        <f t="shared" si="106"/>
        <v>#N/A</v>
      </c>
      <c r="T184" s="1127" t="b">
        <f t="shared" si="117"/>
        <v>0</v>
      </c>
      <c r="U184" s="1127" t="e">
        <f t="shared" si="107"/>
        <v>#N/A</v>
      </c>
      <c r="V184" s="1127" t="e">
        <f t="shared" si="118"/>
        <v>#N/A</v>
      </c>
      <c r="W184" s="1127" t="e">
        <f>IF(F184="Offiho",J184,IF(_xlfn.XLOOKUP(F184,Proveedores!A$2:A$50,Proveedores!E$2:E$50,"")="Nacional",(J184/0.5)+(V184*H184),((J184/0.3/0.5)+(V184*H184))))</f>
        <v>#N/A</v>
      </c>
      <c r="X184" s="1127" t="e">
        <f t="shared" si="108"/>
        <v>#N/A</v>
      </c>
      <c r="Y184" s="1126" t="b">
        <f t="shared" si="109"/>
        <v>0</v>
      </c>
      <c r="Z184" s="43">
        <v>0</v>
      </c>
      <c r="AA184" s="1219" t="e">
        <f t="shared" si="119"/>
        <v>#N/A</v>
      </c>
      <c r="AB184" s="1219" t="e">
        <f t="shared" si="120"/>
        <v>#N/A</v>
      </c>
      <c r="AC184" s="1219" t="e">
        <f t="shared" si="110"/>
        <v>#N/A</v>
      </c>
      <c r="AD184" s="1126" t="e">
        <f t="shared" si="121"/>
        <v>#N/A</v>
      </c>
      <c r="AE184" s="1217" t="e">
        <f t="shared" si="111"/>
        <v>#N/A</v>
      </c>
      <c r="AF184" s="1220" t="e">
        <f t="shared" si="112"/>
        <v>#N/A</v>
      </c>
      <c r="AG184" s="1176" t="e">
        <f t="shared" si="113"/>
        <v>#N/A</v>
      </c>
      <c r="AH184" s="1221" t="e">
        <f t="shared" si="122"/>
        <v>#N/A</v>
      </c>
    </row>
    <row r="185" spans="1:34" ht="15.5">
      <c r="A185" s="1216" t="b">
        <f t="shared" si="101"/>
        <v>1</v>
      </c>
      <c r="B185" s="1217" t="b">
        <f t="shared" si="114"/>
        <v>1</v>
      </c>
      <c r="C185" s="1218" t="str">
        <f t="shared" si="115"/>
        <v>Dólares</v>
      </c>
      <c r="D185" s="47"/>
      <c r="E185" s="836"/>
      <c r="F185" s="50"/>
      <c r="G185" s="50" t="str">
        <f t="shared" si="102"/>
        <v xml:space="preserve"> </v>
      </c>
      <c r="H185" s="45">
        <v>0</v>
      </c>
      <c r="I185" s="49" t="str">
        <f>IFERROR(VLOOKUP(G185,Proveedores!B:C,2,0)," ")</f>
        <v xml:space="preserve"> </v>
      </c>
      <c r="J185" s="838">
        <v>0</v>
      </c>
      <c r="K185" s="1124"/>
      <c r="L185" s="1266">
        <f t="shared" si="103"/>
        <v>0</v>
      </c>
      <c r="M185" s="1267">
        <f t="shared" si="104"/>
        <v>0</v>
      </c>
      <c r="N185" s="1268">
        <f t="shared" si="123"/>
        <v>0</v>
      </c>
      <c r="O185" s="836" t="str">
        <f>IFERROR(VLOOKUP(G185,Proveedores!B:D,3,0)," ")</f>
        <v xml:space="preserve"> </v>
      </c>
      <c r="P185" s="836"/>
      <c r="Q185" s="1127" t="e">
        <f t="shared" si="105"/>
        <v>#N/A</v>
      </c>
      <c r="R185" s="1127" t="b">
        <f t="shared" si="116"/>
        <v>0</v>
      </c>
      <c r="S185" s="1127" t="e">
        <f t="shared" si="106"/>
        <v>#N/A</v>
      </c>
      <c r="T185" s="1127" t="b">
        <f t="shared" si="117"/>
        <v>0</v>
      </c>
      <c r="U185" s="1127" t="e">
        <f t="shared" si="107"/>
        <v>#N/A</v>
      </c>
      <c r="V185" s="1127" t="e">
        <f t="shared" si="118"/>
        <v>#N/A</v>
      </c>
      <c r="W185" s="1127" t="e">
        <f>IF(F185="Offiho",J185,IF(_xlfn.XLOOKUP(F185,Proveedores!A$2:A$50,Proveedores!E$2:E$50,"")="Nacional",(J185/0.5)+(V185*H185),((J185/0.3/0.5)+(V185*H185))))</f>
        <v>#N/A</v>
      </c>
      <c r="X185" s="1127" t="e">
        <f t="shared" si="108"/>
        <v>#N/A</v>
      </c>
      <c r="Y185" s="1126" t="b">
        <f t="shared" si="109"/>
        <v>0</v>
      </c>
      <c r="Z185" s="43">
        <v>0</v>
      </c>
      <c r="AA185" s="1219" t="e">
        <f t="shared" si="119"/>
        <v>#N/A</v>
      </c>
      <c r="AB185" s="1219" t="e">
        <f t="shared" si="120"/>
        <v>#N/A</v>
      </c>
      <c r="AC185" s="1219" t="e">
        <f t="shared" si="110"/>
        <v>#N/A</v>
      </c>
      <c r="AD185" s="1126" t="e">
        <f t="shared" si="121"/>
        <v>#N/A</v>
      </c>
      <c r="AE185" s="1217" t="e">
        <f t="shared" si="111"/>
        <v>#N/A</v>
      </c>
      <c r="AF185" s="1220" t="e">
        <f t="shared" si="112"/>
        <v>#N/A</v>
      </c>
      <c r="AG185" s="1176" t="e">
        <f t="shared" si="113"/>
        <v>#N/A</v>
      </c>
      <c r="AH185" s="1221" t="e">
        <f t="shared" si="122"/>
        <v>#N/A</v>
      </c>
    </row>
    <row r="186" spans="1:34" ht="15.5">
      <c r="A186" s="1216" t="b">
        <f t="shared" si="101"/>
        <v>1</v>
      </c>
      <c r="B186" s="1217" t="b">
        <f t="shared" si="114"/>
        <v>1</v>
      </c>
      <c r="C186" s="1218" t="str">
        <f t="shared" si="115"/>
        <v>Dólares</v>
      </c>
      <c r="D186" s="47"/>
      <c r="E186" s="836"/>
      <c r="F186" s="50"/>
      <c r="G186" s="50" t="str">
        <f t="shared" si="102"/>
        <v xml:space="preserve"> </v>
      </c>
      <c r="H186" s="45">
        <v>0</v>
      </c>
      <c r="I186" s="49" t="str">
        <f>IFERROR(VLOOKUP(G186,Proveedores!B:C,2,0)," ")</f>
        <v xml:space="preserve"> </v>
      </c>
      <c r="J186" s="838">
        <v>0</v>
      </c>
      <c r="K186" s="1124"/>
      <c r="L186" s="1266">
        <f t="shared" si="103"/>
        <v>0</v>
      </c>
      <c r="M186" s="1267">
        <f t="shared" si="104"/>
        <v>0</v>
      </c>
      <c r="N186" s="1268">
        <f t="shared" si="123"/>
        <v>0</v>
      </c>
      <c r="O186" s="836" t="str">
        <f>IFERROR(VLOOKUP(G186,Proveedores!B:D,3,0)," ")</f>
        <v xml:space="preserve"> </v>
      </c>
      <c r="P186" s="836"/>
      <c r="Q186" s="1127" t="e">
        <f t="shared" si="105"/>
        <v>#N/A</v>
      </c>
      <c r="R186" s="1127" t="b">
        <f t="shared" si="116"/>
        <v>0</v>
      </c>
      <c r="S186" s="1127" t="e">
        <f t="shared" si="106"/>
        <v>#N/A</v>
      </c>
      <c r="T186" s="1127" t="b">
        <f t="shared" si="117"/>
        <v>0</v>
      </c>
      <c r="U186" s="1127" t="e">
        <f t="shared" si="107"/>
        <v>#N/A</v>
      </c>
      <c r="V186" s="1127" t="e">
        <f t="shared" si="118"/>
        <v>#N/A</v>
      </c>
      <c r="W186" s="1127" t="e">
        <f>IF(F186="Offiho",J186,IF(_xlfn.XLOOKUP(F186,Proveedores!A$2:A$50,Proveedores!E$2:E$50,"")="Nacional",(J186/0.5)+(V186*H186),((J186/0.3/0.5)+(V186*H186))))</f>
        <v>#N/A</v>
      </c>
      <c r="X186" s="1127" t="e">
        <f t="shared" si="108"/>
        <v>#N/A</v>
      </c>
      <c r="Y186" s="1126" t="b">
        <f t="shared" si="109"/>
        <v>0</v>
      </c>
      <c r="Z186" s="43">
        <v>0</v>
      </c>
      <c r="AA186" s="1219" t="e">
        <f t="shared" si="119"/>
        <v>#N/A</v>
      </c>
      <c r="AB186" s="1219" t="e">
        <f t="shared" si="120"/>
        <v>#N/A</v>
      </c>
      <c r="AC186" s="1219" t="e">
        <f t="shared" si="110"/>
        <v>#N/A</v>
      </c>
      <c r="AD186" s="1126" t="str">
        <f t="shared" si="121"/>
        <v>NA</v>
      </c>
      <c r="AE186" s="1217" t="e">
        <f t="shared" si="111"/>
        <v>#N/A</v>
      </c>
      <c r="AF186" s="1220" t="e">
        <f t="shared" si="112"/>
        <v>#N/A</v>
      </c>
      <c r="AG186" s="1176" t="e">
        <f t="shared" si="113"/>
        <v>#N/A</v>
      </c>
      <c r="AH186" s="1221" t="e">
        <f t="shared" si="122"/>
        <v>#N/A</v>
      </c>
    </row>
    <row r="187" spans="1:34" ht="24" customHeight="1">
      <c r="A187" s="1422" t="s">
        <v>124</v>
      </c>
      <c r="B187" s="1422"/>
      <c r="C187" s="1422"/>
      <c r="D187" s="1422"/>
      <c r="E187" s="1422"/>
      <c r="F187" s="1422"/>
      <c r="G187" s="1228"/>
      <c r="H187" s="1229" cm="1">
        <f t="array" ref="H187">SUM(IFERROR(H154:H186,0))</f>
        <v>0</v>
      </c>
      <c r="I187" s="1228"/>
      <c r="J187" s="1230"/>
      <c r="K187" s="1231"/>
      <c r="L187" s="1229" cm="1">
        <f t="array" ref="L187">SUM(IFERROR(L154:L186,0))</f>
        <v>0</v>
      </c>
      <c r="M187" s="1235"/>
      <c r="N187" s="1232" cm="1">
        <f t="array" ref="N187">SUM(IFERROR(N154:N186,0))</f>
        <v>0</v>
      </c>
      <c r="O187" s="1233"/>
      <c r="P187" s="1233"/>
      <c r="Q187" s="1233"/>
      <c r="R187" s="1233"/>
      <c r="S187" s="1233"/>
      <c r="T187" s="1233"/>
      <c r="U187" s="1233"/>
      <c r="V187" s="1233"/>
      <c r="W187" s="1231"/>
      <c r="X187" s="1232" cm="1">
        <f t="array" ref="X187">SUM(IFERROR(X154:X186,0))</f>
        <v>0</v>
      </c>
      <c r="Y187" s="1233" t="s">
        <v>116</v>
      </c>
      <c r="Z187" s="1233"/>
      <c r="AA187" s="1233"/>
      <c r="AB187" s="1233"/>
      <c r="AC187" s="1232" cm="1">
        <f t="array" ref="AC187">SUM(IFERROR(AC154:AC186,0))</f>
        <v>0</v>
      </c>
      <c r="AD187" s="1232"/>
      <c r="AE187" s="1232"/>
      <c r="AF187" s="1232" cm="1">
        <f t="array" ref="AF187">SUM(IFERROR(AF154:AF186,0))</f>
        <v>0</v>
      </c>
      <c r="AG187" s="1177">
        <f>IFERROR(1-(N187/AC187),0)</f>
        <v>0</v>
      </c>
      <c r="AH187"/>
    </row>
    <row r="188" spans="1:34" ht="26" customHeight="1">
      <c r="A188" s="1419" t="s">
        <v>125</v>
      </c>
      <c r="B188" s="1419"/>
      <c r="C188" s="1419"/>
      <c r="D188" s="1419"/>
      <c r="E188" s="1419"/>
      <c r="F188" s="1419"/>
      <c r="G188" s="1419"/>
      <c r="H188" s="1419"/>
      <c r="I188" s="1419"/>
      <c r="J188" s="1420"/>
      <c r="K188" s="1214"/>
      <c r="L188" s="1214"/>
      <c r="M188" s="1236"/>
      <c r="N188" s="1214"/>
      <c r="O188" s="1213"/>
      <c r="P188" s="1213"/>
      <c r="Q188" s="1213"/>
      <c r="R188" s="1213"/>
      <c r="S188" s="1213"/>
      <c r="T188" s="1213"/>
      <c r="U188" s="1213"/>
      <c r="V188" s="1213"/>
      <c r="W188" s="1178"/>
      <c r="X188" s="1178"/>
      <c r="Y188" s="1178"/>
      <c r="Z188" s="1213"/>
      <c r="AA188" s="1213"/>
      <c r="AB188" s="1213"/>
      <c r="AC188" s="1213"/>
      <c r="AD188" s="1213"/>
      <c r="AE188" s="1213"/>
      <c r="AF188" s="1213"/>
      <c r="AG188" s="1215"/>
      <c r="AH188"/>
    </row>
    <row r="189" spans="1:34" ht="15.5">
      <c r="A189" s="1216" t="b">
        <f t="shared" ref="A189:A221" si="124">$A$13</f>
        <v>1</v>
      </c>
      <c r="B189" s="1217" t="b">
        <f>A189</f>
        <v>1</v>
      </c>
      <c r="C189" s="1218" t="str">
        <f>$C$13</f>
        <v>Dólares</v>
      </c>
      <c r="D189" s="44"/>
      <c r="E189" s="836"/>
      <c r="F189" s="50"/>
      <c r="G189" s="50" t="str">
        <f t="shared" ref="G189:G221" si="125">IFERROR(VLOOKUP(F189,Tabla_Proveedores_1,2,0)," ")</f>
        <v xml:space="preserve"> </v>
      </c>
      <c r="H189" s="45">
        <v>0</v>
      </c>
      <c r="I189" s="49" t="str">
        <f>IFERROR(VLOOKUP(G189,Proveedores!B:C,2,0)," ")</f>
        <v xml:space="preserve"> </v>
      </c>
      <c r="J189" s="838">
        <v>0</v>
      </c>
      <c r="K189" s="1124"/>
      <c r="L189" s="1266">
        <f t="shared" ref="L189:L221" si="126">K189*H189</f>
        <v>0</v>
      </c>
      <c r="M189" s="1267">
        <f t="shared" ref="M189:M221" si="127">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Brasil"),J189,IFERROR(IF(K748&lt;=$AO$578,J189*2.14,IF(K748&lt;=$AN$579,J189*1.8,IF(K748&gt;$AN$580,J189*1.5))),J189))*1.1)</f>
        <v>0</v>
      </c>
      <c r="N189" s="1268">
        <f>M189*H189</f>
        <v>0</v>
      </c>
      <c r="O189" s="836" t="str">
        <f>IFERROR(VLOOKUP(G189,Proveedores!B:D,3,0)," ")</f>
        <v xml:space="preserve"> </v>
      </c>
      <c r="P189" s="836"/>
      <c r="Q189" s="1127" t="e">
        <f t="shared" ref="Q189:Q221" si="128">VLOOKUP(E189,Tabla_Fletes,3,FALSE)</f>
        <v>#N/A</v>
      </c>
      <c r="R189" s="1127" t="b">
        <f>IF(P189="Centro",Q189,IF(P189="Norte",Q189*1.6,IF(P189="Occidente",Q189*1.2,IF(P189="Sur",Q189*2))))</f>
        <v>0</v>
      </c>
      <c r="S189" s="1127" t="e">
        <f t="shared" ref="S189:S221" si="129">VLOOKUP(E189,Tabla_Instalacion,2,FALSE)</f>
        <v>#N/A</v>
      </c>
      <c r="T189" s="1127" t="b">
        <f>IF(P189="Centro",S189,IF(P189="Norte",S189*1.1,IF(P189="Occidente",S189*1.1,IF(P189="Sur",S189*1.1))))</f>
        <v>0</v>
      </c>
      <c r="U189" s="1127" t="e">
        <f t="shared" ref="U189:U221" si="130">IF(F189="Offiho",0,Q189+S189)</f>
        <v>#N/A</v>
      </c>
      <c r="V189" s="1127" t="e">
        <f>IF(K189=0,U189/$H$573,U189*(K189/L189))*H189</f>
        <v>#N/A</v>
      </c>
      <c r="W189" s="1127" t="e">
        <f>IF(F189="Offiho",J189,IF(_xlfn.XLOOKUP(F189,Proveedores!A$2:A$50,Proveedores!E$2:E$50,"")="Nacional",(J189/0.5)+(V189*H189),((J189/0.3/0.5)+(V189*H189))))</f>
        <v>#N/A</v>
      </c>
      <c r="X189" s="1127" t="e">
        <f t="shared" ref="X189:X221" si="131">W189*H189</f>
        <v>#N/A</v>
      </c>
      <c r="Y189" s="1126" t="b">
        <f t="shared" ref="Y189:Y221" si="132">IF(F189="Sunon Inc",$AJ$577,IF(F189="Alma - Exterior",$AJ$578,IF(F189="Yabo - Hotelería",$AJ$579,IF(F189="OSJ - Medical",$AJ$580,IF(F189="Seezo - Home",$AJ$581,IF(F189="A&amp;D - Home",$AJ$582,IF(F189="Encore Alfombras Hoteleria Asia",$AJ$583,IF(F189="Zhong Xian - Leds",$AJ$584,IF(F189="Tarkett Europa",$AJ$585,IF(F189="2tec2",$AJ$586,IF(F189="Balsan Europa",$AJ$587,IF(F189="Armstrong Pisos USA",$AJ$588,IF(F189="Tarkett USA",$AJ$589,IF(F189="Tarkett Brasil",$AJ$590,IF(F189="Tarkett MX",$AJ$591,IF(F189="Jome",$AJ$592,IF(F189="Offiho",$AJ$593,IF(F189="Lumbro",$AJ$594,IF(F189="Sunon Mty",$AJ$595,IF(F189="Conceptos Sofas",$AJ$596,IF(F189="Lauco Sofas",$AJ$597,IF(F189="CR Global - Mesas Ajustables",$AJ$598,IF(F189="Vandesk",$AJ$599,IF(F189="Mamparas Tela",$AJ$600,IF(F189="Mampara Cristales",$AJ$601,IF(F189="Herrajes",$AJ$602,IF(F189="MetalWork",$AJ$603,IF(F189="Requiez",$AJ$604,IF(F189="Labenze",$AJ$605,IF(F189="Infinity",$AJ$606,IF(F189="Proveedor Externo",$AJ$607)))))))))))))))))))))))))))))))</f>
        <v>0</v>
      </c>
      <c r="Z189" s="43">
        <v>0</v>
      </c>
      <c r="AA189" s="1219" t="e">
        <f>W189*Z189</f>
        <v>#N/A</v>
      </c>
      <c r="AB189" s="1219" t="e">
        <f>IF(Z189&gt;Y189,"ERROR",(W189-AA189))</f>
        <v>#N/A</v>
      </c>
      <c r="AC189" s="1219" t="e">
        <f t="shared" ref="AC189:AC221" si="133">AB189*H189</f>
        <v>#N/A</v>
      </c>
      <c r="AD189" s="1126" t="e">
        <f>IF(A190=TRUE,MAX(0,1-(AE189/W189)),"NA")</f>
        <v>#N/A</v>
      </c>
      <c r="AE189" s="1217" t="e">
        <f t="shared" ref="AE189:AE221" si="134">IF(A188=FALSE,"NO APLICA",AB189*1.2)</f>
        <v>#N/A</v>
      </c>
      <c r="AF189" s="1220" t="e">
        <f t="shared" ref="AF189:AF221" si="135">AE189*H189</f>
        <v>#N/A</v>
      </c>
      <c r="AG189" s="1176" t="e">
        <f t="shared" ref="AG189:AG221" si="136">(AC189-N189)/AC189</f>
        <v>#N/A</v>
      </c>
      <c r="AH189" s="1221" t="e">
        <f>IF(AG189&lt;30%,"ERROR","OK")</f>
        <v>#N/A</v>
      </c>
    </row>
    <row r="190" spans="1:34" ht="15.5">
      <c r="A190" s="1216" t="b">
        <f t="shared" si="124"/>
        <v>1</v>
      </c>
      <c r="B190" s="1217" t="b">
        <f t="shared" ref="B190:B221" si="137">A190</f>
        <v>1</v>
      </c>
      <c r="C190" s="1218" t="str">
        <f t="shared" ref="C190:C221" si="138">$C$13</f>
        <v>Dólares</v>
      </c>
      <c r="D190" s="46"/>
      <c r="E190" s="836"/>
      <c r="F190" s="50"/>
      <c r="G190" s="50" t="str">
        <f t="shared" si="125"/>
        <v xml:space="preserve"> </v>
      </c>
      <c r="H190" s="45">
        <v>0</v>
      </c>
      <c r="I190" s="49" t="str">
        <f>IFERROR(VLOOKUP(G190,Proveedores!B:C,2,0)," ")</f>
        <v xml:space="preserve"> </v>
      </c>
      <c r="J190" s="838">
        <v>0</v>
      </c>
      <c r="K190" s="1124"/>
      <c r="L190" s="1266">
        <f t="shared" si="126"/>
        <v>0</v>
      </c>
      <c r="M190" s="1267">
        <f t="shared" si="127"/>
        <v>0</v>
      </c>
      <c r="N190" s="1268">
        <f>M190*H190</f>
        <v>0</v>
      </c>
      <c r="O190" s="836" t="str">
        <f>IFERROR(VLOOKUP(G190,Proveedores!B:D,3,0)," ")</f>
        <v xml:space="preserve"> </v>
      </c>
      <c r="P190" s="836"/>
      <c r="Q190" s="1127" t="e">
        <f t="shared" si="128"/>
        <v>#N/A</v>
      </c>
      <c r="R190" s="1127" t="b">
        <f t="shared" ref="R190:R221" si="139">IF(P190="Centro",Q190,IF(P190="Norte",Q190*1.6,IF(P190="Occidente",Q190*1.2,IF(P190="Sur",Q190*2))))</f>
        <v>0</v>
      </c>
      <c r="S190" s="1127" t="e">
        <f t="shared" si="129"/>
        <v>#N/A</v>
      </c>
      <c r="T190" s="1127" t="b">
        <f t="shared" ref="T190:T221" si="140">IF(P190="Centro",S190,IF(P190="Norte",S190*1.1,IF(P190="Occidente",S190*1.1,IF(P190="Sur",S190*1.1))))</f>
        <v>0</v>
      </c>
      <c r="U190" s="1127" t="e">
        <f t="shared" si="130"/>
        <v>#N/A</v>
      </c>
      <c r="V190" s="1127" t="e">
        <f t="shared" ref="V190:V221" si="141">IF(K190=0,U190/$H$573,U190*(K190/L190))*H190</f>
        <v>#N/A</v>
      </c>
      <c r="W190" s="1127" t="e">
        <f>IF(F190="Offiho",J190,IF(_xlfn.XLOOKUP(F190,Proveedores!A$2:A$50,Proveedores!E$2:E$50,"")="Nacional",(J190/0.5)+(V190*H190),((J190/0.3/0.5)+(V190*H190))))</f>
        <v>#N/A</v>
      </c>
      <c r="X190" s="1127" t="e">
        <f t="shared" si="131"/>
        <v>#N/A</v>
      </c>
      <c r="Y190" s="1126" t="b">
        <f t="shared" si="132"/>
        <v>0</v>
      </c>
      <c r="Z190" s="43">
        <v>0</v>
      </c>
      <c r="AA190" s="1219" t="e">
        <f t="shared" ref="AA190:AA221" si="142">W190*Z190</f>
        <v>#N/A</v>
      </c>
      <c r="AB190" s="1219" t="e">
        <f t="shared" ref="AB190:AB221" si="143">IF(Z190&gt;Y190,"ERROR",(W190-AA190))</f>
        <v>#N/A</v>
      </c>
      <c r="AC190" s="1219" t="e">
        <f t="shared" si="133"/>
        <v>#N/A</v>
      </c>
      <c r="AD190" s="1126" t="e">
        <f t="shared" ref="AD190:AD221" si="144">IF(A191=TRUE,MAX(0,1-(AE190/W190)),"NA")</f>
        <v>#N/A</v>
      </c>
      <c r="AE190" s="1217" t="e">
        <f t="shared" si="134"/>
        <v>#N/A</v>
      </c>
      <c r="AF190" s="1220" t="e">
        <f t="shared" si="135"/>
        <v>#N/A</v>
      </c>
      <c r="AG190" s="1176" t="e">
        <f t="shared" si="136"/>
        <v>#N/A</v>
      </c>
      <c r="AH190" s="1221" t="e">
        <f t="shared" ref="AH190:AH221" si="145">IF(AG190&lt;30%,"ERROR","OK")</f>
        <v>#N/A</v>
      </c>
    </row>
    <row r="191" spans="1:34" ht="15.5">
      <c r="A191" s="1216" t="b">
        <f t="shared" si="124"/>
        <v>1</v>
      </c>
      <c r="B191" s="1217" t="b">
        <f t="shared" si="137"/>
        <v>1</v>
      </c>
      <c r="C191" s="1218" t="str">
        <f t="shared" si="138"/>
        <v>Dólares</v>
      </c>
      <c r="D191" s="46"/>
      <c r="E191" s="836"/>
      <c r="F191" s="50"/>
      <c r="G191" s="50" t="str">
        <f t="shared" si="125"/>
        <v xml:space="preserve"> </v>
      </c>
      <c r="H191" s="45">
        <v>0</v>
      </c>
      <c r="I191" s="49" t="str">
        <f>IFERROR(VLOOKUP(G191,Proveedores!B:C,2,0)," ")</f>
        <v xml:space="preserve"> </v>
      </c>
      <c r="J191" s="838">
        <v>0</v>
      </c>
      <c r="K191" s="1124"/>
      <c r="L191" s="1266">
        <f t="shared" si="126"/>
        <v>0</v>
      </c>
      <c r="M191" s="1267">
        <f t="shared" si="127"/>
        <v>0</v>
      </c>
      <c r="N191" s="1268">
        <f>(M191*H191)</f>
        <v>0</v>
      </c>
      <c r="O191" s="836" t="str">
        <f>IFERROR(VLOOKUP(G191,Proveedores!B:D,3,0)," ")</f>
        <v xml:space="preserve"> </v>
      </c>
      <c r="P191" s="836"/>
      <c r="Q191" s="1127" t="e">
        <f t="shared" si="128"/>
        <v>#N/A</v>
      </c>
      <c r="R191" s="1127" t="b">
        <f t="shared" si="139"/>
        <v>0</v>
      </c>
      <c r="S191" s="1127" t="e">
        <f t="shared" si="129"/>
        <v>#N/A</v>
      </c>
      <c r="T191" s="1127" t="b">
        <f t="shared" si="140"/>
        <v>0</v>
      </c>
      <c r="U191" s="1127" t="e">
        <f t="shared" si="130"/>
        <v>#N/A</v>
      </c>
      <c r="V191" s="1127" t="e">
        <f t="shared" si="141"/>
        <v>#N/A</v>
      </c>
      <c r="W191" s="1127" t="e">
        <f>IF(F191="Offiho",J191,IF(_xlfn.XLOOKUP(F191,Proveedores!A$2:A$50,Proveedores!E$2:E$50,"")="Nacional",(J191/0.5)+(V191*H191),((J191/0.3/0.5)+(V191*H191))))</f>
        <v>#N/A</v>
      </c>
      <c r="X191" s="1127" t="e">
        <f t="shared" si="131"/>
        <v>#N/A</v>
      </c>
      <c r="Y191" s="1126" t="b">
        <f t="shared" si="132"/>
        <v>0</v>
      </c>
      <c r="Z191" s="43">
        <v>0</v>
      </c>
      <c r="AA191" s="1219" t="e">
        <f t="shared" si="142"/>
        <v>#N/A</v>
      </c>
      <c r="AB191" s="1219" t="e">
        <f t="shared" si="143"/>
        <v>#N/A</v>
      </c>
      <c r="AC191" s="1219" t="e">
        <f t="shared" si="133"/>
        <v>#N/A</v>
      </c>
      <c r="AD191" s="1126" t="e">
        <f t="shared" si="144"/>
        <v>#N/A</v>
      </c>
      <c r="AE191" s="1217" t="e">
        <f t="shared" si="134"/>
        <v>#N/A</v>
      </c>
      <c r="AF191" s="1220" t="e">
        <f t="shared" si="135"/>
        <v>#N/A</v>
      </c>
      <c r="AG191" s="1176" t="e">
        <f t="shared" si="136"/>
        <v>#N/A</v>
      </c>
      <c r="AH191" s="1221" t="e">
        <f t="shared" si="145"/>
        <v>#N/A</v>
      </c>
    </row>
    <row r="192" spans="1:34" ht="15.5">
      <c r="A192" s="1216" t="b">
        <f t="shared" si="124"/>
        <v>1</v>
      </c>
      <c r="B192" s="1217" t="b">
        <f t="shared" si="137"/>
        <v>1</v>
      </c>
      <c r="C192" s="1218" t="str">
        <f t="shared" si="138"/>
        <v>Dólares</v>
      </c>
      <c r="D192" s="46"/>
      <c r="E192" s="836"/>
      <c r="F192" s="50"/>
      <c r="G192" s="50" t="str">
        <f t="shared" si="125"/>
        <v xml:space="preserve"> </v>
      </c>
      <c r="H192" s="45">
        <v>0</v>
      </c>
      <c r="I192" s="49" t="str">
        <f>IFERROR(VLOOKUP(G192,Proveedores!B:C,2,0)," ")</f>
        <v xml:space="preserve"> </v>
      </c>
      <c r="J192" s="838">
        <v>0</v>
      </c>
      <c r="K192" s="1124"/>
      <c r="L192" s="1266">
        <f t="shared" si="126"/>
        <v>0</v>
      </c>
      <c r="M192" s="1267">
        <f t="shared" si="127"/>
        <v>0</v>
      </c>
      <c r="N192" s="1268">
        <f t="shared" ref="N192:N221" si="146">M192*H192</f>
        <v>0</v>
      </c>
      <c r="O192" s="836" t="str">
        <f>IFERROR(VLOOKUP(G192,Proveedores!B:D,3,0)," ")</f>
        <v xml:space="preserve"> </v>
      </c>
      <c r="P192" s="836"/>
      <c r="Q192" s="1127" t="e">
        <f t="shared" si="128"/>
        <v>#N/A</v>
      </c>
      <c r="R192" s="1127" t="b">
        <f t="shared" si="139"/>
        <v>0</v>
      </c>
      <c r="S192" s="1127" t="e">
        <f t="shared" si="129"/>
        <v>#N/A</v>
      </c>
      <c r="T192" s="1127" t="b">
        <f t="shared" si="140"/>
        <v>0</v>
      </c>
      <c r="U192" s="1127" t="e">
        <f t="shared" si="130"/>
        <v>#N/A</v>
      </c>
      <c r="V192" s="1127" t="e">
        <f t="shared" si="141"/>
        <v>#N/A</v>
      </c>
      <c r="W192" s="1127" t="e">
        <f>IF(F192="Offiho",J192,IF(_xlfn.XLOOKUP(F192,Proveedores!A$2:A$50,Proveedores!E$2:E$50,"")="Nacional",(J192/0.5)+(V192*H192),((J192/0.3/0.5)+(V192*H192))))</f>
        <v>#N/A</v>
      </c>
      <c r="X192" s="1127" t="e">
        <f t="shared" si="131"/>
        <v>#N/A</v>
      </c>
      <c r="Y192" s="1126" t="b">
        <f t="shared" si="132"/>
        <v>0</v>
      </c>
      <c r="Z192" s="43">
        <v>0</v>
      </c>
      <c r="AA192" s="1219" t="e">
        <f t="shared" si="142"/>
        <v>#N/A</v>
      </c>
      <c r="AB192" s="1219" t="e">
        <f t="shared" si="143"/>
        <v>#N/A</v>
      </c>
      <c r="AC192" s="1219" t="e">
        <f t="shared" si="133"/>
        <v>#N/A</v>
      </c>
      <c r="AD192" s="1126" t="e">
        <f t="shared" si="144"/>
        <v>#N/A</v>
      </c>
      <c r="AE192" s="1217" t="e">
        <f t="shared" si="134"/>
        <v>#N/A</v>
      </c>
      <c r="AF192" s="1220" t="e">
        <f t="shared" si="135"/>
        <v>#N/A</v>
      </c>
      <c r="AG192" s="1176" t="e">
        <f t="shared" si="136"/>
        <v>#N/A</v>
      </c>
      <c r="AH192" s="1221" t="e">
        <f t="shared" si="145"/>
        <v>#N/A</v>
      </c>
    </row>
    <row r="193" spans="1:34" ht="15.5">
      <c r="A193" s="1216" t="b">
        <f t="shared" si="124"/>
        <v>1</v>
      </c>
      <c r="B193" s="1217" t="b">
        <f t="shared" si="137"/>
        <v>1</v>
      </c>
      <c r="C193" s="1218" t="str">
        <f t="shared" si="138"/>
        <v>Dólares</v>
      </c>
      <c r="D193" s="46"/>
      <c r="E193" s="836"/>
      <c r="F193" s="50"/>
      <c r="G193" s="50" t="str">
        <f t="shared" si="125"/>
        <v xml:space="preserve"> </v>
      </c>
      <c r="H193" s="45">
        <v>0</v>
      </c>
      <c r="I193" s="49" t="str">
        <f>IFERROR(VLOOKUP(G193,Proveedores!B:C,2,0)," ")</f>
        <v xml:space="preserve"> </v>
      </c>
      <c r="J193" s="838">
        <v>0</v>
      </c>
      <c r="K193" s="1124"/>
      <c r="L193" s="1266">
        <f t="shared" si="126"/>
        <v>0</v>
      </c>
      <c r="M193" s="1267">
        <f t="shared" si="127"/>
        <v>0</v>
      </c>
      <c r="N193" s="1268">
        <f t="shared" si="146"/>
        <v>0</v>
      </c>
      <c r="O193" s="836" t="str">
        <f>IFERROR(VLOOKUP(G193,Proveedores!B:D,3,0)," ")</f>
        <v xml:space="preserve"> </v>
      </c>
      <c r="P193" s="836"/>
      <c r="Q193" s="1127" t="e">
        <f t="shared" si="128"/>
        <v>#N/A</v>
      </c>
      <c r="R193" s="1127" t="b">
        <f t="shared" si="139"/>
        <v>0</v>
      </c>
      <c r="S193" s="1127" t="e">
        <f t="shared" si="129"/>
        <v>#N/A</v>
      </c>
      <c r="T193" s="1127" t="b">
        <f t="shared" si="140"/>
        <v>0</v>
      </c>
      <c r="U193" s="1127" t="e">
        <f t="shared" si="130"/>
        <v>#N/A</v>
      </c>
      <c r="V193" s="1127" t="e">
        <f t="shared" si="141"/>
        <v>#N/A</v>
      </c>
      <c r="W193" s="1127" t="e">
        <f>IF(F193="Offiho",J193,IF(_xlfn.XLOOKUP(F193,Proveedores!A$2:A$50,Proveedores!E$2:E$50,"")="Nacional",(J193/0.5)+(V193*H193),((J193/0.3/0.5)+(V193*H193))))</f>
        <v>#N/A</v>
      </c>
      <c r="X193" s="1127" t="e">
        <f t="shared" si="131"/>
        <v>#N/A</v>
      </c>
      <c r="Y193" s="1126" t="b">
        <f t="shared" si="132"/>
        <v>0</v>
      </c>
      <c r="Z193" s="43">
        <v>0</v>
      </c>
      <c r="AA193" s="1219" t="e">
        <f t="shared" si="142"/>
        <v>#N/A</v>
      </c>
      <c r="AB193" s="1219" t="e">
        <f t="shared" si="143"/>
        <v>#N/A</v>
      </c>
      <c r="AC193" s="1219" t="e">
        <f t="shared" si="133"/>
        <v>#N/A</v>
      </c>
      <c r="AD193" s="1126" t="e">
        <f t="shared" si="144"/>
        <v>#N/A</v>
      </c>
      <c r="AE193" s="1217" t="e">
        <f t="shared" si="134"/>
        <v>#N/A</v>
      </c>
      <c r="AF193" s="1220" t="e">
        <f t="shared" si="135"/>
        <v>#N/A</v>
      </c>
      <c r="AG193" s="1176" t="e">
        <f t="shared" si="136"/>
        <v>#N/A</v>
      </c>
      <c r="AH193" s="1221" t="e">
        <f t="shared" si="145"/>
        <v>#N/A</v>
      </c>
    </row>
    <row r="194" spans="1:34" ht="15.5">
      <c r="A194" s="1216" t="b">
        <f t="shared" si="124"/>
        <v>1</v>
      </c>
      <c r="B194" s="1217" t="b">
        <f t="shared" si="137"/>
        <v>1</v>
      </c>
      <c r="C194" s="1218" t="str">
        <f t="shared" si="138"/>
        <v>Dólares</v>
      </c>
      <c r="D194" s="46"/>
      <c r="E194" s="836"/>
      <c r="F194" s="50"/>
      <c r="G194" s="50" t="str">
        <f t="shared" si="125"/>
        <v xml:space="preserve"> </v>
      </c>
      <c r="H194" s="45">
        <v>0</v>
      </c>
      <c r="I194" s="49" t="str">
        <f>IFERROR(VLOOKUP(G194,Proveedores!B:C,2,0)," ")</f>
        <v xml:space="preserve"> </v>
      </c>
      <c r="J194" s="838">
        <v>0</v>
      </c>
      <c r="K194" s="1124"/>
      <c r="L194" s="1266">
        <f t="shared" si="126"/>
        <v>0</v>
      </c>
      <c r="M194" s="1267">
        <f t="shared" si="127"/>
        <v>0</v>
      </c>
      <c r="N194" s="1268">
        <f t="shared" si="146"/>
        <v>0</v>
      </c>
      <c r="O194" s="836" t="str">
        <f>IFERROR(VLOOKUP(G194,Proveedores!B:D,3,0)," ")</f>
        <v xml:space="preserve"> </v>
      </c>
      <c r="P194" s="836"/>
      <c r="Q194" s="1127" t="e">
        <f t="shared" si="128"/>
        <v>#N/A</v>
      </c>
      <c r="R194" s="1127" t="b">
        <f t="shared" si="139"/>
        <v>0</v>
      </c>
      <c r="S194" s="1127" t="e">
        <f t="shared" si="129"/>
        <v>#N/A</v>
      </c>
      <c r="T194" s="1127" t="b">
        <f t="shared" si="140"/>
        <v>0</v>
      </c>
      <c r="U194" s="1127" t="e">
        <f t="shared" si="130"/>
        <v>#N/A</v>
      </c>
      <c r="V194" s="1127" t="e">
        <f t="shared" si="141"/>
        <v>#N/A</v>
      </c>
      <c r="W194" s="1127" t="e">
        <f>IF(F194="Offiho",J194,IF(_xlfn.XLOOKUP(F194,Proveedores!A$2:A$50,Proveedores!E$2:E$50,"")="Nacional",(J194/0.5)+(V194*H194),((J194/0.3/0.5)+(V194*H194))))</f>
        <v>#N/A</v>
      </c>
      <c r="X194" s="1127" t="e">
        <f t="shared" si="131"/>
        <v>#N/A</v>
      </c>
      <c r="Y194" s="1126" t="b">
        <f t="shared" si="132"/>
        <v>0</v>
      </c>
      <c r="Z194" s="43">
        <v>0</v>
      </c>
      <c r="AA194" s="1219" t="e">
        <f t="shared" si="142"/>
        <v>#N/A</v>
      </c>
      <c r="AB194" s="1219" t="e">
        <f t="shared" si="143"/>
        <v>#N/A</v>
      </c>
      <c r="AC194" s="1219" t="e">
        <f t="shared" si="133"/>
        <v>#N/A</v>
      </c>
      <c r="AD194" s="1126" t="e">
        <f t="shared" si="144"/>
        <v>#N/A</v>
      </c>
      <c r="AE194" s="1217" t="e">
        <f t="shared" si="134"/>
        <v>#N/A</v>
      </c>
      <c r="AF194" s="1220" t="e">
        <f t="shared" si="135"/>
        <v>#N/A</v>
      </c>
      <c r="AG194" s="1176" t="e">
        <f t="shared" si="136"/>
        <v>#N/A</v>
      </c>
      <c r="AH194" s="1221" t="e">
        <f t="shared" si="145"/>
        <v>#N/A</v>
      </c>
    </row>
    <row r="195" spans="1:34" ht="15.5">
      <c r="A195" s="1216" t="b">
        <f t="shared" si="124"/>
        <v>1</v>
      </c>
      <c r="B195" s="1217" t="b">
        <f t="shared" si="137"/>
        <v>1</v>
      </c>
      <c r="C195" s="1218" t="str">
        <f t="shared" si="138"/>
        <v>Dólares</v>
      </c>
      <c r="D195" s="44"/>
      <c r="E195" s="836"/>
      <c r="F195" s="50"/>
      <c r="G195" s="50" t="str">
        <f t="shared" si="125"/>
        <v xml:space="preserve"> </v>
      </c>
      <c r="H195" s="45">
        <v>0</v>
      </c>
      <c r="I195" s="49" t="str">
        <f>IFERROR(VLOOKUP(G195,Proveedores!B:C,2,0)," ")</f>
        <v xml:space="preserve"> </v>
      </c>
      <c r="J195" s="838">
        <v>0</v>
      </c>
      <c r="K195" s="1124"/>
      <c r="L195" s="1266">
        <f t="shared" si="126"/>
        <v>0</v>
      </c>
      <c r="M195" s="1267">
        <f t="shared" si="127"/>
        <v>0</v>
      </c>
      <c r="N195" s="1268">
        <f t="shared" si="146"/>
        <v>0</v>
      </c>
      <c r="O195" s="836" t="str">
        <f>IFERROR(VLOOKUP(G195,Proveedores!B:D,3,0)," ")</f>
        <v xml:space="preserve"> </v>
      </c>
      <c r="P195" s="836"/>
      <c r="Q195" s="1127" t="e">
        <f t="shared" si="128"/>
        <v>#N/A</v>
      </c>
      <c r="R195" s="1127" t="b">
        <f t="shared" si="139"/>
        <v>0</v>
      </c>
      <c r="S195" s="1127" t="e">
        <f t="shared" si="129"/>
        <v>#N/A</v>
      </c>
      <c r="T195" s="1127" t="b">
        <f t="shared" si="140"/>
        <v>0</v>
      </c>
      <c r="U195" s="1127" t="e">
        <f t="shared" si="130"/>
        <v>#N/A</v>
      </c>
      <c r="V195" s="1127" t="e">
        <f t="shared" si="141"/>
        <v>#N/A</v>
      </c>
      <c r="W195" s="1127" t="e">
        <f>IF(F195="Offiho",J195,IF(_xlfn.XLOOKUP(F195,Proveedores!A$2:A$50,Proveedores!E$2:E$50,"")="Nacional",(J195/0.5)+(V195*H195),((J195/0.3/0.5)+(V195*H195))))</f>
        <v>#N/A</v>
      </c>
      <c r="X195" s="1127" t="e">
        <f t="shared" si="131"/>
        <v>#N/A</v>
      </c>
      <c r="Y195" s="1126" t="b">
        <f t="shared" si="132"/>
        <v>0</v>
      </c>
      <c r="Z195" s="43">
        <v>0</v>
      </c>
      <c r="AA195" s="1219" t="e">
        <f t="shared" si="142"/>
        <v>#N/A</v>
      </c>
      <c r="AB195" s="1219" t="e">
        <f t="shared" si="143"/>
        <v>#N/A</v>
      </c>
      <c r="AC195" s="1219" t="e">
        <f t="shared" si="133"/>
        <v>#N/A</v>
      </c>
      <c r="AD195" s="1126" t="e">
        <f t="shared" si="144"/>
        <v>#N/A</v>
      </c>
      <c r="AE195" s="1217" t="e">
        <f t="shared" si="134"/>
        <v>#N/A</v>
      </c>
      <c r="AF195" s="1220" t="e">
        <f t="shared" si="135"/>
        <v>#N/A</v>
      </c>
      <c r="AG195" s="1176" t="e">
        <f t="shared" si="136"/>
        <v>#N/A</v>
      </c>
      <c r="AH195" s="1221" t="e">
        <f t="shared" si="145"/>
        <v>#N/A</v>
      </c>
    </row>
    <row r="196" spans="1:34" ht="15.5">
      <c r="A196" s="1216" t="b">
        <f t="shared" si="124"/>
        <v>1</v>
      </c>
      <c r="B196" s="1217" t="b">
        <f t="shared" si="137"/>
        <v>1</v>
      </c>
      <c r="C196" s="1218" t="str">
        <f t="shared" si="138"/>
        <v>Dólares</v>
      </c>
      <c r="D196" s="44"/>
      <c r="E196" s="836"/>
      <c r="F196" s="50"/>
      <c r="G196" s="50" t="str">
        <f t="shared" si="125"/>
        <v xml:space="preserve"> </v>
      </c>
      <c r="H196" s="45">
        <v>0</v>
      </c>
      <c r="I196" s="49" t="str">
        <f>IFERROR(VLOOKUP(G196,Proveedores!B:C,2,0)," ")</f>
        <v xml:space="preserve"> </v>
      </c>
      <c r="J196" s="838">
        <v>0</v>
      </c>
      <c r="K196" s="1124"/>
      <c r="L196" s="1266">
        <f t="shared" si="126"/>
        <v>0</v>
      </c>
      <c r="M196" s="1267">
        <f t="shared" si="127"/>
        <v>0</v>
      </c>
      <c r="N196" s="1268">
        <f t="shared" si="146"/>
        <v>0</v>
      </c>
      <c r="O196" s="836" t="str">
        <f>IFERROR(VLOOKUP(G196,Proveedores!B:D,3,0)," ")</f>
        <v xml:space="preserve"> </v>
      </c>
      <c r="P196" s="836"/>
      <c r="Q196" s="1127" t="e">
        <f t="shared" si="128"/>
        <v>#N/A</v>
      </c>
      <c r="R196" s="1127" t="b">
        <f t="shared" si="139"/>
        <v>0</v>
      </c>
      <c r="S196" s="1127" t="e">
        <f t="shared" si="129"/>
        <v>#N/A</v>
      </c>
      <c r="T196" s="1127" t="b">
        <f t="shared" si="140"/>
        <v>0</v>
      </c>
      <c r="U196" s="1127" t="e">
        <f t="shared" si="130"/>
        <v>#N/A</v>
      </c>
      <c r="V196" s="1127" t="e">
        <f t="shared" si="141"/>
        <v>#N/A</v>
      </c>
      <c r="W196" s="1127" t="e">
        <f>IF(F196="Offiho",J196,IF(_xlfn.XLOOKUP(F196,Proveedores!A$2:A$50,Proveedores!E$2:E$50,"")="Nacional",(J196/0.5)+(V196*H196),((J196/0.3/0.5)+(V196*H196))))</f>
        <v>#N/A</v>
      </c>
      <c r="X196" s="1127" t="e">
        <f t="shared" si="131"/>
        <v>#N/A</v>
      </c>
      <c r="Y196" s="1126" t="b">
        <f t="shared" si="132"/>
        <v>0</v>
      </c>
      <c r="Z196" s="43">
        <v>0</v>
      </c>
      <c r="AA196" s="1219" t="e">
        <f t="shared" si="142"/>
        <v>#N/A</v>
      </c>
      <c r="AB196" s="1219" t="e">
        <f t="shared" si="143"/>
        <v>#N/A</v>
      </c>
      <c r="AC196" s="1219" t="e">
        <f t="shared" si="133"/>
        <v>#N/A</v>
      </c>
      <c r="AD196" s="1126" t="e">
        <f t="shared" si="144"/>
        <v>#N/A</v>
      </c>
      <c r="AE196" s="1217" t="e">
        <f t="shared" si="134"/>
        <v>#N/A</v>
      </c>
      <c r="AF196" s="1220" t="e">
        <f t="shared" si="135"/>
        <v>#N/A</v>
      </c>
      <c r="AG196" s="1176" t="e">
        <f t="shared" si="136"/>
        <v>#N/A</v>
      </c>
      <c r="AH196" s="1221" t="e">
        <f t="shared" si="145"/>
        <v>#N/A</v>
      </c>
    </row>
    <row r="197" spans="1:34" ht="15.5">
      <c r="A197" s="1216" t="b">
        <f t="shared" si="124"/>
        <v>1</v>
      </c>
      <c r="B197" s="1217" t="b">
        <f t="shared" si="137"/>
        <v>1</v>
      </c>
      <c r="C197" s="1218" t="str">
        <f t="shared" si="138"/>
        <v>Dólares</v>
      </c>
      <c r="D197" s="44"/>
      <c r="E197" s="836"/>
      <c r="F197" s="50"/>
      <c r="G197" s="50" t="str">
        <f t="shared" si="125"/>
        <v xml:space="preserve"> </v>
      </c>
      <c r="H197" s="45">
        <v>0</v>
      </c>
      <c r="I197" s="49" t="str">
        <f>IFERROR(VLOOKUP(G197,Proveedores!B:C,2,0)," ")</f>
        <v xml:space="preserve"> </v>
      </c>
      <c r="J197" s="838">
        <v>0</v>
      </c>
      <c r="K197" s="1124"/>
      <c r="L197" s="1266">
        <f t="shared" si="126"/>
        <v>0</v>
      </c>
      <c r="M197" s="1267">
        <f t="shared" si="127"/>
        <v>0</v>
      </c>
      <c r="N197" s="1268">
        <f t="shared" si="146"/>
        <v>0</v>
      </c>
      <c r="O197" s="836" t="str">
        <f>IFERROR(VLOOKUP(G197,Proveedores!B:D,3,0)," ")</f>
        <v xml:space="preserve"> </v>
      </c>
      <c r="P197" s="836"/>
      <c r="Q197" s="1127" t="e">
        <f t="shared" si="128"/>
        <v>#N/A</v>
      </c>
      <c r="R197" s="1127" t="b">
        <f t="shared" si="139"/>
        <v>0</v>
      </c>
      <c r="S197" s="1127" t="e">
        <f t="shared" si="129"/>
        <v>#N/A</v>
      </c>
      <c r="T197" s="1127" t="b">
        <f t="shared" si="140"/>
        <v>0</v>
      </c>
      <c r="U197" s="1127" t="e">
        <f t="shared" si="130"/>
        <v>#N/A</v>
      </c>
      <c r="V197" s="1127" t="e">
        <f t="shared" si="141"/>
        <v>#N/A</v>
      </c>
      <c r="W197" s="1127" t="e">
        <f>IF(F197="Offiho",J197,IF(_xlfn.XLOOKUP(F197,Proveedores!A$2:A$50,Proveedores!E$2:E$50,"")="Nacional",(J197/0.5)+(V197*H197),((J197/0.3/0.5)+(V197*H197))))</f>
        <v>#N/A</v>
      </c>
      <c r="X197" s="1127" t="e">
        <f t="shared" si="131"/>
        <v>#N/A</v>
      </c>
      <c r="Y197" s="1126" t="b">
        <f t="shared" si="132"/>
        <v>0</v>
      </c>
      <c r="Z197" s="43">
        <v>0</v>
      </c>
      <c r="AA197" s="1219" t="e">
        <f t="shared" si="142"/>
        <v>#N/A</v>
      </c>
      <c r="AB197" s="1219" t="e">
        <f t="shared" si="143"/>
        <v>#N/A</v>
      </c>
      <c r="AC197" s="1219" t="e">
        <f t="shared" si="133"/>
        <v>#N/A</v>
      </c>
      <c r="AD197" s="1126" t="e">
        <f t="shared" si="144"/>
        <v>#N/A</v>
      </c>
      <c r="AE197" s="1217" t="e">
        <f t="shared" si="134"/>
        <v>#N/A</v>
      </c>
      <c r="AF197" s="1220" t="e">
        <f t="shared" si="135"/>
        <v>#N/A</v>
      </c>
      <c r="AG197" s="1176" t="e">
        <f t="shared" si="136"/>
        <v>#N/A</v>
      </c>
      <c r="AH197" s="1221" t="e">
        <f t="shared" si="145"/>
        <v>#N/A</v>
      </c>
    </row>
    <row r="198" spans="1:34" ht="15.5">
      <c r="A198" s="1216" t="b">
        <f t="shared" si="124"/>
        <v>1</v>
      </c>
      <c r="B198" s="1217" t="b">
        <f t="shared" si="137"/>
        <v>1</v>
      </c>
      <c r="C198" s="1218" t="str">
        <f t="shared" si="138"/>
        <v>Dólares</v>
      </c>
      <c r="D198" s="44"/>
      <c r="E198" s="836"/>
      <c r="F198" s="50"/>
      <c r="G198" s="50" t="str">
        <f t="shared" si="125"/>
        <v xml:space="preserve"> </v>
      </c>
      <c r="H198" s="45">
        <v>0</v>
      </c>
      <c r="I198" s="49" t="str">
        <f>IFERROR(VLOOKUP(G198,Proveedores!B:C,2,0)," ")</f>
        <v xml:space="preserve"> </v>
      </c>
      <c r="J198" s="838">
        <v>0</v>
      </c>
      <c r="K198" s="1124"/>
      <c r="L198" s="1266">
        <f t="shared" si="126"/>
        <v>0</v>
      </c>
      <c r="M198" s="1267">
        <f t="shared" si="127"/>
        <v>0</v>
      </c>
      <c r="N198" s="1268">
        <f t="shared" si="146"/>
        <v>0</v>
      </c>
      <c r="O198" s="836" t="str">
        <f>IFERROR(VLOOKUP(G198,Proveedores!B:D,3,0)," ")</f>
        <v xml:space="preserve"> </v>
      </c>
      <c r="P198" s="836"/>
      <c r="Q198" s="1127" t="e">
        <f t="shared" si="128"/>
        <v>#N/A</v>
      </c>
      <c r="R198" s="1127" t="b">
        <f t="shared" si="139"/>
        <v>0</v>
      </c>
      <c r="S198" s="1127" t="e">
        <f t="shared" si="129"/>
        <v>#N/A</v>
      </c>
      <c r="T198" s="1127" t="b">
        <f t="shared" si="140"/>
        <v>0</v>
      </c>
      <c r="U198" s="1127" t="e">
        <f t="shared" si="130"/>
        <v>#N/A</v>
      </c>
      <c r="V198" s="1127" t="e">
        <f t="shared" si="141"/>
        <v>#N/A</v>
      </c>
      <c r="W198" s="1127" t="e">
        <f>IF(F198="Offiho",J198,IF(_xlfn.XLOOKUP(F198,Proveedores!A$2:A$50,Proveedores!E$2:E$50,"")="Nacional",(J198/0.5)+(V198*H198),((J198/0.3/0.5)+(V198*H198))))</f>
        <v>#N/A</v>
      </c>
      <c r="X198" s="1127" t="e">
        <f t="shared" si="131"/>
        <v>#N/A</v>
      </c>
      <c r="Y198" s="1126" t="b">
        <f t="shared" si="132"/>
        <v>0</v>
      </c>
      <c r="Z198" s="43">
        <v>0</v>
      </c>
      <c r="AA198" s="1219" t="e">
        <f t="shared" si="142"/>
        <v>#N/A</v>
      </c>
      <c r="AB198" s="1219" t="e">
        <f t="shared" si="143"/>
        <v>#N/A</v>
      </c>
      <c r="AC198" s="1219" t="e">
        <f t="shared" si="133"/>
        <v>#N/A</v>
      </c>
      <c r="AD198" s="1126" t="e">
        <f t="shared" si="144"/>
        <v>#N/A</v>
      </c>
      <c r="AE198" s="1217" t="e">
        <f t="shared" si="134"/>
        <v>#N/A</v>
      </c>
      <c r="AF198" s="1220" t="e">
        <f t="shared" si="135"/>
        <v>#N/A</v>
      </c>
      <c r="AG198" s="1176" t="e">
        <f t="shared" si="136"/>
        <v>#N/A</v>
      </c>
      <c r="AH198" s="1221" t="e">
        <f t="shared" si="145"/>
        <v>#N/A</v>
      </c>
    </row>
    <row r="199" spans="1:34" ht="15.5">
      <c r="A199" s="1216" t="b">
        <f t="shared" si="124"/>
        <v>1</v>
      </c>
      <c r="B199" s="1217" t="b">
        <f t="shared" si="137"/>
        <v>1</v>
      </c>
      <c r="C199" s="1218" t="str">
        <f t="shared" si="138"/>
        <v>Dólares</v>
      </c>
      <c r="D199" s="46"/>
      <c r="E199" s="836"/>
      <c r="F199" s="50"/>
      <c r="G199" s="50" t="str">
        <f t="shared" si="125"/>
        <v xml:space="preserve"> </v>
      </c>
      <c r="H199" s="45">
        <v>0</v>
      </c>
      <c r="I199" s="49" t="str">
        <f>IFERROR(VLOOKUP(G199,Proveedores!B:C,2,0)," ")</f>
        <v xml:space="preserve"> </v>
      </c>
      <c r="J199" s="838">
        <v>0</v>
      </c>
      <c r="K199" s="1124"/>
      <c r="L199" s="1266">
        <f t="shared" si="126"/>
        <v>0</v>
      </c>
      <c r="M199" s="1267">
        <f t="shared" si="127"/>
        <v>0</v>
      </c>
      <c r="N199" s="1268">
        <f t="shared" si="146"/>
        <v>0</v>
      </c>
      <c r="O199" s="836" t="str">
        <f>IFERROR(VLOOKUP(G199,Proveedores!B:D,3,0)," ")</f>
        <v xml:space="preserve"> </v>
      </c>
      <c r="P199" s="836"/>
      <c r="Q199" s="1127" t="e">
        <f t="shared" si="128"/>
        <v>#N/A</v>
      </c>
      <c r="R199" s="1127" t="b">
        <f t="shared" si="139"/>
        <v>0</v>
      </c>
      <c r="S199" s="1127" t="e">
        <f t="shared" si="129"/>
        <v>#N/A</v>
      </c>
      <c r="T199" s="1127" t="b">
        <f t="shared" si="140"/>
        <v>0</v>
      </c>
      <c r="U199" s="1127" t="e">
        <f t="shared" si="130"/>
        <v>#N/A</v>
      </c>
      <c r="V199" s="1127" t="e">
        <f t="shared" si="141"/>
        <v>#N/A</v>
      </c>
      <c r="W199" s="1127" t="e">
        <f>IF(F199="Offiho",J199,IF(_xlfn.XLOOKUP(F199,Proveedores!A$2:A$50,Proveedores!E$2:E$50,"")="Nacional",(J199/0.5)+(V199*H199),((J199/0.3/0.5)+(V199*H199))))</f>
        <v>#N/A</v>
      </c>
      <c r="X199" s="1127" t="e">
        <f t="shared" si="131"/>
        <v>#N/A</v>
      </c>
      <c r="Y199" s="1126" t="b">
        <f t="shared" si="132"/>
        <v>0</v>
      </c>
      <c r="Z199" s="43">
        <v>0</v>
      </c>
      <c r="AA199" s="1219" t="e">
        <f t="shared" si="142"/>
        <v>#N/A</v>
      </c>
      <c r="AB199" s="1219" t="e">
        <f t="shared" si="143"/>
        <v>#N/A</v>
      </c>
      <c r="AC199" s="1219" t="e">
        <f t="shared" si="133"/>
        <v>#N/A</v>
      </c>
      <c r="AD199" s="1126" t="e">
        <f t="shared" si="144"/>
        <v>#N/A</v>
      </c>
      <c r="AE199" s="1217" t="e">
        <f t="shared" si="134"/>
        <v>#N/A</v>
      </c>
      <c r="AF199" s="1220" t="e">
        <f t="shared" si="135"/>
        <v>#N/A</v>
      </c>
      <c r="AG199" s="1176" t="e">
        <f t="shared" si="136"/>
        <v>#N/A</v>
      </c>
      <c r="AH199" s="1221" t="e">
        <f t="shared" si="145"/>
        <v>#N/A</v>
      </c>
    </row>
    <row r="200" spans="1:34" ht="15.5">
      <c r="A200" s="1216" t="b">
        <f t="shared" si="124"/>
        <v>1</v>
      </c>
      <c r="B200" s="1217" t="b">
        <f t="shared" si="137"/>
        <v>1</v>
      </c>
      <c r="C200" s="1218" t="str">
        <f t="shared" si="138"/>
        <v>Dólares</v>
      </c>
      <c r="D200" s="46"/>
      <c r="E200" s="836"/>
      <c r="F200" s="50"/>
      <c r="G200" s="50" t="str">
        <f t="shared" si="125"/>
        <v xml:space="preserve"> </v>
      </c>
      <c r="H200" s="45">
        <v>0</v>
      </c>
      <c r="I200" s="49" t="str">
        <f>IFERROR(VLOOKUP(G200,Proveedores!B:C,2,0)," ")</f>
        <v xml:space="preserve"> </v>
      </c>
      <c r="J200" s="838">
        <v>0</v>
      </c>
      <c r="K200" s="1124"/>
      <c r="L200" s="1266">
        <f t="shared" si="126"/>
        <v>0</v>
      </c>
      <c r="M200" s="1267">
        <f t="shared" si="127"/>
        <v>0</v>
      </c>
      <c r="N200" s="1268">
        <f t="shared" si="146"/>
        <v>0</v>
      </c>
      <c r="O200" s="836" t="str">
        <f>IFERROR(VLOOKUP(G200,Proveedores!B:D,3,0)," ")</f>
        <v xml:space="preserve"> </v>
      </c>
      <c r="P200" s="836"/>
      <c r="Q200" s="1127" t="e">
        <f t="shared" si="128"/>
        <v>#N/A</v>
      </c>
      <c r="R200" s="1127" t="b">
        <f t="shared" si="139"/>
        <v>0</v>
      </c>
      <c r="S200" s="1127" t="e">
        <f t="shared" si="129"/>
        <v>#N/A</v>
      </c>
      <c r="T200" s="1127" t="b">
        <f t="shared" si="140"/>
        <v>0</v>
      </c>
      <c r="U200" s="1127" t="e">
        <f t="shared" si="130"/>
        <v>#N/A</v>
      </c>
      <c r="V200" s="1127" t="e">
        <f t="shared" si="141"/>
        <v>#N/A</v>
      </c>
      <c r="W200" s="1127" t="e">
        <f>IF(F200="Offiho",J200,IF(_xlfn.XLOOKUP(F200,Proveedores!A$2:A$50,Proveedores!E$2:E$50,"")="Nacional",(J200/0.5)+(V200*H200),((J200/0.3/0.5)+(V200*H200))))</f>
        <v>#N/A</v>
      </c>
      <c r="X200" s="1127" t="e">
        <f t="shared" si="131"/>
        <v>#N/A</v>
      </c>
      <c r="Y200" s="1126" t="b">
        <f t="shared" si="132"/>
        <v>0</v>
      </c>
      <c r="Z200" s="43">
        <v>0</v>
      </c>
      <c r="AA200" s="1219" t="e">
        <f t="shared" si="142"/>
        <v>#N/A</v>
      </c>
      <c r="AB200" s="1219" t="e">
        <f t="shared" si="143"/>
        <v>#N/A</v>
      </c>
      <c r="AC200" s="1219" t="e">
        <f t="shared" si="133"/>
        <v>#N/A</v>
      </c>
      <c r="AD200" s="1126" t="e">
        <f t="shared" si="144"/>
        <v>#N/A</v>
      </c>
      <c r="AE200" s="1217" t="e">
        <f t="shared" si="134"/>
        <v>#N/A</v>
      </c>
      <c r="AF200" s="1220" t="e">
        <f t="shared" si="135"/>
        <v>#N/A</v>
      </c>
      <c r="AG200" s="1176" t="e">
        <f t="shared" si="136"/>
        <v>#N/A</v>
      </c>
      <c r="AH200" s="1221" t="e">
        <f t="shared" si="145"/>
        <v>#N/A</v>
      </c>
    </row>
    <row r="201" spans="1:34" ht="15.5">
      <c r="A201" s="1216" t="b">
        <f t="shared" si="124"/>
        <v>1</v>
      </c>
      <c r="B201" s="1217" t="b">
        <f t="shared" si="137"/>
        <v>1</v>
      </c>
      <c r="C201" s="1218" t="str">
        <f t="shared" si="138"/>
        <v>Dólares</v>
      </c>
      <c r="D201" s="46"/>
      <c r="E201" s="836"/>
      <c r="F201" s="50"/>
      <c r="G201" s="50" t="str">
        <f t="shared" si="125"/>
        <v xml:space="preserve"> </v>
      </c>
      <c r="H201" s="45">
        <v>0</v>
      </c>
      <c r="I201" s="49" t="str">
        <f>IFERROR(VLOOKUP(G201,Proveedores!B:C,2,0)," ")</f>
        <v xml:space="preserve"> </v>
      </c>
      <c r="J201" s="838">
        <v>0</v>
      </c>
      <c r="K201" s="1124"/>
      <c r="L201" s="1266">
        <f t="shared" si="126"/>
        <v>0</v>
      </c>
      <c r="M201" s="1267">
        <f t="shared" si="127"/>
        <v>0</v>
      </c>
      <c r="N201" s="1268">
        <f t="shared" si="146"/>
        <v>0</v>
      </c>
      <c r="O201" s="836" t="str">
        <f>IFERROR(VLOOKUP(G201,Proveedores!B:D,3,0)," ")</f>
        <v xml:space="preserve"> </v>
      </c>
      <c r="P201" s="836"/>
      <c r="Q201" s="1127" t="e">
        <f t="shared" si="128"/>
        <v>#N/A</v>
      </c>
      <c r="R201" s="1127" t="b">
        <f t="shared" si="139"/>
        <v>0</v>
      </c>
      <c r="S201" s="1127" t="e">
        <f t="shared" si="129"/>
        <v>#N/A</v>
      </c>
      <c r="T201" s="1127" t="b">
        <f t="shared" si="140"/>
        <v>0</v>
      </c>
      <c r="U201" s="1127" t="e">
        <f t="shared" si="130"/>
        <v>#N/A</v>
      </c>
      <c r="V201" s="1127" t="e">
        <f t="shared" si="141"/>
        <v>#N/A</v>
      </c>
      <c r="W201" s="1127" t="e">
        <f>IF(F201="Offiho",J201,IF(_xlfn.XLOOKUP(F201,Proveedores!A$2:A$50,Proveedores!E$2:E$50,"")="Nacional",(J201/0.5)+(V201*H201),((J201/0.3/0.5)+(V201*H201))))</f>
        <v>#N/A</v>
      </c>
      <c r="X201" s="1127" t="e">
        <f t="shared" si="131"/>
        <v>#N/A</v>
      </c>
      <c r="Y201" s="1126" t="b">
        <f t="shared" si="132"/>
        <v>0</v>
      </c>
      <c r="Z201" s="43">
        <v>0</v>
      </c>
      <c r="AA201" s="1219" t="e">
        <f t="shared" si="142"/>
        <v>#N/A</v>
      </c>
      <c r="AB201" s="1219" t="e">
        <f t="shared" si="143"/>
        <v>#N/A</v>
      </c>
      <c r="AC201" s="1219" t="e">
        <f t="shared" si="133"/>
        <v>#N/A</v>
      </c>
      <c r="AD201" s="1126" t="e">
        <f t="shared" si="144"/>
        <v>#N/A</v>
      </c>
      <c r="AE201" s="1217" t="e">
        <f t="shared" si="134"/>
        <v>#N/A</v>
      </c>
      <c r="AF201" s="1220" t="e">
        <f t="shared" si="135"/>
        <v>#N/A</v>
      </c>
      <c r="AG201" s="1176" t="e">
        <f t="shared" si="136"/>
        <v>#N/A</v>
      </c>
      <c r="AH201" s="1221" t="e">
        <f t="shared" si="145"/>
        <v>#N/A</v>
      </c>
    </row>
    <row r="202" spans="1:34" ht="15.5">
      <c r="A202" s="1216" t="b">
        <f t="shared" si="124"/>
        <v>1</v>
      </c>
      <c r="B202" s="1217" t="b">
        <f t="shared" si="137"/>
        <v>1</v>
      </c>
      <c r="C202" s="1218" t="str">
        <f t="shared" si="138"/>
        <v>Dólares</v>
      </c>
      <c r="D202" s="46"/>
      <c r="E202" s="836"/>
      <c r="F202" s="50"/>
      <c r="G202" s="50" t="str">
        <f t="shared" si="125"/>
        <v xml:space="preserve"> </v>
      </c>
      <c r="H202" s="45">
        <v>0</v>
      </c>
      <c r="I202" s="49" t="str">
        <f>IFERROR(VLOOKUP(G202,Proveedores!B:C,2,0)," ")</f>
        <v xml:space="preserve"> </v>
      </c>
      <c r="J202" s="838">
        <v>0</v>
      </c>
      <c r="K202" s="1124"/>
      <c r="L202" s="1266">
        <f t="shared" si="126"/>
        <v>0</v>
      </c>
      <c r="M202" s="1267">
        <f t="shared" si="127"/>
        <v>0</v>
      </c>
      <c r="N202" s="1268">
        <f t="shared" si="146"/>
        <v>0</v>
      </c>
      <c r="O202" s="836" t="str">
        <f>IFERROR(VLOOKUP(G202,Proveedores!B:D,3,0)," ")</f>
        <v xml:space="preserve"> </v>
      </c>
      <c r="P202" s="836"/>
      <c r="Q202" s="1127" t="e">
        <f t="shared" si="128"/>
        <v>#N/A</v>
      </c>
      <c r="R202" s="1127" t="b">
        <f t="shared" si="139"/>
        <v>0</v>
      </c>
      <c r="S202" s="1127" t="e">
        <f t="shared" si="129"/>
        <v>#N/A</v>
      </c>
      <c r="T202" s="1127" t="b">
        <f t="shared" si="140"/>
        <v>0</v>
      </c>
      <c r="U202" s="1127" t="e">
        <f t="shared" si="130"/>
        <v>#N/A</v>
      </c>
      <c r="V202" s="1127" t="e">
        <f t="shared" si="141"/>
        <v>#N/A</v>
      </c>
      <c r="W202" s="1127" t="e">
        <f>IF(F202="Offiho",J202,IF(_xlfn.XLOOKUP(F202,Proveedores!A$2:A$50,Proveedores!E$2:E$50,"")="Nacional",(J202/0.5)+(V202*H202),((J202/0.3/0.5)+(V202*H202))))</f>
        <v>#N/A</v>
      </c>
      <c r="X202" s="1127" t="e">
        <f t="shared" si="131"/>
        <v>#N/A</v>
      </c>
      <c r="Y202" s="1126" t="b">
        <f t="shared" si="132"/>
        <v>0</v>
      </c>
      <c r="Z202" s="43">
        <v>0</v>
      </c>
      <c r="AA202" s="1219" t="e">
        <f t="shared" si="142"/>
        <v>#N/A</v>
      </c>
      <c r="AB202" s="1219" t="e">
        <f t="shared" si="143"/>
        <v>#N/A</v>
      </c>
      <c r="AC202" s="1219" t="e">
        <f t="shared" si="133"/>
        <v>#N/A</v>
      </c>
      <c r="AD202" s="1126" t="e">
        <f t="shared" si="144"/>
        <v>#N/A</v>
      </c>
      <c r="AE202" s="1217" t="e">
        <f t="shared" si="134"/>
        <v>#N/A</v>
      </c>
      <c r="AF202" s="1220" t="e">
        <f t="shared" si="135"/>
        <v>#N/A</v>
      </c>
      <c r="AG202" s="1176" t="e">
        <f t="shared" si="136"/>
        <v>#N/A</v>
      </c>
      <c r="AH202" s="1221" t="e">
        <f t="shared" si="145"/>
        <v>#N/A</v>
      </c>
    </row>
    <row r="203" spans="1:34" ht="15.5">
      <c r="A203" s="1216" t="b">
        <f t="shared" si="124"/>
        <v>1</v>
      </c>
      <c r="B203" s="1217" t="b">
        <f t="shared" si="137"/>
        <v>1</v>
      </c>
      <c r="C203" s="1218" t="str">
        <f t="shared" si="138"/>
        <v>Dólares</v>
      </c>
      <c r="D203" s="46"/>
      <c r="E203" s="836"/>
      <c r="F203" s="50"/>
      <c r="G203" s="50" t="str">
        <f t="shared" si="125"/>
        <v xml:space="preserve"> </v>
      </c>
      <c r="H203" s="45">
        <v>0</v>
      </c>
      <c r="I203" s="49" t="str">
        <f>IFERROR(VLOOKUP(G203,Proveedores!B:C,2,0)," ")</f>
        <v xml:space="preserve"> </v>
      </c>
      <c r="J203" s="838">
        <v>0</v>
      </c>
      <c r="K203" s="1124"/>
      <c r="L203" s="1266">
        <f t="shared" si="126"/>
        <v>0</v>
      </c>
      <c r="M203" s="1267">
        <f t="shared" si="127"/>
        <v>0</v>
      </c>
      <c r="N203" s="1268">
        <f t="shared" si="146"/>
        <v>0</v>
      </c>
      <c r="O203" s="836" t="str">
        <f>IFERROR(VLOOKUP(G203,Proveedores!B:D,3,0)," ")</f>
        <v xml:space="preserve"> </v>
      </c>
      <c r="P203" s="836"/>
      <c r="Q203" s="1127" t="e">
        <f t="shared" si="128"/>
        <v>#N/A</v>
      </c>
      <c r="R203" s="1127" t="b">
        <f t="shared" si="139"/>
        <v>0</v>
      </c>
      <c r="S203" s="1127" t="e">
        <f t="shared" si="129"/>
        <v>#N/A</v>
      </c>
      <c r="T203" s="1127" t="b">
        <f t="shared" si="140"/>
        <v>0</v>
      </c>
      <c r="U203" s="1127" t="e">
        <f t="shared" si="130"/>
        <v>#N/A</v>
      </c>
      <c r="V203" s="1127" t="e">
        <f t="shared" si="141"/>
        <v>#N/A</v>
      </c>
      <c r="W203" s="1127" t="e">
        <f>IF(F203="Offiho",J203,IF(_xlfn.XLOOKUP(F203,Proveedores!A$2:A$50,Proveedores!E$2:E$50,"")="Nacional",(J203/0.5)+(V203*H203),((J203/0.3/0.5)+(V203*H203))))</f>
        <v>#N/A</v>
      </c>
      <c r="X203" s="1127" t="e">
        <f t="shared" si="131"/>
        <v>#N/A</v>
      </c>
      <c r="Y203" s="1126" t="b">
        <f t="shared" si="132"/>
        <v>0</v>
      </c>
      <c r="Z203" s="43">
        <v>0</v>
      </c>
      <c r="AA203" s="1219" t="e">
        <f t="shared" si="142"/>
        <v>#N/A</v>
      </c>
      <c r="AB203" s="1219" t="e">
        <f t="shared" si="143"/>
        <v>#N/A</v>
      </c>
      <c r="AC203" s="1219" t="e">
        <f t="shared" si="133"/>
        <v>#N/A</v>
      </c>
      <c r="AD203" s="1126" t="e">
        <f t="shared" si="144"/>
        <v>#N/A</v>
      </c>
      <c r="AE203" s="1217" t="e">
        <f t="shared" si="134"/>
        <v>#N/A</v>
      </c>
      <c r="AF203" s="1220" t="e">
        <f t="shared" si="135"/>
        <v>#N/A</v>
      </c>
      <c r="AG203" s="1176" t="e">
        <f t="shared" si="136"/>
        <v>#N/A</v>
      </c>
      <c r="AH203" s="1221" t="e">
        <f t="shared" si="145"/>
        <v>#N/A</v>
      </c>
    </row>
    <row r="204" spans="1:34" ht="15.5">
      <c r="A204" s="1216" t="b">
        <f t="shared" si="124"/>
        <v>1</v>
      </c>
      <c r="B204" s="1217" t="b">
        <f t="shared" si="137"/>
        <v>1</v>
      </c>
      <c r="C204" s="1218" t="str">
        <f t="shared" si="138"/>
        <v>Dólares</v>
      </c>
      <c r="D204" s="46"/>
      <c r="E204" s="836"/>
      <c r="F204" s="50"/>
      <c r="G204" s="50" t="str">
        <f t="shared" si="125"/>
        <v xml:space="preserve"> </v>
      </c>
      <c r="H204" s="45">
        <v>0</v>
      </c>
      <c r="I204" s="49" t="str">
        <f>IFERROR(VLOOKUP(G204,Proveedores!B:C,2,0)," ")</f>
        <v xml:space="preserve"> </v>
      </c>
      <c r="J204" s="838">
        <v>0</v>
      </c>
      <c r="K204" s="1124"/>
      <c r="L204" s="1266">
        <f t="shared" si="126"/>
        <v>0</v>
      </c>
      <c r="M204" s="1267">
        <f t="shared" si="127"/>
        <v>0</v>
      </c>
      <c r="N204" s="1268">
        <f t="shared" si="146"/>
        <v>0</v>
      </c>
      <c r="O204" s="836" t="str">
        <f>IFERROR(VLOOKUP(G204,Proveedores!B:D,3,0)," ")</f>
        <v xml:space="preserve"> </v>
      </c>
      <c r="P204" s="836"/>
      <c r="Q204" s="1127" t="e">
        <f t="shared" si="128"/>
        <v>#N/A</v>
      </c>
      <c r="R204" s="1127" t="b">
        <f t="shared" si="139"/>
        <v>0</v>
      </c>
      <c r="S204" s="1127" t="e">
        <f t="shared" si="129"/>
        <v>#N/A</v>
      </c>
      <c r="T204" s="1127" t="b">
        <f t="shared" si="140"/>
        <v>0</v>
      </c>
      <c r="U204" s="1127" t="e">
        <f t="shared" si="130"/>
        <v>#N/A</v>
      </c>
      <c r="V204" s="1127" t="e">
        <f t="shared" si="141"/>
        <v>#N/A</v>
      </c>
      <c r="W204" s="1127" t="e">
        <f>IF(F204="Offiho",J204,IF(_xlfn.XLOOKUP(F204,Proveedores!A$2:A$50,Proveedores!E$2:E$50,"")="Nacional",(J204/0.5)+(V204*H204),((J204/0.3/0.5)+(V204*H204))))</f>
        <v>#N/A</v>
      </c>
      <c r="X204" s="1127" t="e">
        <f t="shared" si="131"/>
        <v>#N/A</v>
      </c>
      <c r="Y204" s="1126" t="b">
        <f t="shared" si="132"/>
        <v>0</v>
      </c>
      <c r="Z204" s="43">
        <v>0</v>
      </c>
      <c r="AA204" s="1219" t="e">
        <f t="shared" si="142"/>
        <v>#N/A</v>
      </c>
      <c r="AB204" s="1219" t="e">
        <f t="shared" si="143"/>
        <v>#N/A</v>
      </c>
      <c r="AC204" s="1219" t="e">
        <f t="shared" si="133"/>
        <v>#N/A</v>
      </c>
      <c r="AD204" s="1126" t="e">
        <f t="shared" si="144"/>
        <v>#N/A</v>
      </c>
      <c r="AE204" s="1217" t="e">
        <f t="shared" si="134"/>
        <v>#N/A</v>
      </c>
      <c r="AF204" s="1220" t="e">
        <f t="shared" si="135"/>
        <v>#N/A</v>
      </c>
      <c r="AG204" s="1176" t="e">
        <f t="shared" si="136"/>
        <v>#N/A</v>
      </c>
      <c r="AH204" s="1221" t="e">
        <f t="shared" si="145"/>
        <v>#N/A</v>
      </c>
    </row>
    <row r="205" spans="1:34" ht="15.5">
      <c r="A205" s="1216" t="b">
        <f t="shared" si="124"/>
        <v>1</v>
      </c>
      <c r="B205" s="1217" t="b">
        <f t="shared" si="137"/>
        <v>1</v>
      </c>
      <c r="C205" s="1218" t="str">
        <f t="shared" si="138"/>
        <v>Dólares</v>
      </c>
      <c r="D205" s="46"/>
      <c r="E205" s="836"/>
      <c r="F205" s="50"/>
      <c r="G205" s="50" t="str">
        <f t="shared" si="125"/>
        <v xml:space="preserve"> </v>
      </c>
      <c r="H205" s="45">
        <v>0</v>
      </c>
      <c r="I205" s="49" t="str">
        <f>IFERROR(VLOOKUP(G205,Proveedores!B:C,2,0)," ")</f>
        <v xml:space="preserve"> </v>
      </c>
      <c r="J205" s="838">
        <v>0</v>
      </c>
      <c r="K205" s="1124"/>
      <c r="L205" s="1266">
        <f t="shared" si="126"/>
        <v>0</v>
      </c>
      <c r="M205" s="1267">
        <f t="shared" si="127"/>
        <v>0</v>
      </c>
      <c r="N205" s="1268">
        <f t="shared" si="146"/>
        <v>0</v>
      </c>
      <c r="O205" s="836" t="str">
        <f>IFERROR(VLOOKUP(G205,Proveedores!B:D,3,0)," ")</f>
        <v xml:space="preserve"> </v>
      </c>
      <c r="P205" s="836"/>
      <c r="Q205" s="1127" t="e">
        <f t="shared" si="128"/>
        <v>#N/A</v>
      </c>
      <c r="R205" s="1127" t="b">
        <f t="shared" si="139"/>
        <v>0</v>
      </c>
      <c r="S205" s="1127" t="e">
        <f t="shared" si="129"/>
        <v>#N/A</v>
      </c>
      <c r="T205" s="1127" t="b">
        <f t="shared" si="140"/>
        <v>0</v>
      </c>
      <c r="U205" s="1127" t="e">
        <f t="shared" si="130"/>
        <v>#N/A</v>
      </c>
      <c r="V205" s="1127" t="e">
        <f t="shared" si="141"/>
        <v>#N/A</v>
      </c>
      <c r="W205" s="1127" t="e">
        <f>IF(F205="Offiho",J205,IF(_xlfn.XLOOKUP(F205,Proveedores!A$2:A$50,Proveedores!E$2:E$50,"")="Nacional",(J205/0.5)+(V205*H205),((J205/0.3/0.5)+(V205*H205))))</f>
        <v>#N/A</v>
      </c>
      <c r="X205" s="1127" t="e">
        <f t="shared" si="131"/>
        <v>#N/A</v>
      </c>
      <c r="Y205" s="1126" t="b">
        <f t="shared" si="132"/>
        <v>0</v>
      </c>
      <c r="Z205" s="43">
        <v>0</v>
      </c>
      <c r="AA205" s="1219" t="e">
        <f t="shared" si="142"/>
        <v>#N/A</v>
      </c>
      <c r="AB205" s="1219" t="e">
        <f t="shared" si="143"/>
        <v>#N/A</v>
      </c>
      <c r="AC205" s="1219" t="e">
        <f t="shared" si="133"/>
        <v>#N/A</v>
      </c>
      <c r="AD205" s="1126" t="e">
        <f t="shared" si="144"/>
        <v>#N/A</v>
      </c>
      <c r="AE205" s="1217" t="e">
        <f t="shared" si="134"/>
        <v>#N/A</v>
      </c>
      <c r="AF205" s="1220" t="e">
        <f t="shared" si="135"/>
        <v>#N/A</v>
      </c>
      <c r="AG205" s="1176" t="e">
        <f t="shared" si="136"/>
        <v>#N/A</v>
      </c>
      <c r="AH205" s="1221" t="e">
        <f t="shared" si="145"/>
        <v>#N/A</v>
      </c>
    </row>
    <row r="206" spans="1:34" ht="15.5">
      <c r="A206" s="1216" t="b">
        <f t="shared" si="124"/>
        <v>1</v>
      </c>
      <c r="B206" s="1217" t="b">
        <f t="shared" si="137"/>
        <v>1</v>
      </c>
      <c r="C206" s="1218" t="str">
        <f t="shared" si="138"/>
        <v>Dólares</v>
      </c>
      <c r="D206" s="47"/>
      <c r="E206" s="836"/>
      <c r="F206" s="50"/>
      <c r="G206" s="50" t="str">
        <f t="shared" si="125"/>
        <v xml:space="preserve"> </v>
      </c>
      <c r="H206" s="45">
        <v>0</v>
      </c>
      <c r="I206" s="49" t="str">
        <f>IFERROR(VLOOKUP(G206,Proveedores!B:C,2,0)," ")</f>
        <v xml:space="preserve"> </v>
      </c>
      <c r="J206" s="838">
        <v>0</v>
      </c>
      <c r="K206" s="1124"/>
      <c r="L206" s="1266">
        <f t="shared" si="126"/>
        <v>0</v>
      </c>
      <c r="M206" s="1267">
        <f t="shared" si="127"/>
        <v>0</v>
      </c>
      <c r="N206" s="1268">
        <f t="shared" si="146"/>
        <v>0</v>
      </c>
      <c r="O206" s="836" t="str">
        <f>IFERROR(VLOOKUP(G206,Proveedores!B:D,3,0)," ")</f>
        <v xml:space="preserve"> </v>
      </c>
      <c r="P206" s="836"/>
      <c r="Q206" s="1127" t="e">
        <f t="shared" si="128"/>
        <v>#N/A</v>
      </c>
      <c r="R206" s="1127" t="b">
        <f t="shared" si="139"/>
        <v>0</v>
      </c>
      <c r="S206" s="1127" t="e">
        <f t="shared" si="129"/>
        <v>#N/A</v>
      </c>
      <c r="T206" s="1127" t="b">
        <f t="shared" si="140"/>
        <v>0</v>
      </c>
      <c r="U206" s="1127" t="e">
        <f t="shared" si="130"/>
        <v>#N/A</v>
      </c>
      <c r="V206" s="1127" t="e">
        <f t="shared" si="141"/>
        <v>#N/A</v>
      </c>
      <c r="W206" s="1127" t="e">
        <f>IF(F206="Offiho",J206,IF(_xlfn.XLOOKUP(F206,Proveedores!A$2:A$50,Proveedores!E$2:E$50,"")="Nacional",(J206/0.5)+(V206*H206),((J206/0.3/0.5)+(V206*H206))))</f>
        <v>#N/A</v>
      </c>
      <c r="X206" s="1127" t="e">
        <f t="shared" si="131"/>
        <v>#N/A</v>
      </c>
      <c r="Y206" s="1126" t="b">
        <f t="shared" si="132"/>
        <v>0</v>
      </c>
      <c r="Z206" s="43">
        <v>0</v>
      </c>
      <c r="AA206" s="1219" t="e">
        <f t="shared" si="142"/>
        <v>#N/A</v>
      </c>
      <c r="AB206" s="1219" t="e">
        <f t="shared" si="143"/>
        <v>#N/A</v>
      </c>
      <c r="AC206" s="1219" t="e">
        <f t="shared" si="133"/>
        <v>#N/A</v>
      </c>
      <c r="AD206" s="1126" t="e">
        <f t="shared" si="144"/>
        <v>#N/A</v>
      </c>
      <c r="AE206" s="1217" t="e">
        <f t="shared" si="134"/>
        <v>#N/A</v>
      </c>
      <c r="AF206" s="1220" t="e">
        <f t="shared" si="135"/>
        <v>#N/A</v>
      </c>
      <c r="AG206" s="1176" t="e">
        <f t="shared" si="136"/>
        <v>#N/A</v>
      </c>
      <c r="AH206" s="1221" t="e">
        <f t="shared" si="145"/>
        <v>#N/A</v>
      </c>
    </row>
    <row r="207" spans="1:34" ht="15.5">
      <c r="A207" s="1216" t="b">
        <f t="shared" si="124"/>
        <v>1</v>
      </c>
      <c r="B207" s="1217" t="b">
        <f t="shared" si="137"/>
        <v>1</v>
      </c>
      <c r="C207" s="1218" t="str">
        <f t="shared" si="138"/>
        <v>Dólares</v>
      </c>
      <c r="D207" s="48"/>
      <c r="E207" s="836"/>
      <c r="F207" s="50"/>
      <c r="G207" s="50" t="str">
        <f t="shared" si="125"/>
        <v xml:space="preserve"> </v>
      </c>
      <c r="H207" s="45">
        <v>0</v>
      </c>
      <c r="I207" s="49" t="str">
        <f>IFERROR(VLOOKUP(G207,Proveedores!B:C,2,0)," ")</f>
        <v xml:space="preserve"> </v>
      </c>
      <c r="J207" s="838">
        <v>0</v>
      </c>
      <c r="K207" s="1124"/>
      <c r="L207" s="1266">
        <f t="shared" si="126"/>
        <v>0</v>
      </c>
      <c r="M207" s="1267">
        <f t="shared" si="127"/>
        <v>0</v>
      </c>
      <c r="N207" s="1268">
        <f t="shared" si="146"/>
        <v>0</v>
      </c>
      <c r="O207" s="836" t="str">
        <f>IFERROR(VLOOKUP(G207,Proveedores!B:D,3,0)," ")</f>
        <v xml:space="preserve"> </v>
      </c>
      <c r="P207" s="836"/>
      <c r="Q207" s="1127" t="e">
        <f t="shared" si="128"/>
        <v>#N/A</v>
      </c>
      <c r="R207" s="1127" t="b">
        <f t="shared" si="139"/>
        <v>0</v>
      </c>
      <c r="S207" s="1127" t="e">
        <f t="shared" si="129"/>
        <v>#N/A</v>
      </c>
      <c r="T207" s="1127" t="b">
        <f t="shared" si="140"/>
        <v>0</v>
      </c>
      <c r="U207" s="1127" t="e">
        <f t="shared" si="130"/>
        <v>#N/A</v>
      </c>
      <c r="V207" s="1127" t="e">
        <f t="shared" si="141"/>
        <v>#N/A</v>
      </c>
      <c r="W207" s="1127" t="e">
        <f>IF(F207="Offiho",J207,IF(_xlfn.XLOOKUP(F207,Proveedores!A$2:A$50,Proveedores!E$2:E$50,"")="Nacional",(J207/0.5)+(V207*H207),((J207/0.3/0.5)+(V207*H207))))</f>
        <v>#N/A</v>
      </c>
      <c r="X207" s="1127" t="e">
        <f t="shared" si="131"/>
        <v>#N/A</v>
      </c>
      <c r="Y207" s="1126" t="b">
        <f t="shared" si="132"/>
        <v>0</v>
      </c>
      <c r="Z207" s="43">
        <v>0</v>
      </c>
      <c r="AA207" s="1219" t="e">
        <f t="shared" si="142"/>
        <v>#N/A</v>
      </c>
      <c r="AB207" s="1219" t="e">
        <f t="shared" si="143"/>
        <v>#N/A</v>
      </c>
      <c r="AC207" s="1219" t="e">
        <f t="shared" si="133"/>
        <v>#N/A</v>
      </c>
      <c r="AD207" s="1126" t="e">
        <f t="shared" si="144"/>
        <v>#N/A</v>
      </c>
      <c r="AE207" s="1217" t="e">
        <f t="shared" si="134"/>
        <v>#N/A</v>
      </c>
      <c r="AF207" s="1220" t="e">
        <f t="shared" si="135"/>
        <v>#N/A</v>
      </c>
      <c r="AG207" s="1176" t="e">
        <f t="shared" si="136"/>
        <v>#N/A</v>
      </c>
      <c r="AH207" s="1221" t="e">
        <f t="shared" si="145"/>
        <v>#N/A</v>
      </c>
    </row>
    <row r="208" spans="1:34" ht="15.5">
      <c r="A208" s="1216" t="b">
        <f t="shared" si="124"/>
        <v>1</v>
      </c>
      <c r="B208" s="1217" t="b">
        <f t="shared" si="137"/>
        <v>1</v>
      </c>
      <c r="C208" s="1218" t="str">
        <f t="shared" si="138"/>
        <v>Dólares</v>
      </c>
      <c r="D208" s="48"/>
      <c r="E208" s="836"/>
      <c r="F208" s="50"/>
      <c r="G208" s="50" t="str">
        <f t="shared" si="125"/>
        <v xml:space="preserve"> </v>
      </c>
      <c r="H208" s="45">
        <v>0</v>
      </c>
      <c r="I208" s="49" t="str">
        <f>IFERROR(VLOOKUP(G208,Proveedores!B:C,2,0)," ")</f>
        <v xml:space="preserve"> </v>
      </c>
      <c r="J208" s="838">
        <v>0</v>
      </c>
      <c r="K208" s="1124"/>
      <c r="L208" s="1266">
        <f t="shared" si="126"/>
        <v>0</v>
      </c>
      <c r="M208" s="1267">
        <f t="shared" si="127"/>
        <v>0</v>
      </c>
      <c r="N208" s="1268">
        <f t="shared" si="146"/>
        <v>0</v>
      </c>
      <c r="O208" s="836" t="str">
        <f>IFERROR(VLOOKUP(G208,Proveedores!B:D,3,0)," ")</f>
        <v xml:space="preserve"> </v>
      </c>
      <c r="P208" s="836"/>
      <c r="Q208" s="1127" t="e">
        <f t="shared" si="128"/>
        <v>#N/A</v>
      </c>
      <c r="R208" s="1127" t="b">
        <f t="shared" si="139"/>
        <v>0</v>
      </c>
      <c r="S208" s="1127" t="e">
        <f t="shared" si="129"/>
        <v>#N/A</v>
      </c>
      <c r="T208" s="1127" t="b">
        <f t="shared" si="140"/>
        <v>0</v>
      </c>
      <c r="U208" s="1127" t="e">
        <f t="shared" si="130"/>
        <v>#N/A</v>
      </c>
      <c r="V208" s="1127" t="e">
        <f t="shared" si="141"/>
        <v>#N/A</v>
      </c>
      <c r="W208" s="1127" t="e">
        <f>IF(F208="Offiho",J208,IF(_xlfn.XLOOKUP(F208,Proveedores!A$2:A$50,Proveedores!E$2:E$50,"")="Nacional",(J208/0.5)+(V208*H208),((J208/0.3/0.5)+(V208*H208))))</f>
        <v>#N/A</v>
      </c>
      <c r="X208" s="1127" t="e">
        <f t="shared" si="131"/>
        <v>#N/A</v>
      </c>
      <c r="Y208" s="1126" t="b">
        <f t="shared" si="132"/>
        <v>0</v>
      </c>
      <c r="Z208" s="43">
        <v>0</v>
      </c>
      <c r="AA208" s="1219" t="e">
        <f t="shared" si="142"/>
        <v>#N/A</v>
      </c>
      <c r="AB208" s="1219" t="e">
        <f t="shared" si="143"/>
        <v>#N/A</v>
      </c>
      <c r="AC208" s="1219" t="e">
        <f t="shared" si="133"/>
        <v>#N/A</v>
      </c>
      <c r="AD208" s="1126" t="e">
        <f t="shared" si="144"/>
        <v>#N/A</v>
      </c>
      <c r="AE208" s="1217" t="e">
        <f t="shared" si="134"/>
        <v>#N/A</v>
      </c>
      <c r="AF208" s="1220" t="e">
        <f t="shared" si="135"/>
        <v>#N/A</v>
      </c>
      <c r="AG208" s="1176" t="e">
        <f t="shared" si="136"/>
        <v>#N/A</v>
      </c>
      <c r="AH208" s="1221" t="e">
        <f t="shared" si="145"/>
        <v>#N/A</v>
      </c>
    </row>
    <row r="209" spans="1:34" ht="15.5">
      <c r="A209" s="1216" t="b">
        <f t="shared" si="124"/>
        <v>1</v>
      </c>
      <c r="B209" s="1217" t="b">
        <f t="shared" si="137"/>
        <v>1</v>
      </c>
      <c r="C209" s="1218" t="str">
        <f t="shared" si="138"/>
        <v>Dólares</v>
      </c>
      <c r="D209" s="48"/>
      <c r="E209" s="836"/>
      <c r="F209" s="50"/>
      <c r="G209" s="50" t="str">
        <f t="shared" si="125"/>
        <v xml:space="preserve"> </v>
      </c>
      <c r="H209" s="45">
        <v>0</v>
      </c>
      <c r="I209" s="49" t="str">
        <f>IFERROR(VLOOKUP(G209,Proveedores!B:C,2,0)," ")</f>
        <v xml:space="preserve"> </v>
      </c>
      <c r="J209" s="838">
        <v>0</v>
      </c>
      <c r="K209" s="1124"/>
      <c r="L209" s="1266">
        <f t="shared" si="126"/>
        <v>0</v>
      </c>
      <c r="M209" s="1267">
        <f t="shared" si="127"/>
        <v>0</v>
      </c>
      <c r="N209" s="1268">
        <f t="shared" si="146"/>
        <v>0</v>
      </c>
      <c r="O209" s="836" t="str">
        <f>IFERROR(VLOOKUP(G209,Proveedores!B:D,3,0)," ")</f>
        <v xml:space="preserve"> </v>
      </c>
      <c r="P209" s="836"/>
      <c r="Q209" s="1127" t="e">
        <f t="shared" si="128"/>
        <v>#N/A</v>
      </c>
      <c r="R209" s="1127" t="b">
        <f t="shared" si="139"/>
        <v>0</v>
      </c>
      <c r="S209" s="1127" t="e">
        <f t="shared" si="129"/>
        <v>#N/A</v>
      </c>
      <c r="T209" s="1127" t="b">
        <f t="shared" si="140"/>
        <v>0</v>
      </c>
      <c r="U209" s="1127" t="e">
        <f t="shared" si="130"/>
        <v>#N/A</v>
      </c>
      <c r="V209" s="1127" t="e">
        <f t="shared" si="141"/>
        <v>#N/A</v>
      </c>
      <c r="W209" s="1127" t="e">
        <f>IF(F209="Offiho",J209,IF(_xlfn.XLOOKUP(F209,Proveedores!A$2:A$50,Proveedores!E$2:E$50,"")="Nacional",(J209/0.5)+(V209*H209),((J209/0.3/0.5)+(V209*H209))))</f>
        <v>#N/A</v>
      </c>
      <c r="X209" s="1127" t="e">
        <f t="shared" si="131"/>
        <v>#N/A</v>
      </c>
      <c r="Y209" s="1126" t="b">
        <f t="shared" si="132"/>
        <v>0</v>
      </c>
      <c r="Z209" s="43">
        <v>0</v>
      </c>
      <c r="AA209" s="1219" t="e">
        <f t="shared" si="142"/>
        <v>#N/A</v>
      </c>
      <c r="AB209" s="1219" t="e">
        <f t="shared" si="143"/>
        <v>#N/A</v>
      </c>
      <c r="AC209" s="1219" t="e">
        <f t="shared" si="133"/>
        <v>#N/A</v>
      </c>
      <c r="AD209" s="1126" t="e">
        <f t="shared" si="144"/>
        <v>#N/A</v>
      </c>
      <c r="AE209" s="1217" t="e">
        <f t="shared" si="134"/>
        <v>#N/A</v>
      </c>
      <c r="AF209" s="1220" t="e">
        <f t="shared" si="135"/>
        <v>#N/A</v>
      </c>
      <c r="AG209" s="1176" t="e">
        <f t="shared" si="136"/>
        <v>#N/A</v>
      </c>
      <c r="AH209" s="1221" t="e">
        <f t="shared" si="145"/>
        <v>#N/A</v>
      </c>
    </row>
    <row r="210" spans="1:34" ht="15.5">
      <c r="A210" s="1216" t="b">
        <f t="shared" si="124"/>
        <v>1</v>
      </c>
      <c r="B210" s="1217" t="b">
        <f t="shared" si="137"/>
        <v>1</v>
      </c>
      <c r="C210" s="1218" t="str">
        <f t="shared" si="138"/>
        <v>Dólares</v>
      </c>
      <c r="D210" s="48"/>
      <c r="E210" s="836"/>
      <c r="F210" s="50"/>
      <c r="G210" s="50" t="str">
        <f t="shared" si="125"/>
        <v xml:space="preserve"> </v>
      </c>
      <c r="H210" s="45">
        <v>0</v>
      </c>
      <c r="I210" s="49" t="str">
        <f>IFERROR(VLOOKUP(G210,Proveedores!B:C,2,0)," ")</f>
        <v xml:space="preserve"> </v>
      </c>
      <c r="J210" s="838">
        <v>0</v>
      </c>
      <c r="K210" s="1124"/>
      <c r="L210" s="1266">
        <f t="shared" si="126"/>
        <v>0</v>
      </c>
      <c r="M210" s="1267">
        <f t="shared" si="127"/>
        <v>0</v>
      </c>
      <c r="N210" s="1268">
        <f t="shared" si="146"/>
        <v>0</v>
      </c>
      <c r="O210" s="836" t="str">
        <f>IFERROR(VLOOKUP(G210,Proveedores!B:D,3,0)," ")</f>
        <v xml:space="preserve"> </v>
      </c>
      <c r="P210" s="836"/>
      <c r="Q210" s="1127" t="e">
        <f t="shared" si="128"/>
        <v>#N/A</v>
      </c>
      <c r="R210" s="1127" t="b">
        <f t="shared" si="139"/>
        <v>0</v>
      </c>
      <c r="S210" s="1127" t="e">
        <f t="shared" si="129"/>
        <v>#N/A</v>
      </c>
      <c r="T210" s="1127" t="b">
        <f t="shared" si="140"/>
        <v>0</v>
      </c>
      <c r="U210" s="1127" t="e">
        <f t="shared" si="130"/>
        <v>#N/A</v>
      </c>
      <c r="V210" s="1127" t="e">
        <f t="shared" si="141"/>
        <v>#N/A</v>
      </c>
      <c r="W210" s="1127" t="e">
        <f>IF(F210="Offiho",J210,IF(_xlfn.XLOOKUP(F210,Proveedores!A$2:A$50,Proveedores!E$2:E$50,"")="Nacional",(J210/0.5)+(V210*H210),((J210/0.3/0.5)+(V210*H210))))</f>
        <v>#N/A</v>
      </c>
      <c r="X210" s="1127" t="e">
        <f t="shared" si="131"/>
        <v>#N/A</v>
      </c>
      <c r="Y210" s="1126" t="b">
        <f t="shared" si="132"/>
        <v>0</v>
      </c>
      <c r="Z210" s="43">
        <v>0</v>
      </c>
      <c r="AA210" s="1219" t="e">
        <f t="shared" si="142"/>
        <v>#N/A</v>
      </c>
      <c r="AB210" s="1219" t="e">
        <f t="shared" si="143"/>
        <v>#N/A</v>
      </c>
      <c r="AC210" s="1219" t="e">
        <f t="shared" si="133"/>
        <v>#N/A</v>
      </c>
      <c r="AD210" s="1126" t="e">
        <f t="shared" si="144"/>
        <v>#N/A</v>
      </c>
      <c r="AE210" s="1217" t="e">
        <f t="shared" si="134"/>
        <v>#N/A</v>
      </c>
      <c r="AF210" s="1220" t="e">
        <f t="shared" si="135"/>
        <v>#N/A</v>
      </c>
      <c r="AG210" s="1176" t="e">
        <f t="shared" si="136"/>
        <v>#N/A</v>
      </c>
      <c r="AH210" s="1221" t="e">
        <f t="shared" si="145"/>
        <v>#N/A</v>
      </c>
    </row>
    <row r="211" spans="1:34" ht="15.5">
      <c r="A211" s="1216" t="b">
        <f t="shared" si="124"/>
        <v>1</v>
      </c>
      <c r="B211" s="1217" t="b">
        <f t="shared" si="137"/>
        <v>1</v>
      </c>
      <c r="C211" s="1218" t="str">
        <f t="shared" si="138"/>
        <v>Dólares</v>
      </c>
      <c r="D211" s="47"/>
      <c r="E211" s="836"/>
      <c r="F211" s="50"/>
      <c r="G211" s="50" t="str">
        <f t="shared" si="125"/>
        <v xml:space="preserve"> </v>
      </c>
      <c r="H211" s="45">
        <v>0</v>
      </c>
      <c r="I211" s="49" t="str">
        <f>IFERROR(VLOOKUP(G211,Proveedores!B:C,2,0)," ")</f>
        <v xml:space="preserve"> </v>
      </c>
      <c r="J211" s="838">
        <v>0</v>
      </c>
      <c r="K211" s="1124"/>
      <c r="L211" s="1266">
        <f t="shared" si="126"/>
        <v>0</v>
      </c>
      <c r="M211" s="1267">
        <f t="shared" si="127"/>
        <v>0</v>
      </c>
      <c r="N211" s="1268">
        <f t="shared" si="146"/>
        <v>0</v>
      </c>
      <c r="O211" s="836" t="str">
        <f>IFERROR(VLOOKUP(G211,Proveedores!B:D,3,0)," ")</f>
        <v xml:space="preserve"> </v>
      </c>
      <c r="P211" s="836"/>
      <c r="Q211" s="1127" t="e">
        <f t="shared" si="128"/>
        <v>#N/A</v>
      </c>
      <c r="R211" s="1127" t="b">
        <f t="shared" si="139"/>
        <v>0</v>
      </c>
      <c r="S211" s="1127" t="e">
        <f t="shared" si="129"/>
        <v>#N/A</v>
      </c>
      <c r="T211" s="1127" t="b">
        <f t="shared" si="140"/>
        <v>0</v>
      </c>
      <c r="U211" s="1127" t="e">
        <f t="shared" si="130"/>
        <v>#N/A</v>
      </c>
      <c r="V211" s="1127" t="e">
        <f t="shared" si="141"/>
        <v>#N/A</v>
      </c>
      <c r="W211" s="1127" t="e">
        <f>IF(F211="Offiho",J211,IF(_xlfn.XLOOKUP(F211,Proveedores!A$2:A$50,Proveedores!E$2:E$50,"")="Nacional",(J211/0.5)+(V211*H211),((J211/0.3/0.5)+(V211*H211))))</f>
        <v>#N/A</v>
      </c>
      <c r="X211" s="1127" t="e">
        <f t="shared" si="131"/>
        <v>#N/A</v>
      </c>
      <c r="Y211" s="1126" t="b">
        <f t="shared" si="132"/>
        <v>0</v>
      </c>
      <c r="Z211" s="43">
        <v>0</v>
      </c>
      <c r="AA211" s="1219" t="e">
        <f t="shared" si="142"/>
        <v>#N/A</v>
      </c>
      <c r="AB211" s="1219" t="e">
        <f t="shared" si="143"/>
        <v>#N/A</v>
      </c>
      <c r="AC211" s="1219" t="e">
        <f t="shared" si="133"/>
        <v>#N/A</v>
      </c>
      <c r="AD211" s="1126" t="e">
        <f t="shared" si="144"/>
        <v>#N/A</v>
      </c>
      <c r="AE211" s="1217" t="e">
        <f t="shared" si="134"/>
        <v>#N/A</v>
      </c>
      <c r="AF211" s="1220" t="e">
        <f t="shared" si="135"/>
        <v>#N/A</v>
      </c>
      <c r="AG211" s="1176" t="e">
        <f t="shared" si="136"/>
        <v>#N/A</v>
      </c>
      <c r="AH211" s="1221" t="e">
        <f t="shared" si="145"/>
        <v>#N/A</v>
      </c>
    </row>
    <row r="212" spans="1:34" ht="15.5">
      <c r="A212" s="1216" t="b">
        <f t="shared" si="124"/>
        <v>1</v>
      </c>
      <c r="B212" s="1217" t="b">
        <f t="shared" si="137"/>
        <v>1</v>
      </c>
      <c r="C212" s="1218" t="str">
        <f t="shared" si="138"/>
        <v>Dólares</v>
      </c>
      <c r="D212" s="47"/>
      <c r="E212" s="836"/>
      <c r="F212" s="50"/>
      <c r="G212" s="50" t="str">
        <f t="shared" si="125"/>
        <v xml:space="preserve"> </v>
      </c>
      <c r="H212" s="45">
        <v>0</v>
      </c>
      <c r="I212" s="49" t="str">
        <f>IFERROR(VLOOKUP(G212,Proveedores!B:C,2,0)," ")</f>
        <v xml:space="preserve"> </v>
      </c>
      <c r="J212" s="838">
        <v>0</v>
      </c>
      <c r="K212" s="1124"/>
      <c r="L212" s="1266">
        <f t="shared" si="126"/>
        <v>0</v>
      </c>
      <c r="M212" s="1267">
        <f t="shared" si="127"/>
        <v>0</v>
      </c>
      <c r="N212" s="1268">
        <f t="shared" si="146"/>
        <v>0</v>
      </c>
      <c r="O212" s="836" t="str">
        <f>IFERROR(VLOOKUP(G212,Proveedores!B:D,3,0)," ")</f>
        <v xml:space="preserve"> </v>
      </c>
      <c r="P212" s="836"/>
      <c r="Q212" s="1127" t="e">
        <f t="shared" si="128"/>
        <v>#N/A</v>
      </c>
      <c r="R212" s="1127" t="b">
        <f t="shared" si="139"/>
        <v>0</v>
      </c>
      <c r="S212" s="1127" t="e">
        <f t="shared" si="129"/>
        <v>#N/A</v>
      </c>
      <c r="T212" s="1127" t="b">
        <f t="shared" si="140"/>
        <v>0</v>
      </c>
      <c r="U212" s="1127" t="e">
        <f t="shared" si="130"/>
        <v>#N/A</v>
      </c>
      <c r="V212" s="1127" t="e">
        <f t="shared" si="141"/>
        <v>#N/A</v>
      </c>
      <c r="W212" s="1127" t="e">
        <f>IF(F212="Offiho",J212,IF(_xlfn.XLOOKUP(F212,Proveedores!A$2:A$50,Proveedores!E$2:E$50,"")="Nacional",(J212/0.5)+(V212*H212),((J212/0.3/0.5)+(V212*H212))))</f>
        <v>#N/A</v>
      </c>
      <c r="X212" s="1127" t="e">
        <f t="shared" si="131"/>
        <v>#N/A</v>
      </c>
      <c r="Y212" s="1126" t="b">
        <f t="shared" si="132"/>
        <v>0</v>
      </c>
      <c r="Z212" s="43">
        <v>0</v>
      </c>
      <c r="AA212" s="1219" t="e">
        <f t="shared" si="142"/>
        <v>#N/A</v>
      </c>
      <c r="AB212" s="1219" t="e">
        <f t="shared" si="143"/>
        <v>#N/A</v>
      </c>
      <c r="AC212" s="1219" t="e">
        <f t="shared" si="133"/>
        <v>#N/A</v>
      </c>
      <c r="AD212" s="1126" t="e">
        <f t="shared" si="144"/>
        <v>#N/A</v>
      </c>
      <c r="AE212" s="1217" t="e">
        <f t="shared" si="134"/>
        <v>#N/A</v>
      </c>
      <c r="AF212" s="1220" t="e">
        <f t="shared" si="135"/>
        <v>#N/A</v>
      </c>
      <c r="AG212" s="1176" t="e">
        <f t="shared" si="136"/>
        <v>#N/A</v>
      </c>
      <c r="AH212" s="1221" t="e">
        <f t="shared" si="145"/>
        <v>#N/A</v>
      </c>
    </row>
    <row r="213" spans="1:34" ht="15.5">
      <c r="A213" s="1216" t="b">
        <f t="shared" si="124"/>
        <v>1</v>
      </c>
      <c r="B213" s="1217" t="b">
        <f t="shared" si="137"/>
        <v>1</v>
      </c>
      <c r="C213" s="1218" t="str">
        <f t="shared" si="138"/>
        <v>Dólares</v>
      </c>
      <c r="D213" s="47"/>
      <c r="E213" s="836"/>
      <c r="F213" s="50"/>
      <c r="G213" s="50" t="str">
        <f t="shared" si="125"/>
        <v xml:space="preserve"> </v>
      </c>
      <c r="H213" s="45">
        <v>0</v>
      </c>
      <c r="I213" s="49" t="str">
        <f>IFERROR(VLOOKUP(G213,Proveedores!B:C,2,0)," ")</f>
        <v xml:space="preserve"> </v>
      </c>
      <c r="J213" s="838">
        <v>0</v>
      </c>
      <c r="K213" s="1124"/>
      <c r="L213" s="1266">
        <f t="shared" si="126"/>
        <v>0</v>
      </c>
      <c r="M213" s="1267">
        <f t="shared" si="127"/>
        <v>0</v>
      </c>
      <c r="N213" s="1268">
        <f t="shared" si="146"/>
        <v>0</v>
      </c>
      <c r="O213" s="836" t="str">
        <f>IFERROR(VLOOKUP(G213,Proveedores!B:D,3,0)," ")</f>
        <v xml:space="preserve"> </v>
      </c>
      <c r="P213" s="836"/>
      <c r="Q213" s="1127" t="e">
        <f t="shared" si="128"/>
        <v>#N/A</v>
      </c>
      <c r="R213" s="1127" t="b">
        <f t="shared" si="139"/>
        <v>0</v>
      </c>
      <c r="S213" s="1127" t="e">
        <f t="shared" si="129"/>
        <v>#N/A</v>
      </c>
      <c r="T213" s="1127" t="b">
        <f t="shared" si="140"/>
        <v>0</v>
      </c>
      <c r="U213" s="1127" t="e">
        <f t="shared" si="130"/>
        <v>#N/A</v>
      </c>
      <c r="V213" s="1127" t="e">
        <f t="shared" si="141"/>
        <v>#N/A</v>
      </c>
      <c r="W213" s="1127" t="e">
        <f>IF(F213="Offiho",J213,IF(_xlfn.XLOOKUP(F213,Proveedores!A$2:A$50,Proveedores!E$2:E$50,"")="Nacional",(J213/0.5)+(V213*H213),((J213/0.3/0.5)+(V213*H213))))</f>
        <v>#N/A</v>
      </c>
      <c r="X213" s="1127" t="e">
        <f t="shared" si="131"/>
        <v>#N/A</v>
      </c>
      <c r="Y213" s="1126" t="b">
        <f t="shared" si="132"/>
        <v>0</v>
      </c>
      <c r="Z213" s="43">
        <v>0</v>
      </c>
      <c r="AA213" s="1219" t="e">
        <f t="shared" si="142"/>
        <v>#N/A</v>
      </c>
      <c r="AB213" s="1219" t="e">
        <f t="shared" si="143"/>
        <v>#N/A</v>
      </c>
      <c r="AC213" s="1219" t="e">
        <f t="shared" si="133"/>
        <v>#N/A</v>
      </c>
      <c r="AD213" s="1126" t="e">
        <f t="shared" si="144"/>
        <v>#N/A</v>
      </c>
      <c r="AE213" s="1217" t="e">
        <f t="shared" si="134"/>
        <v>#N/A</v>
      </c>
      <c r="AF213" s="1220" t="e">
        <f t="shared" si="135"/>
        <v>#N/A</v>
      </c>
      <c r="AG213" s="1176" t="e">
        <f t="shared" si="136"/>
        <v>#N/A</v>
      </c>
      <c r="AH213" s="1221" t="e">
        <f t="shared" si="145"/>
        <v>#N/A</v>
      </c>
    </row>
    <row r="214" spans="1:34" ht="15.5">
      <c r="A214" s="1216" t="b">
        <f t="shared" si="124"/>
        <v>1</v>
      </c>
      <c r="B214" s="1217" t="b">
        <f t="shared" si="137"/>
        <v>1</v>
      </c>
      <c r="C214" s="1218" t="str">
        <f t="shared" si="138"/>
        <v>Dólares</v>
      </c>
      <c r="D214" s="48"/>
      <c r="E214" s="836"/>
      <c r="F214" s="50"/>
      <c r="G214" s="50" t="str">
        <f t="shared" si="125"/>
        <v xml:space="preserve"> </v>
      </c>
      <c r="H214" s="45">
        <v>0</v>
      </c>
      <c r="I214" s="49" t="str">
        <f>IFERROR(VLOOKUP(G214,Proveedores!B:C,2,0)," ")</f>
        <v xml:space="preserve"> </v>
      </c>
      <c r="J214" s="838">
        <v>0</v>
      </c>
      <c r="K214" s="1124"/>
      <c r="L214" s="1266">
        <f t="shared" si="126"/>
        <v>0</v>
      </c>
      <c r="M214" s="1267">
        <f t="shared" si="127"/>
        <v>0</v>
      </c>
      <c r="N214" s="1268">
        <f t="shared" si="146"/>
        <v>0</v>
      </c>
      <c r="O214" s="836" t="str">
        <f>IFERROR(VLOOKUP(G214,Proveedores!B:D,3,0)," ")</f>
        <v xml:space="preserve"> </v>
      </c>
      <c r="P214" s="836"/>
      <c r="Q214" s="1127" t="e">
        <f t="shared" si="128"/>
        <v>#N/A</v>
      </c>
      <c r="R214" s="1127" t="b">
        <f t="shared" si="139"/>
        <v>0</v>
      </c>
      <c r="S214" s="1127" t="e">
        <f t="shared" si="129"/>
        <v>#N/A</v>
      </c>
      <c r="T214" s="1127" t="b">
        <f t="shared" si="140"/>
        <v>0</v>
      </c>
      <c r="U214" s="1127" t="e">
        <f t="shared" si="130"/>
        <v>#N/A</v>
      </c>
      <c r="V214" s="1127" t="e">
        <f t="shared" si="141"/>
        <v>#N/A</v>
      </c>
      <c r="W214" s="1127" t="e">
        <f>IF(F214="Offiho",J214,IF(_xlfn.XLOOKUP(F214,Proveedores!A$2:A$50,Proveedores!E$2:E$50,"")="Nacional",(J214/0.5)+(V214*H214),((J214/0.3/0.5)+(V214*H214))))</f>
        <v>#N/A</v>
      </c>
      <c r="X214" s="1127" t="e">
        <f t="shared" si="131"/>
        <v>#N/A</v>
      </c>
      <c r="Y214" s="1126" t="b">
        <f t="shared" si="132"/>
        <v>0</v>
      </c>
      <c r="Z214" s="43">
        <v>0</v>
      </c>
      <c r="AA214" s="1219" t="e">
        <f t="shared" si="142"/>
        <v>#N/A</v>
      </c>
      <c r="AB214" s="1219" t="e">
        <f t="shared" si="143"/>
        <v>#N/A</v>
      </c>
      <c r="AC214" s="1219" t="e">
        <f t="shared" si="133"/>
        <v>#N/A</v>
      </c>
      <c r="AD214" s="1126" t="e">
        <f t="shared" si="144"/>
        <v>#N/A</v>
      </c>
      <c r="AE214" s="1217" t="e">
        <f t="shared" si="134"/>
        <v>#N/A</v>
      </c>
      <c r="AF214" s="1220" t="e">
        <f t="shared" si="135"/>
        <v>#N/A</v>
      </c>
      <c r="AG214" s="1176" t="e">
        <f t="shared" si="136"/>
        <v>#N/A</v>
      </c>
      <c r="AH214" s="1221" t="e">
        <f t="shared" si="145"/>
        <v>#N/A</v>
      </c>
    </row>
    <row r="215" spans="1:34" ht="15.5">
      <c r="A215" s="1216" t="b">
        <f t="shared" si="124"/>
        <v>1</v>
      </c>
      <c r="B215" s="1217" t="b">
        <f t="shared" si="137"/>
        <v>1</v>
      </c>
      <c r="C215" s="1218" t="str">
        <f t="shared" si="138"/>
        <v>Dólares</v>
      </c>
      <c r="D215" s="48"/>
      <c r="E215" s="836"/>
      <c r="F215" s="50"/>
      <c r="G215" s="50" t="str">
        <f t="shared" si="125"/>
        <v xml:space="preserve"> </v>
      </c>
      <c r="H215" s="45">
        <v>0</v>
      </c>
      <c r="I215" s="49" t="str">
        <f>IFERROR(VLOOKUP(G215,Proveedores!B:C,2,0)," ")</f>
        <v xml:space="preserve"> </v>
      </c>
      <c r="J215" s="838">
        <v>0</v>
      </c>
      <c r="K215" s="1124"/>
      <c r="L215" s="1266">
        <f t="shared" si="126"/>
        <v>0</v>
      </c>
      <c r="M215" s="1267">
        <f t="shared" si="127"/>
        <v>0</v>
      </c>
      <c r="N215" s="1268">
        <f t="shared" si="146"/>
        <v>0</v>
      </c>
      <c r="O215" s="836" t="str">
        <f>IFERROR(VLOOKUP(G215,Proveedores!B:D,3,0)," ")</f>
        <v xml:space="preserve"> </v>
      </c>
      <c r="P215" s="836"/>
      <c r="Q215" s="1127" t="e">
        <f t="shared" si="128"/>
        <v>#N/A</v>
      </c>
      <c r="R215" s="1127" t="b">
        <f t="shared" si="139"/>
        <v>0</v>
      </c>
      <c r="S215" s="1127" t="e">
        <f t="shared" si="129"/>
        <v>#N/A</v>
      </c>
      <c r="T215" s="1127" t="b">
        <f t="shared" si="140"/>
        <v>0</v>
      </c>
      <c r="U215" s="1127" t="e">
        <f t="shared" si="130"/>
        <v>#N/A</v>
      </c>
      <c r="V215" s="1127" t="e">
        <f t="shared" si="141"/>
        <v>#N/A</v>
      </c>
      <c r="W215" s="1127" t="e">
        <f>IF(F215="Offiho",J215,IF(_xlfn.XLOOKUP(F215,Proveedores!A$2:A$50,Proveedores!E$2:E$50,"")="Nacional",(J215/0.5)+(V215*H215),((J215/0.3/0.5)+(V215*H215))))</f>
        <v>#N/A</v>
      </c>
      <c r="X215" s="1127" t="e">
        <f t="shared" si="131"/>
        <v>#N/A</v>
      </c>
      <c r="Y215" s="1126" t="b">
        <f t="shared" si="132"/>
        <v>0</v>
      </c>
      <c r="Z215" s="43">
        <v>0</v>
      </c>
      <c r="AA215" s="1219" t="e">
        <f t="shared" si="142"/>
        <v>#N/A</v>
      </c>
      <c r="AB215" s="1219" t="e">
        <f t="shared" si="143"/>
        <v>#N/A</v>
      </c>
      <c r="AC215" s="1219" t="e">
        <f t="shared" si="133"/>
        <v>#N/A</v>
      </c>
      <c r="AD215" s="1126" t="e">
        <f t="shared" si="144"/>
        <v>#N/A</v>
      </c>
      <c r="AE215" s="1217" t="e">
        <f t="shared" si="134"/>
        <v>#N/A</v>
      </c>
      <c r="AF215" s="1220" t="e">
        <f t="shared" si="135"/>
        <v>#N/A</v>
      </c>
      <c r="AG215" s="1176" t="e">
        <f t="shared" si="136"/>
        <v>#N/A</v>
      </c>
      <c r="AH215" s="1221" t="e">
        <f t="shared" si="145"/>
        <v>#N/A</v>
      </c>
    </row>
    <row r="216" spans="1:34" ht="15.5">
      <c r="A216" s="1216" t="b">
        <f t="shared" si="124"/>
        <v>1</v>
      </c>
      <c r="B216" s="1217" t="b">
        <f t="shared" si="137"/>
        <v>1</v>
      </c>
      <c r="C216" s="1218" t="str">
        <f t="shared" si="138"/>
        <v>Dólares</v>
      </c>
      <c r="D216" s="47"/>
      <c r="E216" s="836"/>
      <c r="F216" s="50"/>
      <c r="G216" s="50" t="str">
        <f t="shared" si="125"/>
        <v xml:space="preserve"> </v>
      </c>
      <c r="H216" s="45">
        <v>0</v>
      </c>
      <c r="I216" s="49" t="str">
        <f>IFERROR(VLOOKUP(G216,Proveedores!B:C,2,0)," ")</f>
        <v xml:space="preserve"> </v>
      </c>
      <c r="J216" s="838">
        <v>0</v>
      </c>
      <c r="K216" s="1124"/>
      <c r="L216" s="1266">
        <f t="shared" si="126"/>
        <v>0</v>
      </c>
      <c r="M216" s="1267">
        <f t="shared" si="127"/>
        <v>0</v>
      </c>
      <c r="N216" s="1268">
        <f t="shared" si="146"/>
        <v>0</v>
      </c>
      <c r="O216" s="836" t="str">
        <f>IFERROR(VLOOKUP(G216,Proveedores!B:D,3,0)," ")</f>
        <v xml:space="preserve"> </v>
      </c>
      <c r="P216" s="836"/>
      <c r="Q216" s="1127" t="e">
        <f t="shared" si="128"/>
        <v>#N/A</v>
      </c>
      <c r="R216" s="1127" t="b">
        <f t="shared" si="139"/>
        <v>0</v>
      </c>
      <c r="S216" s="1127" t="e">
        <f t="shared" si="129"/>
        <v>#N/A</v>
      </c>
      <c r="T216" s="1127" t="b">
        <f t="shared" si="140"/>
        <v>0</v>
      </c>
      <c r="U216" s="1127" t="e">
        <f t="shared" si="130"/>
        <v>#N/A</v>
      </c>
      <c r="V216" s="1127" t="e">
        <f t="shared" si="141"/>
        <v>#N/A</v>
      </c>
      <c r="W216" s="1127" t="e">
        <f>IF(F216="Offiho",J216,IF(_xlfn.XLOOKUP(F216,Proveedores!A$2:A$50,Proveedores!E$2:E$50,"")="Nacional",(J216/0.5)+(V216*H216),((J216/0.3/0.5)+(V216*H216))))</f>
        <v>#N/A</v>
      </c>
      <c r="X216" s="1127" t="e">
        <f t="shared" si="131"/>
        <v>#N/A</v>
      </c>
      <c r="Y216" s="1126" t="b">
        <f t="shared" si="132"/>
        <v>0</v>
      </c>
      <c r="Z216" s="43">
        <v>0</v>
      </c>
      <c r="AA216" s="1219" t="e">
        <f t="shared" si="142"/>
        <v>#N/A</v>
      </c>
      <c r="AB216" s="1219" t="e">
        <f t="shared" si="143"/>
        <v>#N/A</v>
      </c>
      <c r="AC216" s="1219" t="e">
        <f t="shared" si="133"/>
        <v>#N/A</v>
      </c>
      <c r="AD216" s="1126" t="e">
        <f t="shared" si="144"/>
        <v>#N/A</v>
      </c>
      <c r="AE216" s="1217" t="e">
        <f t="shared" si="134"/>
        <v>#N/A</v>
      </c>
      <c r="AF216" s="1220" t="e">
        <f t="shared" si="135"/>
        <v>#N/A</v>
      </c>
      <c r="AG216" s="1176" t="e">
        <f t="shared" si="136"/>
        <v>#N/A</v>
      </c>
      <c r="AH216" s="1221" t="e">
        <f t="shared" si="145"/>
        <v>#N/A</v>
      </c>
    </row>
    <row r="217" spans="1:34" ht="15.5">
      <c r="A217" s="1216" t="b">
        <f t="shared" si="124"/>
        <v>1</v>
      </c>
      <c r="B217" s="1217" t="b">
        <f t="shared" si="137"/>
        <v>1</v>
      </c>
      <c r="C217" s="1218" t="str">
        <f t="shared" si="138"/>
        <v>Dólares</v>
      </c>
      <c r="D217" s="47"/>
      <c r="E217" s="836"/>
      <c r="F217" s="50"/>
      <c r="G217" s="50" t="str">
        <f t="shared" si="125"/>
        <v xml:space="preserve"> </v>
      </c>
      <c r="H217" s="45">
        <v>0</v>
      </c>
      <c r="I217" s="49" t="str">
        <f>IFERROR(VLOOKUP(G217,Proveedores!B:C,2,0)," ")</f>
        <v xml:space="preserve"> </v>
      </c>
      <c r="J217" s="838">
        <v>0</v>
      </c>
      <c r="K217" s="1124"/>
      <c r="L217" s="1266">
        <f t="shared" si="126"/>
        <v>0</v>
      </c>
      <c r="M217" s="1267">
        <f t="shared" si="127"/>
        <v>0</v>
      </c>
      <c r="N217" s="1268">
        <f t="shared" si="146"/>
        <v>0</v>
      </c>
      <c r="O217" s="836" t="str">
        <f>IFERROR(VLOOKUP(G217,Proveedores!B:D,3,0)," ")</f>
        <v xml:space="preserve"> </v>
      </c>
      <c r="P217" s="836"/>
      <c r="Q217" s="1127" t="e">
        <f t="shared" si="128"/>
        <v>#N/A</v>
      </c>
      <c r="R217" s="1127" t="b">
        <f t="shared" si="139"/>
        <v>0</v>
      </c>
      <c r="S217" s="1127" t="e">
        <f t="shared" si="129"/>
        <v>#N/A</v>
      </c>
      <c r="T217" s="1127" t="b">
        <f t="shared" si="140"/>
        <v>0</v>
      </c>
      <c r="U217" s="1127" t="e">
        <f t="shared" si="130"/>
        <v>#N/A</v>
      </c>
      <c r="V217" s="1127" t="e">
        <f t="shared" si="141"/>
        <v>#N/A</v>
      </c>
      <c r="W217" s="1127" t="e">
        <f>IF(F217="Offiho",J217,IF(_xlfn.XLOOKUP(F217,Proveedores!A$2:A$50,Proveedores!E$2:E$50,"")="Nacional",(J217/0.5)+(V217*H217),((J217/0.3/0.5)+(V217*H217))))</f>
        <v>#N/A</v>
      </c>
      <c r="X217" s="1127" t="e">
        <f t="shared" si="131"/>
        <v>#N/A</v>
      </c>
      <c r="Y217" s="1126" t="b">
        <f t="shared" si="132"/>
        <v>0</v>
      </c>
      <c r="Z217" s="43">
        <v>0</v>
      </c>
      <c r="AA217" s="1219" t="e">
        <f t="shared" si="142"/>
        <v>#N/A</v>
      </c>
      <c r="AB217" s="1219" t="e">
        <f t="shared" si="143"/>
        <v>#N/A</v>
      </c>
      <c r="AC217" s="1219" t="e">
        <f t="shared" si="133"/>
        <v>#N/A</v>
      </c>
      <c r="AD217" s="1126" t="e">
        <f t="shared" si="144"/>
        <v>#N/A</v>
      </c>
      <c r="AE217" s="1217" t="e">
        <f t="shared" si="134"/>
        <v>#N/A</v>
      </c>
      <c r="AF217" s="1220" t="e">
        <f t="shared" si="135"/>
        <v>#N/A</v>
      </c>
      <c r="AG217" s="1176" t="e">
        <f t="shared" si="136"/>
        <v>#N/A</v>
      </c>
      <c r="AH217" s="1221" t="e">
        <f t="shared" si="145"/>
        <v>#N/A</v>
      </c>
    </row>
    <row r="218" spans="1:34" ht="15.5">
      <c r="A218" s="1216" t="b">
        <f t="shared" si="124"/>
        <v>1</v>
      </c>
      <c r="B218" s="1217" t="b">
        <f t="shared" si="137"/>
        <v>1</v>
      </c>
      <c r="C218" s="1218" t="str">
        <f t="shared" si="138"/>
        <v>Dólares</v>
      </c>
      <c r="D218" s="47"/>
      <c r="E218" s="836"/>
      <c r="F218" s="50"/>
      <c r="G218" s="50" t="str">
        <f t="shared" si="125"/>
        <v xml:space="preserve"> </v>
      </c>
      <c r="H218" s="45">
        <v>0</v>
      </c>
      <c r="I218" s="49" t="str">
        <f>IFERROR(VLOOKUP(G218,Proveedores!B:C,2,0)," ")</f>
        <v xml:space="preserve"> </v>
      </c>
      <c r="J218" s="838">
        <v>0</v>
      </c>
      <c r="K218" s="1124"/>
      <c r="L218" s="1266">
        <f t="shared" si="126"/>
        <v>0</v>
      </c>
      <c r="M218" s="1267">
        <f t="shared" si="127"/>
        <v>0</v>
      </c>
      <c r="N218" s="1268">
        <f t="shared" si="146"/>
        <v>0</v>
      </c>
      <c r="O218" s="836" t="str">
        <f>IFERROR(VLOOKUP(G218,Proveedores!B:D,3,0)," ")</f>
        <v xml:space="preserve"> </v>
      </c>
      <c r="P218" s="836"/>
      <c r="Q218" s="1127" t="e">
        <f t="shared" si="128"/>
        <v>#N/A</v>
      </c>
      <c r="R218" s="1127" t="b">
        <f t="shared" si="139"/>
        <v>0</v>
      </c>
      <c r="S218" s="1127" t="e">
        <f t="shared" si="129"/>
        <v>#N/A</v>
      </c>
      <c r="T218" s="1127" t="b">
        <f t="shared" si="140"/>
        <v>0</v>
      </c>
      <c r="U218" s="1127" t="e">
        <f t="shared" si="130"/>
        <v>#N/A</v>
      </c>
      <c r="V218" s="1127" t="e">
        <f t="shared" si="141"/>
        <v>#N/A</v>
      </c>
      <c r="W218" s="1127" t="e">
        <f>IF(F218="Offiho",J218,IF(_xlfn.XLOOKUP(F218,Proveedores!A$2:A$50,Proveedores!E$2:E$50,"")="Nacional",(J218/0.5)+(V218*H218),((J218/0.3/0.5)+(V218*H218))))</f>
        <v>#N/A</v>
      </c>
      <c r="X218" s="1127" t="e">
        <f t="shared" si="131"/>
        <v>#N/A</v>
      </c>
      <c r="Y218" s="1126" t="b">
        <f t="shared" si="132"/>
        <v>0</v>
      </c>
      <c r="Z218" s="43">
        <v>0</v>
      </c>
      <c r="AA218" s="1219" t="e">
        <f t="shared" si="142"/>
        <v>#N/A</v>
      </c>
      <c r="AB218" s="1219" t="e">
        <f t="shared" si="143"/>
        <v>#N/A</v>
      </c>
      <c r="AC218" s="1219" t="e">
        <f t="shared" si="133"/>
        <v>#N/A</v>
      </c>
      <c r="AD218" s="1126" t="e">
        <f t="shared" si="144"/>
        <v>#N/A</v>
      </c>
      <c r="AE218" s="1217" t="e">
        <f t="shared" si="134"/>
        <v>#N/A</v>
      </c>
      <c r="AF218" s="1220" t="e">
        <f t="shared" si="135"/>
        <v>#N/A</v>
      </c>
      <c r="AG218" s="1176" t="e">
        <f t="shared" si="136"/>
        <v>#N/A</v>
      </c>
      <c r="AH218" s="1221" t="e">
        <f t="shared" si="145"/>
        <v>#N/A</v>
      </c>
    </row>
    <row r="219" spans="1:34" ht="15.5">
      <c r="A219" s="1216" t="b">
        <f t="shared" si="124"/>
        <v>1</v>
      </c>
      <c r="B219" s="1217" t="b">
        <f t="shared" si="137"/>
        <v>1</v>
      </c>
      <c r="C219" s="1218" t="str">
        <f t="shared" si="138"/>
        <v>Dólares</v>
      </c>
      <c r="D219" s="47"/>
      <c r="E219" s="836"/>
      <c r="F219" s="50"/>
      <c r="G219" s="50" t="str">
        <f t="shared" si="125"/>
        <v xml:space="preserve"> </v>
      </c>
      <c r="H219" s="45">
        <v>0</v>
      </c>
      <c r="I219" s="49" t="str">
        <f>IFERROR(VLOOKUP(G219,Proveedores!B:C,2,0)," ")</f>
        <v xml:space="preserve"> </v>
      </c>
      <c r="J219" s="838">
        <v>0</v>
      </c>
      <c r="K219" s="1124"/>
      <c r="L219" s="1266">
        <f t="shared" si="126"/>
        <v>0</v>
      </c>
      <c r="M219" s="1267">
        <f t="shared" si="127"/>
        <v>0</v>
      </c>
      <c r="N219" s="1268">
        <f t="shared" si="146"/>
        <v>0</v>
      </c>
      <c r="O219" s="836" t="str">
        <f>IFERROR(VLOOKUP(G219,Proveedores!B:D,3,0)," ")</f>
        <v xml:space="preserve"> </v>
      </c>
      <c r="P219" s="836"/>
      <c r="Q219" s="1127" t="e">
        <f t="shared" si="128"/>
        <v>#N/A</v>
      </c>
      <c r="R219" s="1127" t="b">
        <f t="shared" si="139"/>
        <v>0</v>
      </c>
      <c r="S219" s="1127" t="e">
        <f t="shared" si="129"/>
        <v>#N/A</v>
      </c>
      <c r="T219" s="1127" t="b">
        <f t="shared" si="140"/>
        <v>0</v>
      </c>
      <c r="U219" s="1127" t="e">
        <f t="shared" si="130"/>
        <v>#N/A</v>
      </c>
      <c r="V219" s="1127" t="e">
        <f t="shared" si="141"/>
        <v>#N/A</v>
      </c>
      <c r="W219" s="1127" t="e">
        <f>IF(F219="Offiho",J219,IF(_xlfn.XLOOKUP(F219,Proveedores!A$2:A$50,Proveedores!E$2:E$50,"")="Nacional",(J219/0.5)+(V219*H219),((J219/0.3/0.5)+(V219*H219))))</f>
        <v>#N/A</v>
      </c>
      <c r="X219" s="1127" t="e">
        <f t="shared" si="131"/>
        <v>#N/A</v>
      </c>
      <c r="Y219" s="1126" t="b">
        <f t="shared" si="132"/>
        <v>0</v>
      </c>
      <c r="Z219" s="43">
        <v>0</v>
      </c>
      <c r="AA219" s="1219" t="e">
        <f t="shared" si="142"/>
        <v>#N/A</v>
      </c>
      <c r="AB219" s="1219" t="e">
        <f t="shared" si="143"/>
        <v>#N/A</v>
      </c>
      <c r="AC219" s="1219" t="e">
        <f t="shared" si="133"/>
        <v>#N/A</v>
      </c>
      <c r="AD219" s="1126" t="e">
        <f t="shared" si="144"/>
        <v>#N/A</v>
      </c>
      <c r="AE219" s="1217" t="e">
        <f t="shared" si="134"/>
        <v>#N/A</v>
      </c>
      <c r="AF219" s="1220" t="e">
        <f t="shared" si="135"/>
        <v>#N/A</v>
      </c>
      <c r="AG219" s="1176" t="e">
        <f t="shared" si="136"/>
        <v>#N/A</v>
      </c>
      <c r="AH219" s="1221" t="e">
        <f t="shared" si="145"/>
        <v>#N/A</v>
      </c>
    </row>
    <row r="220" spans="1:34" ht="15.5">
      <c r="A220" s="1216" t="b">
        <f t="shared" si="124"/>
        <v>1</v>
      </c>
      <c r="B220" s="1217" t="b">
        <f t="shared" si="137"/>
        <v>1</v>
      </c>
      <c r="C220" s="1218" t="str">
        <f t="shared" si="138"/>
        <v>Dólares</v>
      </c>
      <c r="D220" s="47"/>
      <c r="E220" s="836"/>
      <c r="F220" s="50"/>
      <c r="G220" s="50" t="str">
        <f t="shared" si="125"/>
        <v xml:space="preserve"> </v>
      </c>
      <c r="H220" s="45">
        <v>0</v>
      </c>
      <c r="I220" s="49" t="str">
        <f>IFERROR(VLOOKUP(G220,Proveedores!B:C,2,0)," ")</f>
        <v xml:space="preserve"> </v>
      </c>
      <c r="J220" s="838">
        <v>0</v>
      </c>
      <c r="K220" s="1124"/>
      <c r="L220" s="1266">
        <f t="shared" si="126"/>
        <v>0</v>
      </c>
      <c r="M220" s="1267">
        <f t="shared" si="127"/>
        <v>0</v>
      </c>
      <c r="N220" s="1268">
        <f t="shared" si="146"/>
        <v>0</v>
      </c>
      <c r="O220" s="836" t="str">
        <f>IFERROR(VLOOKUP(G220,Proveedores!B:D,3,0)," ")</f>
        <v xml:space="preserve"> </v>
      </c>
      <c r="P220" s="836"/>
      <c r="Q220" s="1127" t="e">
        <f t="shared" si="128"/>
        <v>#N/A</v>
      </c>
      <c r="R220" s="1127" t="b">
        <f t="shared" si="139"/>
        <v>0</v>
      </c>
      <c r="S220" s="1127" t="e">
        <f t="shared" si="129"/>
        <v>#N/A</v>
      </c>
      <c r="T220" s="1127" t="b">
        <f t="shared" si="140"/>
        <v>0</v>
      </c>
      <c r="U220" s="1127" t="e">
        <f t="shared" si="130"/>
        <v>#N/A</v>
      </c>
      <c r="V220" s="1127" t="e">
        <f t="shared" si="141"/>
        <v>#N/A</v>
      </c>
      <c r="W220" s="1127" t="e">
        <f>IF(F220="Offiho",J220,IF(_xlfn.XLOOKUP(F220,Proveedores!A$2:A$50,Proveedores!E$2:E$50,"")="Nacional",(J220/0.5)+(V220*H220),((J220/0.3/0.5)+(V220*H220))))</f>
        <v>#N/A</v>
      </c>
      <c r="X220" s="1127" t="e">
        <f t="shared" si="131"/>
        <v>#N/A</v>
      </c>
      <c r="Y220" s="1126" t="b">
        <f t="shared" si="132"/>
        <v>0</v>
      </c>
      <c r="Z220" s="43">
        <v>0</v>
      </c>
      <c r="AA220" s="1219" t="e">
        <f t="shared" si="142"/>
        <v>#N/A</v>
      </c>
      <c r="AB220" s="1219" t="e">
        <f t="shared" si="143"/>
        <v>#N/A</v>
      </c>
      <c r="AC220" s="1219" t="e">
        <f t="shared" si="133"/>
        <v>#N/A</v>
      </c>
      <c r="AD220" s="1126" t="e">
        <f t="shared" si="144"/>
        <v>#N/A</v>
      </c>
      <c r="AE220" s="1217" t="e">
        <f t="shared" si="134"/>
        <v>#N/A</v>
      </c>
      <c r="AF220" s="1220" t="e">
        <f t="shared" si="135"/>
        <v>#N/A</v>
      </c>
      <c r="AG220" s="1176" t="e">
        <f t="shared" si="136"/>
        <v>#N/A</v>
      </c>
      <c r="AH220" s="1221" t="e">
        <f t="shared" si="145"/>
        <v>#N/A</v>
      </c>
    </row>
    <row r="221" spans="1:34" ht="15.5">
      <c r="A221" s="1216" t="b">
        <f t="shared" si="124"/>
        <v>1</v>
      </c>
      <c r="B221" s="1217" t="b">
        <f t="shared" si="137"/>
        <v>1</v>
      </c>
      <c r="C221" s="1218" t="str">
        <f t="shared" si="138"/>
        <v>Dólares</v>
      </c>
      <c r="D221" s="47"/>
      <c r="E221" s="836"/>
      <c r="F221" s="50"/>
      <c r="G221" s="50" t="str">
        <f t="shared" si="125"/>
        <v xml:space="preserve"> </v>
      </c>
      <c r="H221" s="45">
        <v>0</v>
      </c>
      <c r="I221" s="49" t="str">
        <f>IFERROR(VLOOKUP(G221,Proveedores!B:C,2,0)," ")</f>
        <v xml:space="preserve"> </v>
      </c>
      <c r="J221" s="838">
        <v>0</v>
      </c>
      <c r="K221" s="1124"/>
      <c r="L221" s="1266">
        <f t="shared" si="126"/>
        <v>0</v>
      </c>
      <c r="M221" s="1267">
        <f t="shared" si="127"/>
        <v>0</v>
      </c>
      <c r="N221" s="1268">
        <f t="shared" si="146"/>
        <v>0</v>
      </c>
      <c r="O221" s="836" t="str">
        <f>IFERROR(VLOOKUP(G221,Proveedores!B:D,3,0)," ")</f>
        <v xml:space="preserve"> </v>
      </c>
      <c r="P221" s="836"/>
      <c r="Q221" s="1127" t="e">
        <f t="shared" si="128"/>
        <v>#N/A</v>
      </c>
      <c r="R221" s="1127" t="b">
        <f t="shared" si="139"/>
        <v>0</v>
      </c>
      <c r="S221" s="1127" t="e">
        <f t="shared" si="129"/>
        <v>#N/A</v>
      </c>
      <c r="T221" s="1127" t="b">
        <f t="shared" si="140"/>
        <v>0</v>
      </c>
      <c r="U221" s="1127" t="e">
        <f t="shared" si="130"/>
        <v>#N/A</v>
      </c>
      <c r="V221" s="1127" t="e">
        <f t="shared" si="141"/>
        <v>#N/A</v>
      </c>
      <c r="W221" s="1127" t="e">
        <f>IF(F221="Offiho",J221,IF(_xlfn.XLOOKUP(F221,Proveedores!A$2:A$50,Proveedores!E$2:E$50,"")="Nacional",(J221/0.5)+(V221*H221),((J221/0.3/0.5)+(V221*H221))))</f>
        <v>#N/A</v>
      </c>
      <c r="X221" s="1127" t="e">
        <f t="shared" si="131"/>
        <v>#N/A</v>
      </c>
      <c r="Y221" s="1126" t="b">
        <f t="shared" si="132"/>
        <v>0</v>
      </c>
      <c r="Z221" s="43">
        <v>0</v>
      </c>
      <c r="AA221" s="1219" t="e">
        <f t="shared" si="142"/>
        <v>#N/A</v>
      </c>
      <c r="AB221" s="1219" t="e">
        <f t="shared" si="143"/>
        <v>#N/A</v>
      </c>
      <c r="AC221" s="1219" t="e">
        <f t="shared" si="133"/>
        <v>#N/A</v>
      </c>
      <c r="AD221" s="1126" t="str">
        <f t="shared" si="144"/>
        <v>NA</v>
      </c>
      <c r="AE221" s="1217" t="e">
        <f t="shared" si="134"/>
        <v>#N/A</v>
      </c>
      <c r="AF221" s="1220" t="e">
        <f t="shared" si="135"/>
        <v>#N/A</v>
      </c>
      <c r="AG221" s="1176" t="e">
        <f t="shared" si="136"/>
        <v>#N/A</v>
      </c>
      <c r="AH221" s="1221" t="e">
        <f t="shared" si="145"/>
        <v>#N/A</v>
      </c>
    </row>
    <row r="222" spans="1:34" ht="24" customHeight="1">
      <c r="A222" s="1422" t="s">
        <v>126</v>
      </c>
      <c r="B222" s="1422"/>
      <c r="C222" s="1422"/>
      <c r="D222" s="1422"/>
      <c r="E222" s="1422"/>
      <c r="F222" s="1422"/>
      <c r="G222" s="1228"/>
      <c r="H222" s="1229" cm="1">
        <f t="array" ref="H222">SUM(IFERROR(H189:H221,0))</f>
        <v>0</v>
      </c>
      <c r="I222" s="1228"/>
      <c r="J222" s="1230"/>
      <c r="K222" s="1231"/>
      <c r="L222" s="1229" cm="1">
        <f t="array" ref="L222">SUM(IFERROR(L189:L221,0))</f>
        <v>0</v>
      </c>
      <c r="M222" s="1235"/>
      <c r="N222" s="1232" cm="1">
        <f t="array" ref="N222">SUM(IFERROR(N189:N221,0))</f>
        <v>0</v>
      </c>
      <c r="O222" s="1233"/>
      <c r="P222" s="1233"/>
      <c r="Q222" s="1233"/>
      <c r="R222" s="1233"/>
      <c r="S222" s="1233"/>
      <c r="T222" s="1233"/>
      <c r="U222" s="1233"/>
      <c r="V222" s="1233"/>
      <c r="W222" s="1231"/>
      <c r="X222" s="1232" cm="1">
        <f t="array" ref="X222">SUM(IFERROR(X189:X221,0))</f>
        <v>0</v>
      </c>
      <c r="Y222" s="1233" t="s">
        <v>116</v>
      </c>
      <c r="Z222" s="1233"/>
      <c r="AA222" s="1233"/>
      <c r="AB222" s="1233"/>
      <c r="AC222" s="1232" cm="1">
        <f t="array" ref="AC222">SUM(IFERROR(AC189:AC221,0))</f>
        <v>0</v>
      </c>
      <c r="AD222" s="1232"/>
      <c r="AE222" s="1232"/>
      <c r="AF222" s="1232" cm="1">
        <f t="array" ref="AF222">SUM(IFERROR(AF189:AF221,0))</f>
        <v>0</v>
      </c>
      <c r="AG222" s="1177">
        <f>IFERROR(1-(N222/AC222),0)</f>
        <v>0</v>
      </c>
      <c r="AH222"/>
    </row>
    <row r="223" spans="1:34" ht="26" customHeight="1">
      <c r="A223" s="1419" t="s">
        <v>127</v>
      </c>
      <c r="B223" s="1419"/>
      <c r="C223" s="1419"/>
      <c r="D223" s="1419"/>
      <c r="E223" s="1419"/>
      <c r="F223" s="1419"/>
      <c r="G223" s="1419"/>
      <c r="H223" s="1419"/>
      <c r="I223" s="1419"/>
      <c r="J223" s="1420"/>
      <c r="K223" s="1214"/>
      <c r="L223" s="1214"/>
      <c r="M223" s="1236"/>
      <c r="N223" s="1214"/>
      <c r="O223" s="1213"/>
      <c r="P223" s="1213"/>
      <c r="Q223" s="1213"/>
      <c r="R223" s="1213"/>
      <c r="S223" s="1213"/>
      <c r="T223" s="1213"/>
      <c r="U223" s="1213"/>
      <c r="V223" s="1213"/>
      <c r="W223" s="1178"/>
      <c r="X223" s="1178"/>
      <c r="Y223" s="1178"/>
      <c r="Z223" s="1213"/>
      <c r="AA223" s="1213"/>
      <c r="AB223" s="1213"/>
      <c r="AC223" s="1213"/>
      <c r="AD223" s="1213"/>
      <c r="AE223" s="1213"/>
      <c r="AF223" s="1213"/>
      <c r="AG223" s="1215"/>
      <c r="AH223"/>
    </row>
    <row r="224" spans="1:34" ht="15.5">
      <c r="A224" s="1216" t="b">
        <f t="shared" ref="A224:A256" si="147">$A$13</f>
        <v>1</v>
      </c>
      <c r="B224" s="1217" t="b">
        <f>A224</f>
        <v>1</v>
      </c>
      <c r="C224" s="1218" t="str">
        <f>$C$13</f>
        <v>Dólares</v>
      </c>
      <c r="D224" s="44"/>
      <c r="E224" s="836"/>
      <c r="F224" s="50"/>
      <c r="G224" s="50" t="str">
        <f t="shared" ref="G224:G256" si="148">IFERROR(VLOOKUP(F224,Tabla_Proveedores_1,2,0)," ")</f>
        <v xml:space="preserve"> </v>
      </c>
      <c r="H224" s="45">
        <v>0</v>
      </c>
      <c r="I224" s="49" t="str">
        <f>IFERROR(VLOOKUP(G224,Proveedores!B:C,2,0)," ")</f>
        <v xml:space="preserve"> </v>
      </c>
      <c r="J224" s="838">
        <v>0</v>
      </c>
      <c r="K224" s="1124"/>
      <c r="L224" s="1266">
        <f t="shared" ref="L224:L256" si="149">K224*H224</f>
        <v>0</v>
      </c>
      <c r="M224" s="1267">
        <f t="shared" ref="M224:M256" si="150">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Brasil"),J224,IFERROR(IF(K783&lt;=$AO$578,J224*2.14,IF(K783&lt;=$AN$579,J224*1.8,IF(K783&gt;$AN$580,J224*1.5))),J224))*1.1)</f>
        <v>0</v>
      </c>
      <c r="N224" s="1268">
        <f>M224*H224</f>
        <v>0</v>
      </c>
      <c r="O224" s="836" t="str">
        <f>IFERROR(VLOOKUP(G224,Proveedores!B:D,3,0)," ")</f>
        <v xml:space="preserve"> </v>
      </c>
      <c r="P224" s="836"/>
      <c r="Q224" s="1127" t="e">
        <f t="shared" ref="Q224:Q256" si="151">VLOOKUP(E224,Tabla_Fletes,3,FALSE)</f>
        <v>#N/A</v>
      </c>
      <c r="R224" s="1127" t="b">
        <f>IF(P224="Centro",Q224,IF(P224="Norte",Q224*1.6,IF(P224="Occidente",Q224*1.2,IF(P224="Sur",Q224*2))))</f>
        <v>0</v>
      </c>
      <c r="S224" s="1127" t="e">
        <f t="shared" ref="S224:S256" si="152">VLOOKUP(E224,Tabla_Instalacion,2,FALSE)</f>
        <v>#N/A</v>
      </c>
      <c r="T224" s="1127" t="b">
        <f>IF(P224="Centro",S224,IF(P224="Norte",S224*1.1,IF(P224="Occidente",S224*1.1,IF(P224="Sur",S224*1.1))))</f>
        <v>0</v>
      </c>
      <c r="U224" s="1127" t="e">
        <f t="shared" ref="U224:U256" si="153">IF(F224="Offiho",0,Q224+S224)</f>
        <v>#N/A</v>
      </c>
      <c r="V224" s="1127" t="e">
        <f>IF(K224=0,U224/$H$573,U224*(K224/L224))*H224</f>
        <v>#N/A</v>
      </c>
      <c r="W224" s="1127" t="e">
        <f>IF(F224="Offiho",J224,IF(_xlfn.XLOOKUP(F224,Proveedores!A$2:A$50,Proveedores!E$2:E$50,"")="Nacional",(J224/0.5)+(V224*H224),((J224/0.3/0.5)+(V224*H224))))</f>
        <v>#N/A</v>
      </c>
      <c r="X224" s="1127" t="e">
        <f t="shared" ref="X224:X256" si="154">W224*H224</f>
        <v>#N/A</v>
      </c>
      <c r="Y224" s="1126" t="b">
        <f t="shared" ref="Y224:Y256" si="155">IF(F224="Sunon Inc",$AJ$577,IF(F224="Alma - Exterior",$AJ$578,IF(F224="Yabo - Hotelería",$AJ$579,IF(F224="OSJ - Medical",$AJ$580,IF(F224="Seezo - Home",$AJ$581,IF(F224="A&amp;D - Home",$AJ$582,IF(F224="Encore Alfombras Hoteleria Asia",$AJ$583,IF(F224="Zhong Xian - Leds",$AJ$584,IF(F224="Tarkett Europa",$AJ$585,IF(F224="2tec2",$AJ$586,IF(F224="Balsan Europa",$AJ$587,IF(F224="Armstrong Pisos USA",$AJ$588,IF(F224="Tarkett USA",$AJ$589,IF(F224="Tarkett Brasil",$AJ$590,IF(F224="Tarkett MX",$AJ$591,IF(F224="Jome",$AJ$592,IF(F224="Offiho",$AJ$593,IF(F224="Lumbro",$AJ$594,IF(F224="Sunon Mty",$AJ$595,IF(F224="Conceptos Sofas",$AJ$596,IF(F224="Lauco Sofas",$AJ$597,IF(F224="CR Global - Mesas Ajustables",$AJ$598,IF(F224="Vandesk",$AJ$599,IF(F224="Mamparas Tela",$AJ$600,IF(F224="Mampara Cristales",$AJ$601,IF(F224="Herrajes",$AJ$602,IF(F224="MetalWork",$AJ$603,IF(F224="Requiez",$AJ$604,IF(F224="Labenze",$AJ$605,IF(F224="Infinity",$AJ$606,IF(F224="Proveedor Externo",$AJ$607)))))))))))))))))))))))))))))))</f>
        <v>0</v>
      </c>
      <c r="Z224" s="43">
        <v>0</v>
      </c>
      <c r="AA224" s="1219" t="e">
        <f>W224*Z224</f>
        <v>#N/A</v>
      </c>
      <c r="AB224" s="1219" t="e">
        <f>IF(Z224&gt;Y224,"ERROR",(W224-AA224))</f>
        <v>#N/A</v>
      </c>
      <c r="AC224" s="1219" t="e">
        <f t="shared" ref="AC224:AC256" si="156">AB224*H224</f>
        <v>#N/A</v>
      </c>
      <c r="AD224" s="1126" t="e">
        <f>IF(A225=TRUE,MAX(0,1-(AE224/W224)),"NA")</f>
        <v>#N/A</v>
      </c>
      <c r="AE224" s="1217" t="e">
        <f t="shared" ref="AE224:AE256" si="157">IF(A223=FALSE,"NO APLICA",AB224*1.2)</f>
        <v>#N/A</v>
      </c>
      <c r="AF224" s="1220" t="e">
        <f t="shared" ref="AF224:AF256" si="158">AE224*H224</f>
        <v>#N/A</v>
      </c>
      <c r="AG224" s="1176" t="e">
        <f t="shared" ref="AG224:AG256" si="159">(AC224-N224)/AC224</f>
        <v>#N/A</v>
      </c>
      <c r="AH224" s="1221" t="e">
        <f>IF(AG224&lt;30%,"ERROR","OK")</f>
        <v>#N/A</v>
      </c>
    </row>
    <row r="225" spans="1:34" ht="15.5">
      <c r="A225" s="1216" t="b">
        <f t="shared" si="147"/>
        <v>1</v>
      </c>
      <c r="B225" s="1217" t="b">
        <f t="shared" ref="B225:B256" si="160">A225</f>
        <v>1</v>
      </c>
      <c r="C225" s="1218" t="str">
        <f t="shared" ref="C225:C256" si="161">$C$13</f>
        <v>Dólares</v>
      </c>
      <c r="D225" s="46"/>
      <c r="E225" s="836"/>
      <c r="F225" s="50"/>
      <c r="G225" s="50" t="str">
        <f t="shared" si="148"/>
        <v xml:space="preserve"> </v>
      </c>
      <c r="H225" s="45">
        <v>0</v>
      </c>
      <c r="I225" s="49" t="str">
        <f>IFERROR(VLOOKUP(G225,Proveedores!B:C,2,0)," ")</f>
        <v xml:space="preserve"> </v>
      </c>
      <c r="J225" s="838">
        <v>0</v>
      </c>
      <c r="K225" s="1124"/>
      <c r="L225" s="1266">
        <f t="shared" si="149"/>
        <v>0</v>
      </c>
      <c r="M225" s="1267">
        <f t="shared" si="150"/>
        <v>0</v>
      </c>
      <c r="N225" s="1268">
        <f>M225*H225</f>
        <v>0</v>
      </c>
      <c r="O225" s="836" t="str">
        <f>IFERROR(VLOOKUP(G225,Proveedores!B:D,3,0)," ")</f>
        <v xml:space="preserve"> </v>
      </c>
      <c r="P225" s="836"/>
      <c r="Q225" s="1127" t="e">
        <f t="shared" si="151"/>
        <v>#N/A</v>
      </c>
      <c r="R225" s="1127" t="b">
        <f t="shared" ref="R225:R256" si="162">IF(P225="Centro",Q225,IF(P225="Norte",Q225*1.6,IF(P225="Occidente",Q225*1.2,IF(P225="Sur",Q225*2))))</f>
        <v>0</v>
      </c>
      <c r="S225" s="1127" t="e">
        <f t="shared" si="152"/>
        <v>#N/A</v>
      </c>
      <c r="T225" s="1127" t="b">
        <f t="shared" ref="T225:T256" si="163">IF(P225="Centro",S225,IF(P225="Norte",S225*1.1,IF(P225="Occidente",S225*1.1,IF(P225="Sur",S225*1.1))))</f>
        <v>0</v>
      </c>
      <c r="U225" s="1127" t="e">
        <f t="shared" si="153"/>
        <v>#N/A</v>
      </c>
      <c r="V225" s="1127" t="e">
        <f t="shared" ref="V225:V256" si="164">IF(K225=0,U225/$H$573,U225*(K225/L225))*H225</f>
        <v>#N/A</v>
      </c>
      <c r="W225" s="1127" t="e">
        <f>IF(F225="Offiho",J225,IF(_xlfn.XLOOKUP(F225,Proveedores!A$2:A$50,Proveedores!E$2:E$50,"")="Nacional",(J225/0.5)+(V225*H225),((J225/0.3/0.5)+(V225*H225))))</f>
        <v>#N/A</v>
      </c>
      <c r="X225" s="1127" t="e">
        <f t="shared" si="154"/>
        <v>#N/A</v>
      </c>
      <c r="Y225" s="1126" t="b">
        <f t="shared" si="155"/>
        <v>0</v>
      </c>
      <c r="Z225" s="43">
        <v>0</v>
      </c>
      <c r="AA225" s="1219" t="e">
        <f t="shared" ref="AA225:AA256" si="165">W225*Z225</f>
        <v>#N/A</v>
      </c>
      <c r="AB225" s="1219" t="e">
        <f t="shared" ref="AB225:AB256" si="166">IF(Z225&gt;Y225,"ERROR",(W225-AA225))</f>
        <v>#N/A</v>
      </c>
      <c r="AC225" s="1219" t="e">
        <f t="shared" si="156"/>
        <v>#N/A</v>
      </c>
      <c r="AD225" s="1126" t="e">
        <f t="shared" ref="AD225:AD256" si="167">IF(A226=TRUE,MAX(0,1-(AE225/W225)),"NA")</f>
        <v>#N/A</v>
      </c>
      <c r="AE225" s="1217" t="e">
        <f t="shared" si="157"/>
        <v>#N/A</v>
      </c>
      <c r="AF225" s="1220" t="e">
        <f t="shared" si="158"/>
        <v>#N/A</v>
      </c>
      <c r="AG225" s="1176" t="e">
        <f t="shared" si="159"/>
        <v>#N/A</v>
      </c>
      <c r="AH225" s="1221" t="e">
        <f t="shared" ref="AH225:AH256" si="168">IF(AG225&lt;30%,"ERROR","OK")</f>
        <v>#N/A</v>
      </c>
    </row>
    <row r="226" spans="1:34" ht="15.5">
      <c r="A226" s="1216" t="b">
        <f t="shared" si="147"/>
        <v>1</v>
      </c>
      <c r="B226" s="1217" t="b">
        <f t="shared" si="160"/>
        <v>1</v>
      </c>
      <c r="C226" s="1218" t="str">
        <f t="shared" si="161"/>
        <v>Dólares</v>
      </c>
      <c r="D226" s="46"/>
      <c r="E226" s="836"/>
      <c r="F226" s="50"/>
      <c r="G226" s="50" t="str">
        <f t="shared" si="148"/>
        <v xml:space="preserve"> </v>
      </c>
      <c r="H226" s="45">
        <v>0</v>
      </c>
      <c r="I226" s="49" t="str">
        <f>IFERROR(VLOOKUP(G226,Proveedores!B:C,2,0)," ")</f>
        <v xml:space="preserve"> </v>
      </c>
      <c r="J226" s="838">
        <v>0</v>
      </c>
      <c r="K226" s="1124"/>
      <c r="L226" s="1266">
        <f t="shared" si="149"/>
        <v>0</v>
      </c>
      <c r="M226" s="1267">
        <f t="shared" si="150"/>
        <v>0</v>
      </c>
      <c r="N226" s="1268">
        <f>(M226*H226)</f>
        <v>0</v>
      </c>
      <c r="O226" s="836" t="str">
        <f>IFERROR(VLOOKUP(G226,Proveedores!B:D,3,0)," ")</f>
        <v xml:space="preserve"> </v>
      </c>
      <c r="P226" s="836"/>
      <c r="Q226" s="1127" t="e">
        <f t="shared" si="151"/>
        <v>#N/A</v>
      </c>
      <c r="R226" s="1127" t="b">
        <f t="shared" si="162"/>
        <v>0</v>
      </c>
      <c r="S226" s="1127" t="e">
        <f t="shared" si="152"/>
        <v>#N/A</v>
      </c>
      <c r="T226" s="1127" t="b">
        <f t="shared" si="163"/>
        <v>0</v>
      </c>
      <c r="U226" s="1127" t="e">
        <f t="shared" si="153"/>
        <v>#N/A</v>
      </c>
      <c r="V226" s="1127" t="e">
        <f t="shared" si="164"/>
        <v>#N/A</v>
      </c>
      <c r="W226" s="1127" t="e">
        <f>IF(F226="Offiho",J226,IF(_xlfn.XLOOKUP(F226,Proveedores!A$2:A$50,Proveedores!E$2:E$50,"")="Nacional",(J226/0.5)+(V226*H226),((J226/0.3/0.5)+(V226*H226))))</f>
        <v>#N/A</v>
      </c>
      <c r="X226" s="1127" t="e">
        <f t="shared" si="154"/>
        <v>#N/A</v>
      </c>
      <c r="Y226" s="1126" t="b">
        <f t="shared" si="155"/>
        <v>0</v>
      </c>
      <c r="Z226" s="43">
        <v>0</v>
      </c>
      <c r="AA226" s="1219" t="e">
        <f t="shared" si="165"/>
        <v>#N/A</v>
      </c>
      <c r="AB226" s="1219" t="e">
        <f t="shared" si="166"/>
        <v>#N/A</v>
      </c>
      <c r="AC226" s="1219" t="e">
        <f t="shared" si="156"/>
        <v>#N/A</v>
      </c>
      <c r="AD226" s="1126" t="e">
        <f t="shared" si="167"/>
        <v>#N/A</v>
      </c>
      <c r="AE226" s="1217" t="e">
        <f t="shared" si="157"/>
        <v>#N/A</v>
      </c>
      <c r="AF226" s="1220" t="e">
        <f t="shared" si="158"/>
        <v>#N/A</v>
      </c>
      <c r="AG226" s="1176" t="e">
        <f t="shared" si="159"/>
        <v>#N/A</v>
      </c>
      <c r="AH226" s="1221" t="e">
        <f t="shared" si="168"/>
        <v>#N/A</v>
      </c>
    </row>
    <row r="227" spans="1:34" ht="15.5">
      <c r="A227" s="1216" t="b">
        <f t="shared" si="147"/>
        <v>1</v>
      </c>
      <c r="B227" s="1217" t="b">
        <f t="shared" si="160"/>
        <v>1</v>
      </c>
      <c r="C227" s="1218" t="str">
        <f t="shared" si="161"/>
        <v>Dólares</v>
      </c>
      <c r="D227" s="46"/>
      <c r="E227" s="836"/>
      <c r="F227" s="50"/>
      <c r="G227" s="50" t="str">
        <f t="shared" si="148"/>
        <v xml:space="preserve"> </v>
      </c>
      <c r="H227" s="45">
        <v>0</v>
      </c>
      <c r="I227" s="49" t="str">
        <f>IFERROR(VLOOKUP(G227,Proveedores!B:C,2,0)," ")</f>
        <v xml:space="preserve"> </v>
      </c>
      <c r="J227" s="838">
        <v>0</v>
      </c>
      <c r="K227" s="1124"/>
      <c r="L227" s="1266">
        <f t="shared" si="149"/>
        <v>0</v>
      </c>
      <c r="M227" s="1267">
        <f t="shared" si="150"/>
        <v>0</v>
      </c>
      <c r="N227" s="1268">
        <f t="shared" ref="N227:N256" si="169">M227*H227</f>
        <v>0</v>
      </c>
      <c r="O227" s="836" t="str">
        <f>IFERROR(VLOOKUP(G227,Proveedores!B:D,3,0)," ")</f>
        <v xml:space="preserve"> </v>
      </c>
      <c r="P227" s="836"/>
      <c r="Q227" s="1127" t="e">
        <f t="shared" si="151"/>
        <v>#N/A</v>
      </c>
      <c r="R227" s="1127" t="b">
        <f t="shared" si="162"/>
        <v>0</v>
      </c>
      <c r="S227" s="1127" t="e">
        <f t="shared" si="152"/>
        <v>#N/A</v>
      </c>
      <c r="T227" s="1127" t="b">
        <f t="shared" si="163"/>
        <v>0</v>
      </c>
      <c r="U227" s="1127" t="e">
        <f t="shared" si="153"/>
        <v>#N/A</v>
      </c>
      <c r="V227" s="1127" t="e">
        <f t="shared" si="164"/>
        <v>#N/A</v>
      </c>
      <c r="W227" s="1127" t="e">
        <f>IF(F227="Offiho",J227,IF(_xlfn.XLOOKUP(F227,Proveedores!A$2:A$50,Proveedores!E$2:E$50,"")="Nacional",(J227/0.5)+(V227*H227),((J227/0.3/0.5)+(V227*H227))))</f>
        <v>#N/A</v>
      </c>
      <c r="X227" s="1127" t="e">
        <f t="shared" si="154"/>
        <v>#N/A</v>
      </c>
      <c r="Y227" s="1126" t="b">
        <f t="shared" si="155"/>
        <v>0</v>
      </c>
      <c r="Z227" s="43">
        <v>0</v>
      </c>
      <c r="AA227" s="1219" t="e">
        <f t="shared" si="165"/>
        <v>#N/A</v>
      </c>
      <c r="AB227" s="1219" t="e">
        <f t="shared" si="166"/>
        <v>#N/A</v>
      </c>
      <c r="AC227" s="1219" t="e">
        <f t="shared" si="156"/>
        <v>#N/A</v>
      </c>
      <c r="AD227" s="1126" t="e">
        <f t="shared" si="167"/>
        <v>#N/A</v>
      </c>
      <c r="AE227" s="1217" t="e">
        <f t="shared" si="157"/>
        <v>#N/A</v>
      </c>
      <c r="AF227" s="1220" t="e">
        <f t="shared" si="158"/>
        <v>#N/A</v>
      </c>
      <c r="AG227" s="1176" t="e">
        <f t="shared" si="159"/>
        <v>#N/A</v>
      </c>
      <c r="AH227" s="1221" t="e">
        <f t="shared" si="168"/>
        <v>#N/A</v>
      </c>
    </row>
    <row r="228" spans="1:34" ht="15.5">
      <c r="A228" s="1216" t="b">
        <f t="shared" si="147"/>
        <v>1</v>
      </c>
      <c r="B228" s="1217" t="b">
        <f t="shared" si="160"/>
        <v>1</v>
      </c>
      <c r="C228" s="1218" t="str">
        <f t="shared" si="161"/>
        <v>Dólares</v>
      </c>
      <c r="D228" s="46"/>
      <c r="E228" s="836"/>
      <c r="F228" s="50"/>
      <c r="G228" s="50" t="str">
        <f t="shared" si="148"/>
        <v xml:space="preserve"> </v>
      </c>
      <c r="H228" s="45">
        <v>0</v>
      </c>
      <c r="I228" s="49" t="str">
        <f>IFERROR(VLOOKUP(G228,Proveedores!B:C,2,0)," ")</f>
        <v xml:space="preserve"> </v>
      </c>
      <c r="J228" s="838">
        <v>0</v>
      </c>
      <c r="K228" s="1124"/>
      <c r="L228" s="1266">
        <f t="shared" si="149"/>
        <v>0</v>
      </c>
      <c r="M228" s="1267">
        <f t="shared" si="150"/>
        <v>0</v>
      </c>
      <c r="N228" s="1268">
        <f t="shared" si="169"/>
        <v>0</v>
      </c>
      <c r="O228" s="836" t="str">
        <f>IFERROR(VLOOKUP(G228,Proveedores!B:D,3,0)," ")</f>
        <v xml:space="preserve"> </v>
      </c>
      <c r="P228" s="836"/>
      <c r="Q228" s="1127" t="e">
        <f t="shared" si="151"/>
        <v>#N/A</v>
      </c>
      <c r="R228" s="1127" t="b">
        <f t="shared" si="162"/>
        <v>0</v>
      </c>
      <c r="S228" s="1127" t="e">
        <f t="shared" si="152"/>
        <v>#N/A</v>
      </c>
      <c r="T228" s="1127" t="b">
        <f t="shared" si="163"/>
        <v>0</v>
      </c>
      <c r="U228" s="1127" t="e">
        <f t="shared" si="153"/>
        <v>#N/A</v>
      </c>
      <c r="V228" s="1127" t="e">
        <f t="shared" si="164"/>
        <v>#N/A</v>
      </c>
      <c r="W228" s="1127" t="e">
        <f>IF(F228="Offiho",J228,IF(_xlfn.XLOOKUP(F228,Proveedores!A$2:A$50,Proveedores!E$2:E$50,"")="Nacional",(J228/0.5)+(V228*H228),((J228/0.3/0.5)+(V228*H228))))</f>
        <v>#N/A</v>
      </c>
      <c r="X228" s="1127" t="e">
        <f t="shared" si="154"/>
        <v>#N/A</v>
      </c>
      <c r="Y228" s="1126" t="b">
        <f t="shared" si="155"/>
        <v>0</v>
      </c>
      <c r="Z228" s="43">
        <v>0</v>
      </c>
      <c r="AA228" s="1219" t="e">
        <f t="shared" si="165"/>
        <v>#N/A</v>
      </c>
      <c r="AB228" s="1219" t="e">
        <f t="shared" si="166"/>
        <v>#N/A</v>
      </c>
      <c r="AC228" s="1219" t="e">
        <f t="shared" si="156"/>
        <v>#N/A</v>
      </c>
      <c r="AD228" s="1126" t="e">
        <f t="shared" si="167"/>
        <v>#N/A</v>
      </c>
      <c r="AE228" s="1217" t="e">
        <f t="shared" si="157"/>
        <v>#N/A</v>
      </c>
      <c r="AF228" s="1220" t="e">
        <f t="shared" si="158"/>
        <v>#N/A</v>
      </c>
      <c r="AG228" s="1176" t="e">
        <f t="shared" si="159"/>
        <v>#N/A</v>
      </c>
      <c r="AH228" s="1221" t="e">
        <f t="shared" si="168"/>
        <v>#N/A</v>
      </c>
    </row>
    <row r="229" spans="1:34" ht="15.5">
      <c r="A229" s="1216" t="b">
        <f t="shared" si="147"/>
        <v>1</v>
      </c>
      <c r="B229" s="1217" t="b">
        <f t="shared" si="160"/>
        <v>1</v>
      </c>
      <c r="C229" s="1218" t="str">
        <f t="shared" si="161"/>
        <v>Dólares</v>
      </c>
      <c r="D229" s="46"/>
      <c r="E229" s="836"/>
      <c r="F229" s="50"/>
      <c r="G229" s="50" t="str">
        <f t="shared" si="148"/>
        <v xml:space="preserve"> </v>
      </c>
      <c r="H229" s="45">
        <v>0</v>
      </c>
      <c r="I229" s="49" t="str">
        <f>IFERROR(VLOOKUP(G229,Proveedores!B:C,2,0)," ")</f>
        <v xml:space="preserve"> </v>
      </c>
      <c r="J229" s="838">
        <v>0</v>
      </c>
      <c r="K229" s="1124"/>
      <c r="L229" s="1266">
        <f t="shared" si="149"/>
        <v>0</v>
      </c>
      <c r="M229" s="1267">
        <f t="shared" si="150"/>
        <v>0</v>
      </c>
      <c r="N229" s="1268">
        <f t="shared" si="169"/>
        <v>0</v>
      </c>
      <c r="O229" s="836" t="str">
        <f>IFERROR(VLOOKUP(G229,Proveedores!B:D,3,0)," ")</f>
        <v xml:space="preserve"> </v>
      </c>
      <c r="P229" s="836"/>
      <c r="Q229" s="1127" t="e">
        <f t="shared" si="151"/>
        <v>#N/A</v>
      </c>
      <c r="R229" s="1127" t="b">
        <f t="shared" si="162"/>
        <v>0</v>
      </c>
      <c r="S229" s="1127" t="e">
        <f t="shared" si="152"/>
        <v>#N/A</v>
      </c>
      <c r="T229" s="1127" t="b">
        <f t="shared" si="163"/>
        <v>0</v>
      </c>
      <c r="U229" s="1127" t="e">
        <f t="shared" si="153"/>
        <v>#N/A</v>
      </c>
      <c r="V229" s="1127" t="e">
        <f t="shared" si="164"/>
        <v>#N/A</v>
      </c>
      <c r="W229" s="1127" t="e">
        <f>IF(F229="Offiho",J229,IF(_xlfn.XLOOKUP(F229,Proveedores!A$2:A$50,Proveedores!E$2:E$50,"")="Nacional",(J229/0.5)+(V229*H229),((J229/0.3/0.5)+(V229*H229))))</f>
        <v>#N/A</v>
      </c>
      <c r="X229" s="1127" t="e">
        <f t="shared" si="154"/>
        <v>#N/A</v>
      </c>
      <c r="Y229" s="1126" t="b">
        <f t="shared" si="155"/>
        <v>0</v>
      </c>
      <c r="Z229" s="43">
        <v>0</v>
      </c>
      <c r="AA229" s="1219" t="e">
        <f t="shared" si="165"/>
        <v>#N/A</v>
      </c>
      <c r="AB229" s="1219" t="e">
        <f t="shared" si="166"/>
        <v>#N/A</v>
      </c>
      <c r="AC229" s="1219" t="e">
        <f t="shared" si="156"/>
        <v>#N/A</v>
      </c>
      <c r="AD229" s="1126" t="e">
        <f t="shared" si="167"/>
        <v>#N/A</v>
      </c>
      <c r="AE229" s="1217" t="e">
        <f t="shared" si="157"/>
        <v>#N/A</v>
      </c>
      <c r="AF229" s="1220" t="e">
        <f t="shared" si="158"/>
        <v>#N/A</v>
      </c>
      <c r="AG229" s="1176" t="e">
        <f t="shared" si="159"/>
        <v>#N/A</v>
      </c>
      <c r="AH229" s="1221" t="e">
        <f t="shared" si="168"/>
        <v>#N/A</v>
      </c>
    </row>
    <row r="230" spans="1:34" ht="15.5">
      <c r="A230" s="1216" t="b">
        <f t="shared" si="147"/>
        <v>1</v>
      </c>
      <c r="B230" s="1217" t="b">
        <f t="shared" si="160"/>
        <v>1</v>
      </c>
      <c r="C230" s="1218" t="str">
        <f t="shared" si="161"/>
        <v>Dólares</v>
      </c>
      <c r="D230" s="44"/>
      <c r="E230" s="836"/>
      <c r="F230" s="50"/>
      <c r="G230" s="50" t="str">
        <f t="shared" si="148"/>
        <v xml:space="preserve"> </v>
      </c>
      <c r="H230" s="45">
        <v>0</v>
      </c>
      <c r="I230" s="49" t="str">
        <f>IFERROR(VLOOKUP(G230,Proveedores!B:C,2,0)," ")</f>
        <v xml:space="preserve"> </v>
      </c>
      <c r="J230" s="838">
        <v>0</v>
      </c>
      <c r="K230" s="1124"/>
      <c r="L230" s="1266">
        <f t="shared" si="149"/>
        <v>0</v>
      </c>
      <c r="M230" s="1267">
        <f t="shared" si="150"/>
        <v>0</v>
      </c>
      <c r="N230" s="1268">
        <f t="shared" si="169"/>
        <v>0</v>
      </c>
      <c r="O230" s="836" t="str">
        <f>IFERROR(VLOOKUP(G230,Proveedores!B:D,3,0)," ")</f>
        <v xml:space="preserve"> </v>
      </c>
      <c r="P230" s="836"/>
      <c r="Q230" s="1127" t="e">
        <f t="shared" si="151"/>
        <v>#N/A</v>
      </c>
      <c r="R230" s="1127" t="b">
        <f t="shared" si="162"/>
        <v>0</v>
      </c>
      <c r="S230" s="1127" t="e">
        <f t="shared" si="152"/>
        <v>#N/A</v>
      </c>
      <c r="T230" s="1127" t="b">
        <f t="shared" si="163"/>
        <v>0</v>
      </c>
      <c r="U230" s="1127" t="e">
        <f t="shared" si="153"/>
        <v>#N/A</v>
      </c>
      <c r="V230" s="1127" t="e">
        <f t="shared" si="164"/>
        <v>#N/A</v>
      </c>
      <c r="W230" s="1127" t="e">
        <f>IF(F230="Offiho",J230,IF(_xlfn.XLOOKUP(F230,Proveedores!A$2:A$50,Proveedores!E$2:E$50,"")="Nacional",(J230/0.5)+(V230*H230),((J230/0.3/0.5)+(V230*H230))))</f>
        <v>#N/A</v>
      </c>
      <c r="X230" s="1127" t="e">
        <f t="shared" si="154"/>
        <v>#N/A</v>
      </c>
      <c r="Y230" s="1126" t="b">
        <f t="shared" si="155"/>
        <v>0</v>
      </c>
      <c r="Z230" s="43">
        <v>0</v>
      </c>
      <c r="AA230" s="1219" t="e">
        <f t="shared" si="165"/>
        <v>#N/A</v>
      </c>
      <c r="AB230" s="1219" t="e">
        <f t="shared" si="166"/>
        <v>#N/A</v>
      </c>
      <c r="AC230" s="1219" t="e">
        <f t="shared" si="156"/>
        <v>#N/A</v>
      </c>
      <c r="AD230" s="1126" t="e">
        <f t="shared" si="167"/>
        <v>#N/A</v>
      </c>
      <c r="AE230" s="1217" t="e">
        <f t="shared" si="157"/>
        <v>#N/A</v>
      </c>
      <c r="AF230" s="1220" t="e">
        <f t="shared" si="158"/>
        <v>#N/A</v>
      </c>
      <c r="AG230" s="1176" t="e">
        <f t="shared" si="159"/>
        <v>#N/A</v>
      </c>
      <c r="AH230" s="1221" t="e">
        <f t="shared" si="168"/>
        <v>#N/A</v>
      </c>
    </row>
    <row r="231" spans="1:34" ht="15.5">
      <c r="A231" s="1216" t="b">
        <f t="shared" si="147"/>
        <v>1</v>
      </c>
      <c r="B231" s="1217" t="b">
        <f t="shared" si="160"/>
        <v>1</v>
      </c>
      <c r="C231" s="1218" t="str">
        <f t="shared" si="161"/>
        <v>Dólares</v>
      </c>
      <c r="D231" s="44"/>
      <c r="E231" s="836"/>
      <c r="F231" s="50"/>
      <c r="G231" s="50" t="str">
        <f t="shared" si="148"/>
        <v xml:space="preserve"> </v>
      </c>
      <c r="H231" s="45">
        <v>0</v>
      </c>
      <c r="I231" s="49" t="str">
        <f>IFERROR(VLOOKUP(G231,Proveedores!B:C,2,0)," ")</f>
        <v xml:space="preserve"> </v>
      </c>
      <c r="J231" s="838">
        <v>0</v>
      </c>
      <c r="K231" s="1124"/>
      <c r="L231" s="1266">
        <f t="shared" si="149"/>
        <v>0</v>
      </c>
      <c r="M231" s="1267">
        <f t="shared" si="150"/>
        <v>0</v>
      </c>
      <c r="N231" s="1268">
        <f t="shared" si="169"/>
        <v>0</v>
      </c>
      <c r="O231" s="836" t="str">
        <f>IFERROR(VLOOKUP(G231,Proveedores!B:D,3,0)," ")</f>
        <v xml:space="preserve"> </v>
      </c>
      <c r="P231" s="836"/>
      <c r="Q231" s="1127" t="e">
        <f t="shared" si="151"/>
        <v>#N/A</v>
      </c>
      <c r="R231" s="1127" t="b">
        <f t="shared" si="162"/>
        <v>0</v>
      </c>
      <c r="S231" s="1127" t="e">
        <f t="shared" si="152"/>
        <v>#N/A</v>
      </c>
      <c r="T231" s="1127" t="b">
        <f t="shared" si="163"/>
        <v>0</v>
      </c>
      <c r="U231" s="1127" t="e">
        <f t="shared" si="153"/>
        <v>#N/A</v>
      </c>
      <c r="V231" s="1127" t="e">
        <f t="shared" si="164"/>
        <v>#N/A</v>
      </c>
      <c r="W231" s="1127" t="e">
        <f>IF(F231="Offiho",J231,IF(_xlfn.XLOOKUP(F231,Proveedores!A$2:A$50,Proveedores!E$2:E$50,"")="Nacional",(J231/0.5)+(V231*H231),((J231/0.3/0.5)+(V231*H231))))</f>
        <v>#N/A</v>
      </c>
      <c r="X231" s="1127" t="e">
        <f t="shared" si="154"/>
        <v>#N/A</v>
      </c>
      <c r="Y231" s="1126" t="b">
        <f t="shared" si="155"/>
        <v>0</v>
      </c>
      <c r="Z231" s="43">
        <v>0</v>
      </c>
      <c r="AA231" s="1219" t="e">
        <f t="shared" si="165"/>
        <v>#N/A</v>
      </c>
      <c r="AB231" s="1219" t="e">
        <f t="shared" si="166"/>
        <v>#N/A</v>
      </c>
      <c r="AC231" s="1219" t="e">
        <f t="shared" si="156"/>
        <v>#N/A</v>
      </c>
      <c r="AD231" s="1126" t="e">
        <f t="shared" si="167"/>
        <v>#N/A</v>
      </c>
      <c r="AE231" s="1217" t="e">
        <f t="shared" si="157"/>
        <v>#N/A</v>
      </c>
      <c r="AF231" s="1220" t="e">
        <f t="shared" si="158"/>
        <v>#N/A</v>
      </c>
      <c r="AG231" s="1176" t="e">
        <f t="shared" si="159"/>
        <v>#N/A</v>
      </c>
      <c r="AH231" s="1221" t="e">
        <f t="shared" si="168"/>
        <v>#N/A</v>
      </c>
    </row>
    <row r="232" spans="1:34" ht="15.5">
      <c r="A232" s="1216" t="b">
        <f t="shared" si="147"/>
        <v>1</v>
      </c>
      <c r="B232" s="1217" t="b">
        <f t="shared" si="160"/>
        <v>1</v>
      </c>
      <c r="C232" s="1218" t="str">
        <f t="shared" si="161"/>
        <v>Dólares</v>
      </c>
      <c r="D232" s="44"/>
      <c r="E232" s="836"/>
      <c r="F232" s="50"/>
      <c r="G232" s="50" t="str">
        <f t="shared" si="148"/>
        <v xml:space="preserve"> </v>
      </c>
      <c r="H232" s="45">
        <v>0</v>
      </c>
      <c r="I232" s="49" t="str">
        <f>IFERROR(VLOOKUP(G232,Proveedores!B:C,2,0)," ")</f>
        <v xml:space="preserve"> </v>
      </c>
      <c r="J232" s="838">
        <v>0</v>
      </c>
      <c r="K232" s="1124"/>
      <c r="L232" s="1266">
        <f t="shared" si="149"/>
        <v>0</v>
      </c>
      <c r="M232" s="1267">
        <f t="shared" si="150"/>
        <v>0</v>
      </c>
      <c r="N232" s="1268">
        <f t="shared" si="169"/>
        <v>0</v>
      </c>
      <c r="O232" s="836" t="str">
        <f>IFERROR(VLOOKUP(G232,Proveedores!B:D,3,0)," ")</f>
        <v xml:space="preserve"> </v>
      </c>
      <c r="P232" s="836"/>
      <c r="Q232" s="1127" t="e">
        <f t="shared" si="151"/>
        <v>#N/A</v>
      </c>
      <c r="R232" s="1127" t="b">
        <f t="shared" si="162"/>
        <v>0</v>
      </c>
      <c r="S232" s="1127" t="e">
        <f t="shared" si="152"/>
        <v>#N/A</v>
      </c>
      <c r="T232" s="1127" t="b">
        <f t="shared" si="163"/>
        <v>0</v>
      </c>
      <c r="U232" s="1127" t="e">
        <f t="shared" si="153"/>
        <v>#N/A</v>
      </c>
      <c r="V232" s="1127" t="e">
        <f t="shared" si="164"/>
        <v>#N/A</v>
      </c>
      <c r="W232" s="1127" t="e">
        <f>IF(F232="Offiho",J232,IF(_xlfn.XLOOKUP(F232,Proveedores!A$2:A$50,Proveedores!E$2:E$50,"")="Nacional",(J232/0.5)+(V232*H232),((J232/0.3/0.5)+(V232*H232))))</f>
        <v>#N/A</v>
      </c>
      <c r="X232" s="1127" t="e">
        <f t="shared" si="154"/>
        <v>#N/A</v>
      </c>
      <c r="Y232" s="1126" t="b">
        <f t="shared" si="155"/>
        <v>0</v>
      </c>
      <c r="Z232" s="43">
        <v>0</v>
      </c>
      <c r="AA232" s="1219" t="e">
        <f t="shared" si="165"/>
        <v>#N/A</v>
      </c>
      <c r="AB232" s="1219" t="e">
        <f t="shared" si="166"/>
        <v>#N/A</v>
      </c>
      <c r="AC232" s="1219" t="e">
        <f t="shared" si="156"/>
        <v>#N/A</v>
      </c>
      <c r="AD232" s="1126" t="e">
        <f t="shared" si="167"/>
        <v>#N/A</v>
      </c>
      <c r="AE232" s="1217" t="e">
        <f t="shared" si="157"/>
        <v>#N/A</v>
      </c>
      <c r="AF232" s="1220" t="e">
        <f t="shared" si="158"/>
        <v>#N/A</v>
      </c>
      <c r="AG232" s="1176" t="e">
        <f t="shared" si="159"/>
        <v>#N/A</v>
      </c>
      <c r="AH232" s="1221" t="e">
        <f t="shared" si="168"/>
        <v>#N/A</v>
      </c>
    </row>
    <row r="233" spans="1:34" ht="15.5">
      <c r="A233" s="1216" t="b">
        <f t="shared" si="147"/>
        <v>1</v>
      </c>
      <c r="B233" s="1217" t="b">
        <f t="shared" si="160"/>
        <v>1</v>
      </c>
      <c r="C233" s="1218" t="str">
        <f t="shared" si="161"/>
        <v>Dólares</v>
      </c>
      <c r="D233" s="44"/>
      <c r="E233" s="836"/>
      <c r="F233" s="50"/>
      <c r="G233" s="50" t="str">
        <f t="shared" si="148"/>
        <v xml:space="preserve"> </v>
      </c>
      <c r="H233" s="45">
        <v>0</v>
      </c>
      <c r="I233" s="49" t="str">
        <f>IFERROR(VLOOKUP(G233,Proveedores!B:C,2,0)," ")</f>
        <v xml:space="preserve"> </v>
      </c>
      <c r="J233" s="838">
        <v>0</v>
      </c>
      <c r="K233" s="1124"/>
      <c r="L233" s="1266">
        <f t="shared" si="149"/>
        <v>0</v>
      </c>
      <c r="M233" s="1267">
        <f t="shared" si="150"/>
        <v>0</v>
      </c>
      <c r="N233" s="1268">
        <f t="shared" si="169"/>
        <v>0</v>
      </c>
      <c r="O233" s="836" t="str">
        <f>IFERROR(VLOOKUP(G233,Proveedores!B:D,3,0)," ")</f>
        <v xml:space="preserve"> </v>
      </c>
      <c r="P233" s="836"/>
      <c r="Q233" s="1127" t="e">
        <f t="shared" si="151"/>
        <v>#N/A</v>
      </c>
      <c r="R233" s="1127" t="b">
        <f t="shared" si="162"/>
        <v>0</v>
      </c>
      <c r="S233" s="1127" t="e">
        <f t="shared" si="152"/>
        <v>#N/A</v>
      </c>
      <c r="T233" s="1127" t="b">
        <f t="shared" si="163"/>
        <v>0</v>
      </c>
      <c r="U233" s="1127" t="e">
        <f t="shared" si="153"/>
        <v>#N/A</v>
      </c>
      <c r="V233" s="1127" t="e">
        <f t="shared" si="164"/>
        <v>#N/A</v>
      </c>
      <c r="W233" s="1127" t="e">
        <f>IF(F233="Offiho",J233,IF(_xlfn.XLOOKUP(F233,Proveedores!A$2:A$50,Proveedores!E$2:E$50,"")="Nacional",(J233/0.5)+(V233*H233),((J233/0.3/0.5)+(V233*H233))))</f>
        <v>#N/A</v>
      </c>
      <c r="X233" s="1127" t="e">
        <f t="shared" si="154"/>
        <v>#N/A</v>
      </c>
      <c r="Y233" s="1126" t="b">
        <f t="shared" si="155"/>
        <v>0</v>
      </c>
      <c r="Z233" s="43">
        <v>0</v>
      </c>
      <c r="AA233" s="1219" t="e">
        <f t="shared" si="165"/>
        <v>#N/A</v>
      </c>
      <c r="AB233" s="1219" t="e">
        <f t="shared" si="166"/>
        <v>#N/A</v>
      </c>
      <c r="AC233" s="1219" t="e">
        <f t="shared" si="156"/>
        <v>#N/A</v>
      </c>
      <c r="AD233" s="1126" t="e">
        <f t="shared" si="167"/>
        <v>#N/A</v>
      </c>
      <c r="AE233" s="1217" t="e">
        <f t="shared" si="157"/>
        <v>#N/A</v>
      </c>
      <c r="AF233" s="1220" t="e">
        <f t="shared" si="158"/>
        <v>#N/A</v>
      </c>
      <c r="AG233" s="1176" t="e">
        <f t="shared" si="159"/>
        <v>#N/A</v>
      </c>
      <c r="AH233" s="1221" t="e">
        <f t="shared" si="168"/>
        <v>#N/A</v>
      </c>
    </row>
    <row r="234" spans="1:34" ht="15.5">
      <c r="A234" s="1216" t="b">
        <f t="shared" si="147"/>
        <v>1</v>
      </c>
      <c r="B234" s="1217" t="b">
        <f t="shared" si="160"/>
        <v>1</v>
      </c>
      <c r="C234" s="1218" t="str">
        <f t="shared" si="161"/>
        <v>Dólares</v>
      </c>
      <c r="D234" s="46"/>
      <c r="E234" s="836"/>
      <c r="F234" s="50"/>
      <c r="G234" s="50" t="str">
        <f t="shared" si="148"/>
        <v xml:space="preserve"> </v>
      </c>
      <c r="H234" s="45">
        <v>0</v>
      </c>
      <c r="I234" s="49" t="str">
        <f>IFERROR(VLOOKUP(G234,Proveedores!B:C,2,0)," ")</f>
        <v xml:space="preserve"> </v>
      </c>
      <c r="J234" s="838">
        <v>0</v>
      </c>
      <c r="K234" s="1124"/>
      <c r="L234" s="1266">
        <f t="shared" si="149"/>
        <v>0</v>
      </c>
      <c r="M234" s="1267">
        <f t="shared" si="150"/>
        <v>0</v>
      </c>
      <c r="N234" s="1268">
        <f t="shared" si="169"/>
        <v>0</v>
      </c>
      <c r="O234" s="836" t="str">
        <f>IFERROR(VLOOKUP(G234,Proveedores!B:D,3,0)," ")</f>
        <v xml:space="preserve"> </v>
      </c>
      <c r="P234" s="836"/>
      <c r="Q234" s="1127" t="e">
        <f t="shared" si="151"/>
        <v>#N/A</v>
      </c>
      <c r="R234" s="1127" t="b">
        <f t="shared" si="162"/>
        <v>0</v>
      </c>
      <c r="S234" s="1127" t="e">
        <f t="shared" si="152"/>
        <v>#N/A</v>
      </c>
      <c r="T234" s="1127" t="b">
        <f t="shared" si="163"/>
        <v>0</v>
      </c>
      <c r="U234" s="1127" t="e">
        <f t="shared" si="153"/>
        <v>#N/A</v>
      </c>
      <c r="V234" s="1127" t="e">
        <f t="shared" si="164"/>
        <v>#N/A</v>
      </c>
      <c r="W234" s="1127" t="e">
        <f>IF(F234="Offiho",J234,IF(_xlfn.XLOOKUP(F234,Proveedores!A$2:A$50,Proveedores!E$2:E$50,"")="Nacional",(J234/0.5)+(V234*H234),((J234/0.3/0.5)+(V234*H234))))</f>
        <v>#N/A</v>
      </c>
      <c r="X234" s="1127" t="e">
        <f t="shared" si="154"/>
        <v>#N/A</v>
      </c>
      <c r="Y234" s="1126" t="b">
        <f t="shared" si="155"/>
        <v>0</v>
      </c>
      <c r="Z234" s="43">
        <v>0</v>
      </c>
      <c r="AA234" s="1219" t="e">
        <f t="shared" si="165"/>
        <v>#N/A</v>
      </c>
      <c r="AB234" s="1219" t="e">
        <f t="shared" si="166"/>
        <v>#N/A</v>
      </c>
      <c r="AC234" s="1219" t="e">
        <f t="shared" si="156"/>
        <v>#N/A</v>
      </c>
      <c r="AD234" s="1126" t="e">
        <f t="shared" si="167"/>
        <v>#N/A</v>
      </c>
      <c r="AE234" s="1217" t="e">
        <f t="shared" si="157"/>
        <v>#N/A</v>
      </c>
      <c r="AF234" s="1220" t="e">
        <f t="shared" si="158"/>
        <v>#N/A</v>
      </c>
      <c r="AG234" s="1176" t="e">
        <f t="shared" si="159"/>
        <v>#N/A</v>
      </c>
      <c r="AH234" s="1221" t="e">
        <f t="shared" si="168"/>
        <v>#N/A</v>
      </c>
    </row>
    <row r="235" spans="1:34" ht="15.5">
      <c r="A235" s="1216" t="b">
        <f t="shared" si="147"/>
        <v>1</v>
      </c>
      <c r="B235" s="1217" t="b">
        <f t="shared" si="160"/>
        <v>1</v>
      </c>
      <c r="C235" s="1218" t="str">
        <f t="shared" si="161"/>
        <v>Dólares</v>
      </c>
      <c r="D235" s="46"/>
      <c r="E235" s="836"/>
      <c r="F235" s="50"/>
      <c r="G235" s="50" t="str">
        <f t="shared" si="148"/>
        <v xml:space="preserve"> </v>
      </c>
      <c r="H235" s="45">
        <v>0</v>
      </c>
      <c r="I235" s="49" t="str">
        <f>IFERROR(VLOOKUP(G235,Proveedores!B:C,2,0)," ")</f>
        <v xml:space="preserve"> </v>
      </c>
      <c r="J235" s="838">
        <v>0</v>
      </c>
      <c r="K235" s="1124"/>
      <c r="L235" s="1266">
        <f t="shared" si="149"/>
        <v>0</v>
      </c>
      <c r="M235" s="1267">
        <f t="shared" si="150"/>
        <v>0</v>
      </c>
      <c r="N235" s="1268">
        <f t="shared" si="169"/>
        <v>0</v>
      </c>
      <c r="O235" s="836" t="str">
        <f>IFERROR(VLOOKUP(G235,Proveedores!B:D,3,0)," ")</f>
        <v xml:space="preserve"> </v>
      </c>
      <c r="P235" s="836"/>
      <c r="Q235" s="1127" t="e">
        <f t="shared" si="151"/>
        <v>#N/A</v>
      </c>
      <c r="R235" s="1127" t="b">
        <f t="shared" si="162"/>
        <v>0</v>
      </c>
      <c r="S235" s="1127" t="e">
        <f t="shared" si="152"/>
        <v>#N/A</v>
      </c>
      <c r="T235" s="1127" t="b">
        <f t="shared" si="163"/>
        <v>0</v>
      </c>
      <c r="U235" s="1127" t="e">
        <f t="shared" si="153"/>
        <v>#N/A</v>
      </c>
      <c r="V235" s="1127" t="e">
        <f t="shared" si="164"/>
        <v>#N/A</v>
      </c>
      <c r="W235" s="1127" t="e">
        <f>IF(F235="Offiho",J235,IF(_xlfn.XLOOKUP(F235,Proveedores!A$2:A$50,Proveedores!E$2:E$50,"")="Nacional",(J235/0.5)+(V235*H235),((J235/0.3/0.5)+(V235*H235))))</f>
        <v>#N/A</v>
      </c>
      <c r="X235" s="1127" t="e">
        <f t="shared" si="154"/>
        <v>#N/A</v>
      </c>
      <c r="Y235" s="1126" t="b">
        <f t="shared" si="155"/>
        <v>0</v>
      </c>
      <c r="Z235" s="43">
        <v>0</v>
      </c>
      <c r="AA235" s="1219" t="e">
        <f t="shared" si="165"/>
        <v>#N/A</v>
      </c>
      <c r="AB235" s="1219" t="e">
        <f t="shared" si="166"/>
        <v>#N/A</v>
      </c>
      <c r="AC235" s="1219" t="e">
        <f t="shared" si="156"/>
        <v>#N/A</v>
      </c>
      <c r="AD235" s="1126" t="e">
        <f t="shared" si="167"/>
        <v>#N/A</v>
      </c>
      <c r="AE235" s="1217" t="e">
        <f t="shared" si="157"/>
        <v>#N/A</v>
      </c>
      <c r="AF235" s="1220" t="e">
        <f t="shared" si="158"/>
        <v>#N/A</v>
      </c>
      <c r="AG235" s="1176" t="e">
        <f t="shared" si="159"/>
        <v>#N/A</v>
      </c>
      <c r="AH235" s="1221" t="e">
        <f t="shared" si="168"/>
        <v>#N/A</v>
      </c>
    </row>
    <row r="236" spans="1:34" ht="15.5">
      <c r="A236" s="1216" t="b">
        <f t="shared" si="147"/>
        <v>1</v>
      </c>
      <c r="B236" s="1217" t="b">
        <f t="shared" si="160"/>
        <v>1</v>
      </c>
      <c r="C236" s="1218" t="str">
        <f t="shared" si="161"/>
        <v>Dólares</v>
      </c>
      <c r="D236" s="46"/>
      <c r="E236" s="836"/>
      <c r="F236" s="50"/>
      <c r="G236" s="50" t="str">
        <f t="shared" si="148"/>
        <v xml:space="preserve"> </v>
      </c>
      <c r="H236" s="45">
        <v>0</v>
      </c>
      <c r="I236" s="49" t="str">
        <f>IFERROR(VLOOKUP(G236,Proveedores!B:C,2,0)," ")</f>
        <v xml:space="preserve"> </v>
      </c>
      <c r="J236" s="838">
        <v>0</v>
      </c>
      <c r="K236" s="1124"/>
      <c r="L236" s="1266">
        <f t="shared" si="149"/>
        <v>0</v>
      </c>
      <c r="M236" s="1267">
        <f t="shared" si="150"/>
        <v>0</v>
      </c>
      <c r="N236" s="1268">
        <f t="shared" si="169"/>
        <v>0</v>
      </c>
      <c r="O236" s="836" t="str">
        <f>IFERROR(VLOOKUP(G236,Proveedores!B:D,3,0)," ")</f>
        <v xml:space="preserve"> </v>
      </c>
      <c r="P236" s="836"/>
      <c r="Q236" s="1127" t="e">
        <f t="shared" si="151"/>
        <v>#N/A</v>
      </c>
      <c r="R236" s="1127" t="b">
        <f t="shared" si="162"/>
        <v>0</v>
      </c>
      <c r="S236" s="1127" t="e">
        <f t="shared" si="152"/>
        <v>#N/A</v>
      </c>
      <c r="T236" s="1127" t="b">
        <f t="shared" si="163"/>
        <v>0</v>
      </c>
      <c r="U236" s="1127" t="e">
        <f t="shared" si="153"/>
        <v>#N/A</v>
      </c>
      <c r="V236" s="1127" t="e">
        <f t="shared" si="164"/>
        <v>#N/A</v>
      </c>
      <c r="W236" s="1127" t="e">
        <f>IF(F236="Offiho",J236,IF(_xlfn.XLOOKUP(F236,Proveedores!A$2:A$50,Proveedores!E$2:E$50,"")="Nacional",(J236/0.5)+(V236*H236),((J236/0.3/0.5)+(V236*H236))))</f>
        <v>#N/A</v>
      </c>
      <c r="X236" s="1127" t="e">
        <f t="shared" si="154"/>
        <v>#N/A</v>
      </c>
      <c r="Y236" s="1126" t="b">
        <f t="shared" si="155"/>
        <v>0</v>
      </c>
      <c r="Z236" s="43">
        <v>0</v>
      </c>
      <c r="AA236" s="1219" t="e">
        <f t="shared" si="165"/>
        <v>#N/A</v>
      </c>
      <c r="AB236" s="1219" t="e">
        <f t="shared" si="166"/>
        <v>#N/A</v>
      </c>
      <c r="AC236" s="1219" t="e">
        <f t="shared" si="156"/>
        <v>#N/A</v>
      </c>
      <c r="AD236" s="1126" t="e">
        <f t="shared" si="167"/>
        <v>#N/A</v>
      </c>
      <c r="AE236" s="1217" t="e">
        <f t="shared" si="157"/>
        <v>#N/A</v>
      </c>
      <c r="AF236" s="1220" t="e">
        <f t="shared" si="158"/>
        <v>#N/A</v>
      </c>
      <c r="AG236" s="1176" t="e">
        <f t="shared" si="159"/>
        <v>#N/A</v>
      </c>
      <c r="AH236" s="1221" t="e">
        <f t="shared" si="168"/>
        <v>#N/A</v>
      </c>
    </row>
    <row r="237" spans="1:34" ht="15.5">
      <c r="A237" s="1216" t="b">
        <f t="shared" si="147"/>
        <v>1</v>
      </c>
      <c r="B237" s="1217" t="b">
        <f t="shared" si="160"/>
        <v>1</v>
      </c>
      <c r="C237" s="1218" t="str">
        <f t="shared" si="161"/>
        <v>Dólares</v>
      </c>
      <c r="D237" s="46"/>
      <c r="E237" s="836"/>
      <c r="F237" s="50"/>
      <c r="G237" s="50" t="str">
        <f t="shared" si="148"/>
        <v xml:space="preserve"> </v>
      </c>
      <c r="H237" s="45">
        <v>0</v>
      </c>
      <c r="I237" s="49" t="str">
        <f>IFERROR(VLOOKUP(G237,Proveedores!B:C,2,0)," ")</f>
        <v xml:space="preserve"> </v>
      </c>
      <c r="J237" s="838">
        <v>0</v>
      </c>
      <c r="K237" s="1124"/>
      <c r="L237" s="1266">
        <f t="shared" si="149"/>
        <v>0</v>
      </c>
      <c r="M237" s="1267">
        <f t="shared" si="150"/>
        <v>0</v>
      </c>
      <c r="N237" s="1268">
        <f t="shared" si="169"/>
        <v>0</v>
      </c>
      <c r="O237" s="836" t="str">
        <f>IFERROR(VLOOKUP(G237,Proveedores!B:D,3,0)," ")</f>
        <v xml:space="preserve"> </v>
      </c>
      <c r="P237" s="836"/>
      <c r="Q237" s="1127" t="e">
        <f t="shared" si="151"/>
        <v>#N/A</v>
      </c>
      <c r="R237" s="1127" t="b">
        <f t="shared" si="162"/>
        <v>0</v>
      </c>
      <c r="S237" s="1127" t="e">
        <f t="shared" si="152"/>
        <v>#N/A</v>
      </c>
      <c r="T237" s="1127" t="b">
        <f t="shared" si="163"/>
        <v>0</v>
      </c>
      <c r="U237" s="1127" t="e">
        <f t="shared" si="153"/>
        <v>#N/A</v>
      </c>
      <c r="V237" s="1127" t="e">
        <f t="shared" si="164"/>
        <v>#N/A</v>
      </c>
      <c r="W237" s="1127" t="e">
        <f>IF(F237="Offiho",J237,IF(_xlfn.XLOOKUP(F237,Proveedores!A$2:A$50,Proveedores!E$2:E$50,"")="Nacional",(J237/0.5)+(V237*H237),((J237/0.3/0.5)+(V237*H237))))</f>
        <v>#N/A</v>
      </c>
      <c r="X237" s="1127" t="e">
        <f t="shared" si="154"/>
        <v>#N/A</v>
      </c>
      <c r="Y237" s="1126" t="b">
        <f t="shared" si="155"/>
        <v>0</v>
      </c>
      <c r="Z237" s="43">
        <v>0</v>
      </c>
      <c r="AA237" s="1219" t="e">
        <f t="shared" si="165"/>
        <v>#N/A</v>
      </c>
      <c r="AB237" s="1219" t="e">
        <f t="shared" si="166"/>
        <v>#N/A</v>
      </c>
      <c r="AC237" s="1219" t="e">
        <f t="shared" si="156"/>
        <v>#N/A</v>
      </c>
      <c r="AD237" s="1126" t="e">
        <f t="shared" si="167"/>
        <v>#N/A</v>
      </c>
      <c r="AE237" s="1217" t="e">
        <f t="shared" si="157"/>
        <v>#N/A</v>
      </c>
      <c r="AF237" s="1220" t="e">
        <f t="shared" si="158"/>
        <v>#N/A</v>
      </c>
      <c r="AG237" s="1176" t="e">
        <f t="shared" si="159"/>
        <v>#N/A</v>
      </c>
      <c r="AH237" s="1221" t="e">
        <f t="shared" si="168"/>
        <v>#N/A</v>
      </c>
    </row>
    <row r="238" spans="1:34" ht="15.5">
      <c r="A238" s="1216" t="b">
        <f t="shared" si="147"/>
        <v>1</v>
      </c>
      <c r="B238" s="1217" t="b">
        <f t="shared" si="160"/>
        <v>1</v>
      </c>
      <c r="C238" s="1218" t="str">
        <f t="shared" si="161"/>
        <v>Dólares</v>
      </c>
      <c r="D238" s="46"/>
      <c r="E238" s="836"/>
      <c r="F238" s="50"/>
      <c r="G238" s="50" t="str">
        <f t="shared" si="148"/>
        <v xml:space="preserve"> </v>
      </c>
      <c r="H238" s="45">
        <v>0</v>
      </c>
      <c r="I238" s="49" t="str">
        <f>IFERROR(VLOOKUP(G238,Proveedores!B:C,2,0)," ")</f>
        <v xml:space="preserve"> </v>
      </c>
      <c r="J238" s="838">
        <v>0</v>
      </c>
      <c r="K238" s="1124"/>
      <c r="L238" s="1266">
        <f t="shared" si="149"/>
        <v>0</v>
      </c>
      <c r="M238" s="1267">
        <f t="shared" si="150"/>
        <v>0</v>
      </c>
      <c r="N238" s="1268">
        <f t="shared" si="169"/>
        <v>0</v>
      </c>
      <c r="O238" s="836" t="str">
        <f>IFERROR(VLOOKUP(G238,Proveedores!B:D,3,0)," ")</f>
        <v xml:space="preserve"> </v>
      </c>
      <c r="P238" s="836"/>
      <c r="Q238" s="1127" t="e">
        <f t="shared" si="151"/>
        <v>#N/A</v>
      </c>
      <c r="R238" s="1127" t="b">
        <f t="shared" si="162"/>
        <v>0</v>
      </c>
      <c r="S238" s="1127" t="e">
        <f t="shared" si="152"/>
        <v>#N/A</v>
      </c>
      <c r="T238" s="1127" t="b">
        <f t="shared" si="163"/>
        <v>0</v>
      </c>
      <c r="U238" s="1127" t="e">
        <f t="shared" si="153"/>
        <v>#N/A</v>
      </c>
      <c r="V238" s="1127" t="e">
        <f t="shared" si="164"/>
        <v>#N/A</v>
      </c>
      <c r="W238" s="1127" t="e">
        <f>IF(F238="Offiho",J238,IF(_xlfn.XLOOKUP(F238,Proveedores!A$2:A$50,Proveedores!E$2:E$50,"")="Nacional",(J238/0.5)+(V238*H238),((J238/0.3/0.5)+(V238*H238))))</f>
        <v>#N/A</v>
      </c>
      <c r="X238" s="1127" t="e">
        <f t="shared" si="154"/>
        <v>#N/A</v>
      </c>
      <c r="Y238" s="1126" t="b">
        <f t="shared" si="155"/>
        <v>0</v>
      </c>
      <c r="Z238" s="43">
        <v>0</v>
      </c>
      <c r="AA238" s="1219" t="e">
        <f t="shared" si="165"/>
        <v>#N/A</v>
      </c>
      <c r="AB238" s="1219" t="e">
        <f t="shared" si="166"/>
        <v>#N/A</v>
      </c>
      <c r="AC238" s="1219" t="e">
        <f t="shared" si="156"/>
        <v>#N/A</v>
      </c>
      <c r="AD238" s="1126" t="e">
        <f t="shared" si="167"/>
        <v>#N/A</v>
      </c>
      <c r="AE238" s="1217" t="e">
        <f t="shared" si="157"/>
        <v>#N/A</v>
      </c>
      <c r="AF238" s="1220" t="e">
        <f t="shared" si="158"/>
        <v>#N/A</v>
      </c>
      <c r="AG238" s="1176" t="e">
        <f t="shared" si="159"/>
        <v>#N/A</v>
      </c>
      <c r="AH238" s="1221" t="e">
        <f t="shared" si="168"/>
        <v>#N/A</v>
      </c>
    </row>
    <row r="239" spans="1:34" ht="15.5">
      <c r="A239" s="1216" t="b">
        <f t="shared" si="147"/>
        <v>1</v>
      </c>
      <c r="B239" s="1217" t="b">
        <f t="shared" si="160"/>
        <v>1</v>
      </c>
      <c r="C239" s="1218" t="str">
        <f t="shared" si="161"/>
        <v>Dólares</v>
      </c>
      <c r="D239" s="46"/>
      <c r="E239" s="836"/>
      <c r="F239" s="50"/>
      <c r="G239" s="50" t="str">
        <f t="shared" si="148"/>
        <v xml:space="preserve"> </v>
      </c>
      <c r="H239" s="45">
        <v>0</v>
      </c>
      <c r="I239" s="49" t="str">
        <f>IFERROR(VLOOKUP(G239,Proveedores!B:C,2,0)," ")</f>
        <v xml:space="preserve"> </v>
      </c>
      <c r="J239" s="838">
        <v>0</v>
      </c>
      <c r="K239" s="1124"/>
      <c r="L239" s="1266">
        <f t="shared" si="149"/>
        <v>0</v>
      </c>
      <c r="M239" s="1267">
        <f t="shared" si="150"/>
        <v>0</v>
      </c>
      <c r="N239" s="1268">
        <f t="shared" si="169"/>
        <v>0</v>
      </c>
      <c r="O239" s="836" t="str">
        <f>IFERROR(VLOOKUP(G239,Proveedores!B:D,3,0)," ")</f>
        <v xml:space="preserve"> </v>
      </c>
      <c r="P239" s="836"/>
      <c r="Q239" s="1127" t="e">
        <f t="shared" si="151"/>
        <v>#N/A</v>
      </c>
      <c r="R239" s="1127" t="b">
        <f t="shared" si="162"/>
        <v>0</v>
      </c>
      <c r="S239" s="1127" t="e">
        <f t="shared" si="152"/>
        <v>#N/A</v>
      </c>
      <c r="T239" s="1127" t="b">
        <f t="shared" si="163"/>
        <v>0</v>
      </c>
      <c r="U239" s="1127" t="e">
        <f t="shared" si="153"/>
        <v>#N/A</v>
      </c>
      <c r="V239" s="1127" t="e">
        <f t="shared" si="164"/>
        <v>#N/A</v>
      </c>
      <c r="W239" s="1127" t="e">
        <f>IF(F239="Offiho",J239,IF(_xlfn.XLOOKUP(F239,Proveedores!A$2:A$50,Proveedores!E$2:E$50,"")="Nacional",(J239/0.5)+(V239*H239),((J239/0.3/0.5)+(V239*H239))))</f>
        <v>#N/A</v>
      </c>
      <c r="X239" s="1127" t="e">
        <f t="shared" si="154"/>
        <v>#N/A</v>
      </c>
      <c r="Y239" s="1126" t="b">
        <f t="shared" si="155"/>
        <v>0</v>
      </c>
      <c r="Z239" s="43">
        <v>0</v>
      </c>
      <c r="AA239" s="1219" t="e">
        <f t="shared" si="165"/>
        <v>#N/A</v>
      </c>
      <c r="AB239" s="1219" t="e">
        <f t="shared" si="166"/>
        <v>#N/A</v>
      </c>
      <c r="AC239" s="1219" t="e">
        <f t="shared" si="156"/>
        <v>#N/A</v>
      </c>
      <c r="AD239" s="1126" t="e">
        <f t="shared" si="167"/>
        <v>#N/A</v>
      </c>
      <c r="AE239" s="1217" t="e">
        <f t="shared" si="157"/>
        <v>#N/A</v>
      </c>
      <c r="AF239" s="1220" t="e">
        <f t="shared" si="158"/>
        <v>#N/A</v>
      </c>
      <c r="AG239" s="1176" t="e">
        <f t="shared" si="159"/>
        <v>#N/A</v>
      </c>
      <c r="AH239" s="1221" t="e">
        <f t="shared" si="168"/>
        <v>#N/A</v>
      </c>
    </row>
    <row r="240" spans="1:34" ht="15.5">
      <c r="A240" s="1216" t="b">
        <f t="shared" si="147"/>
        <v>1</v>
      </c>
      <c r="B240" s="1217" t="b">
        <f t="shared" si="160"/>
        <v>1</v>
      </c>
      <c r="C240" s="1218" t="str">
        <f t="shared" si="161"/>
        <v>Dólares</v>
      </c>
      <c r="D240" s="46"/>
      <c r="E240" s="836"/>
      <c r="F240" s="50"/>
      <c r="G240" s="50" t="str">
        <f t="shared" si="148"/>
        <v xml:space="preserve"> </v>
      </c>
      <c r="H240" s="45">
        <v>0</v>
      </c>
      <c r="I240" s="49" t="str">
        <f>IFERROR(VLOOKUP(G240,Proveedores!B:C,2,0)," ")</f>
        <v xml:space="preserve"> </v>
      </c>
      <c r="J240" s="838">
        <v>0</v>
      </c>
      <c r="K240" s="1124"/>
      <c r="L240" s="1266">
        <f t="shared" si="149"/>
        <v>0</v>
      </c>
      <c r="M240" s="1267">
        <f t="shared" si="150"/>
        <v>0</v>
      </c>
      <c r="N240" s="1268">
        <f t="shared" si="169"/>
        <v>0</v>
      </c>
      <c r="O240" s="836" t="str">
        <f>IFERROR(VLOOKUP(G240,Proveedores!B:D,3,0)," ")</f>
        <v xml:space="preserve"> </v>
      </c>
      <c r="P240" s="836"/>
      <c r="Q240" s="1127" t="e">
        <f t="shared" si="151"/>
        <v>#N/A</v>
      </c>
      <c r="R240" s="1127" t="b">
        <f t="shared" si="162"/>
        <v>0</v>
      </c>
      <c r="S240" s="1127" t="e">
        <f t="shared" si="152"/>
        <v>#N/A</v>
      </c>
      <c r="T240" s="1127" t="b">
        <f t="shared" si="163"/>
        <v>0</v>
      </c>
      <c r="U240" s="1127" t="e">
        <f t="shared" si="153"/>
        <v>#N/A</v>
      </c>
      <c r="V240" s="1127" t="e">
        <f t="shared" si="164"/>
        <v>#N/A</v>
      </c>
      <c r="W240" s="1127" t="e">
        <f>IF(F240="Offiho",J240,IF(_xlfn.XLOOKUP(F240,Proveedores!A$2:A$50,Proveedores!E$2:E$50,"")="Nacional",(J240/0.5)+(V240*H240),((J240/0.3/0.5)+(V240*H240))))</f>
        <v>#N/A</v>
      </c>
      <c r="X240" s="1127" t="e">
        <f t="shared" si="154"/>
        <v>#N/A</v>
      </c>
      <c r="Y240" s="1126" t="b">
        <f t="shared" si="155"/>
        <v>0</v>
      </c>
      <c r="Z240" s="43">
        <v>0</v>
      </c>
      <c r="AA240" s="1219" t="e">
        <f t="shared" si="165"/>
        <v>#N/A</v>
      </c>
      <c r="AB240" s="1219" t="e">
        <f t="shared" si="166"/>
        <v>#N/A</v>
      </c>
      <c r="AC240" s="1219" t="e">
        <f t="shared" si="156"/>
        <v>#N/A</v>
      </c>
      <c r="AD240" s="1126" t="e">
        <f t="shared" si="167"/>
        <v>#N/A</v>
      </c>
      <c r="AE240" s="1217" t="e">
        <f t="shared" si="157"/>
        <v>#N/A</v>
      </c>
      <c r="AF240" s="1220" t="e">
        <f t="shared" si="158"/>
        <v>#N/A</v>
      </c>
      <c r="AG240" s="1176" t="e">
        <f t="shared" si="159"/>
        <v>#N/A</v>
      </c>
      <c r="AH240" s="1221" t="e">
        <f t="shared" si="168"/>
        <v>#N/A</v>
      </c>
    </row>
    <row r="241" spans="1:34" ht="15.5">
      <c r="A241" s="1216" t="b">
        <f t="shared" si="147"/>
        <v>1</v>
      </c>
      <c r="B241" s="1217" t="b">
        <f t="shared" si="160"/>
        <v>1</v>
      </c>
      <c r="C241" s="1218" t="str">
        <f t="shared" si="161"/>
        <v>Dólares</v>
      </c>
      <c r="D241" s="47"/>
      <c r="E241" s="836"/>
      <c r="F241" s="50"/>
      <c r="G241" s="50" t="str">
        <f t="shared" si="148"/>
        <v xml:space="preserve"> </v>
      </c>
      <c r="H241" s="45">
        <v>0</v>
      </c>
      <c r="I241" s="49" t="str">
        <f>IFERROR(VLOOKUP(G241,Proveedores!B:C,2,0)," ")</f>
        <v xml:space="preserve"> </v>
      </c>
      <c r="J241" s="838">
        <v>0</v>
      </c>
      <c r="K241" s="1124"/>
      <c r="L241" s="1266">
        <f t="shared" si="149"/>
        <v>0</v>
      </c>
      <c r="M241" s="1267">
        <f t="shared" si="150"/>
        <v>0</v>
      </c>
      <c r="N241" s="1268">
        <f t="shared" si="169"/>
        <v>0</v>
      </c>
      <c r="O241" s="836" t="str">
        <f>IFERROR(VLOOKUP(G241,Proveedores!B:D,3,0)," ")</f>
        <v xml:space="preserve"> </v>
      </c>
      <c r="P241" s="836"/>
      <c r="Q241" s="1127" t="e">
        <f t="shared" si="151"/>
        <v>#N/A</v>
      </c>
      <c r="R241" s="1127" t="b">
        <f t="shared" si="162"/>
        <v>0</v>
      </c>
      <c r="S241" s="1127" t="e">
        <f t="shared" si="152"/>
        <v>#N/A</v>
      </c>
      <c r="T241" s="1127" t="b">
        <f t="shared" si="163"/>
        <v>0</v>
      </c>
      <c r="U241" s="1127" t="e">
        <f t="shared" si="153"/>
        <v>#N/A</v>
      </c>
      <c r="V241" s="1127" t="e">
        <f t="shared" si="164"/>
        <v>#N/A</v>
      </c>
      <c r="W241" s="1127" t="e">
        <f>IF(F241="Offiho",J241,IF(_xlfn.XLOOKUP(F241,Proveedores!A$2:A$50,Proveedores!E$2:E$50,"")="Nacional",(J241/0.5)+(V241*H241),((J241/0.3/0.5)+(V241*H241))))</f>
        <v>#N/A</v>
      </c>
      <c r="X241" s="1127" t="e">
        <f t="shared" si="154"/>
        <v>#N/A</v>
      </c>
      <c r="Y241" s="1126" t="b">
        <f t="shared" si="155"/>
        <v>0</v>
      </c>
      <c r="Z241" s="43">
        <v>0</v>
      </c>
      <c r="AA241" s="1219" t="e">
        <f t="shared" si="165"/>
        <v>#N/A</v>
      </c>
      <c r="AB241" s="1219" t="e">
        <f t="shared" si="166"/>
        <v>#N/A</v>
      </c>
      <c r="AC241" s="1219" t="e">
        <f t="shared" si="156"/>
        <v>#N/A</v>
      </c>
      <c r="AD241" s="1126" t="e">
        <f t="shared" si="167"/>
        <v>#N/A</v>
      </c>
      <c r="AE241" s="1217" t="e">
        <f t="shared" si="157"/>
        <v>#N/A</v>
      </c>
      <c r="AF241" s="1220" t="e">
        <f t="shared" si="158"/>
        <v>#N/A</v>
      </c>
      <c r="AG241" s="1176" t="e">
        <f t="shared" si="159"/>
        <v>#N/A</v>
      </c>
      <c r="AH241" s="1221" t="e">
        <f t="shared" si="168"/>
        <v>#N/A</v>
      </c>
    </row>
    <row r="242" spans="1:34" ht="15.5">
      <c r="A242" s="1216" t="b">
        <f t="shared" si="147"/>
        <v>1</v>
      </c>
      <c r="B242" s="1217" t="b">
        <f t="shared" si="160"/>
        <v>1</v>
      </c>
      <c r="C242" s="1218" t="str">
        <f t="shared" si="161"/>
        <v>Dólares</v>
      </c>
      <c r="D242" s="48"/>
      <c r="E242" s="836"/>
      <c r="F242" s="50"/>
      <c r="G242" s="50" t="str">
        <f t="shared" si="148"/>
        <v xml:space="preserve"> </v>
      </c>
      <c r="H242" s="45">
        <v>0</v>
      </c>
      <c r="I242" s="49" t="str">
        <f>IFERROR(VLOOKUP(G242,Proveedores!B:C,2,0)," ")</f>
        <v xml:space="preserve"> </v>
      </c>
      <c r="J242" s="838">
        <v>0</v>
      </c>
      <c r="K242" s="1124"/>
      <c r="L242" s="1266">
        <f t="shared" si="149"/>
        <v>0</v>
      </c>
      <c r="M242" s="1267">
        <f t="shared" si="150"/>
        <v>0</v>
      </c>
      <c r="N242" s="1268">
        <f t="shared" si="169"/>
        <v>0</v>
      </c>
      <c r="O242" s="836" t="str">
        <f>IFERROR(VLOOKUP(G242,Proveedores!B:D,3,0)," ")</f>
        <v xml:space="preserve"> </v>
      </c>
      <c r="P242" s="836"/>
      <c r="Q242" s="1127" t="e">
        <f t="shared" si="151"/>
        <v>#N/A</v>
      </c>
      <c r="R242" s="1127" t="b">
        <f t="shared" si="162"/>
        <v>0</v>
      </c>
      <c r="S242" s="1127" t="e">
        <f t="shared" si="152"/>
        <v>#N/A</v>
      </c>
      <c r="T242" s="1127" t="b">
        <f t="shared" si="163"/>
        <v>0</v>
      </c>
      <c r="U242" s="1127" t="e">
        <f t="shared" si="153"/>
        <v>#N/A</v>
      </c>
      <c r="V242" s="1127" t="e">
        <f t="shared" si="164"/>
        <v>#N/A</v>
      </c>
      <c r="W242" s="1127" t="e">
        <f>IF(F242="Offiho",J242,IF(_xlfn.XLOOKUP(F242,Proveedores!A$2:A$50,Proveedores!E$2:E$50,"")="Nacional",(J242/0.5)+(V242*H242),((J242/0.3/0.5)+(V242*H242))))</f>
        <v>#N/A</v>
      </c>
      <c r="X242" s="1127" t="e">
        <f t="shared" si="154"/>
        <v>#N/A</v>
      </c>
      <c r="Y242" s="1126" t="b">
        <f t="shared" si="155"/>
        <v>0</v>
      </c>
      <c r="Z242" s="43">
        <v>0</v>
      </c>
      <c r="AA242" s="1219" t="e">
        <f t="shared" si="165"/>
        <v>#N/A</v>
      </c>
      <c r="AB242" s="1219" t="e">
        <f t="shared" si="166"/>
        <v>#N/A</v>
      </c>
      <c r="AC242" s="1219" t="e">
        <f t="shared" si="156"/>
        <v>#N/A</v>
      </c>
      <c r="AD242" s="1126" t="e">
        <f t="shared" si="167"/>
        <v>#N/A</v>
      </c>
      <c r="AE242" s="1217" t="e">
        <f t="shared" si="157"/>
        <v>#N/A</v>
      </c>
      <c r="AF242" s="1220" t="e">
        <f t="shared" si="158"/>
        <v>#N/A</v>
      </c>
      <c r="AG242" s="1176" t="e">
        <f t="shared" si="159"/>
        <v>#N/A</v>
      </c>
      <c r="AH242" s="1221" t="e">
        <f t="shared" si="168"/>
        <v>#N/A</v>
      </c>
    </row>
    <row r="243" spans="1:34" ht="15.5">
      <c r="A243" s="1216" t="b">
        <f t="shared" si="147"/>
        <v>1</v>
      </c>
      <c r="B243" s="1217" t="b">
        <f t="shared" si="160"/>
        <v>1</v>
      </c>
      <c r="C243" s="1218" t="str">
        <f t="shared" si="161"/>
        <v>Dólares</v>
      </c>
      <c r="D243" s="48"/>
      <c r="E243" s="836"/>
      <c r="F243" s="50"/>
      <c r="G243" s="50" t="str">
        <f t="shared" si="148"/>
        <v xml:space="preserve"> </v>
      </c>
      <c r="H243" s="45">
        <v>0</v>
      </c>
      <c r="I243" s="49" t="str">
        <f>IFERROR(VLOOKUP(G243,Proveedores!B:C,2,0)," ")</f>
        <v xml:space="preserve"> </v>
      </c>
      <c r="J243" s="838">
        <v>0</v>
      </c>
      <c r="K243" s="1124"/>
      <c r="L243" s="1266">
        <f t="shared" si="149"/>
        <v>0</v>
      </c>
      <c r="M243" s="1267">
        <f t="shared" si="150"/>
        <v>0</v>
      </c>
      <c r="N243" s="1268">
        <f t="shared" si="169"/>
        <v>0</v>
      </c>
      <c r="O243" s="836" t="str">
        <f>IFERROR(VLOOKUP(G243,Proveedores!B:D,3,0)," ")</f>
        <v xml:space="preserve"> </v>
      </c>
      <c r="P243" s="836"/>
      <c r="Q243" s="1127" t="e">
        <f t="shared" si="151"/>
        <v>#N/A</v>
      </c>
      <c r="R243" s="1127" t="b">
        <f t="shared" si="162"/>
        <v>0</v>
      </c>
      <c r="S243" s="1127" t="e">
        <f t="shared" si="152"/>
        <v>#N/A</v>
      </c>
      <c r="T243" s="1127" t="b">
        <f t="shared" si="163"/>
        <v>0</v>
      </c>
      <c r="U243" s="1127" t="e">
        <f t="shared" si="153"/>
        <v>#N/A</v>
      </c>
      <c r="V243" s="1127" t="e">
        <f t="shared" si="164"/>
        <v>#N/A</v>
      </c>
      <c r="W243" s="1127" t="e">
        <f>IF(F243="Offiho",J243,IF(_xlfn.XLOOKUP(F243,Proveedores!A$2:A$50,Proveedores!E$2:E$50,"")="Nacional",(J243/0.5)+(V243*H243),((J243/0.3/0.5)+(V243*H243))))</f>
        <v>#N/A</v>
      </c>
      <c r="X243" s="1127" t="e">
        <f t="shared" si="154"/>
        <v>#N/A</v>
      </c>
      <c r="Y243" s="1126" t="b">
        <f t="shared" si="155"/>
        <v>0</v>
      </c>
      <c r="Z243" s="43">
        <v>0</v>
      </c>
      <c r="AA243" s="1219" t="e">
        <f t="shared" si="165"/>
        <v>#N/A</v>
      </c>
      <c r="AB243" s="1219" t="e">
        <f t="shared" si="166"/>
        <v>#N/A</v>
      </c>
      <c r="AC243" s="1219" t="e">
        <f t="shared" si="156"/>
        <v>#N/A</v>
      </c>
      <c r="AD243" s="1126" t="e">
        <f t="shared" si="167"/>
        <v>#N/A</v>
      </c>
      <c r="AE243" s="1217" t="e">
        <f t="shared" si="157"/>
        <v>#N/A</v>
      </c>
      <c r="AF243" s="1220" t="e">
        <f t="shared" si="158"/>
        <v>#N/A</v>
      </c>
      <c r="AG243" s="1176" t="e">
        <f t="shared" si="159"/>
        <v>#N/A</v>
      </c>
      <c r="AH243" s="1221" t="e">
        <f t="shared" si="168"/>
        <v>#N/A</v>
      </c>
    </row>
    <row r="244" spans="1:34" ht="15.5">
      <c r="A244" s="1216" t="b">
        <f t="shared" si="147"/>
        <v>1</v>
      </c>
      <c r="B244" s="1217" t="b">
        <f t="shared" si="160"/>
        <v>1</v>
      </c>
      <c r="C244" s="1218" t="str">
        <f t="shared" si="161"/>
        <v>Dólares</v>
      </c>
      <c r="D244" s="48"/>
      <c r="E244" s="836"/>
      <c r="F244" s="50"/>
      <c r="G244" s="50" t="str">
        <f t="shared" si="148"/>
        <v xml:space="preserve"> </v>
      </c>
      <c r="H244" s="45">
        <v>0</v>
      </c>
      <c r="I244" s="49" t="str">
        <f>IFERROR(VLOOKUP(G244,Proveedores!B:C,2,0)," ")</f>
        <v xml:space="preserve"> </v>
      </c>
      <c r="J244" s="838">
        <v>0</v>
      </c>
      <c r="K244" s="1124"/>
      <c r="L244" s="1266">
        <f t="shared" si="149"/>
        <v>0</v>
      </c>
      <c r="M244" s="1267">
        <f t="shared" si="150"/>
        <v>0</v>
      </c>
      <c r="N244" s="1268">
        <f t="shared" si="169"/>
        <v>0</v>
      </c>
      <c r="O244" s="836" t="str">
        <f>IFERROR(VLOOKUP(G244,Proveedores!B:D,3,0)," ")</f>
        <v xml:space="preserve"> </v>
      </c>
      <c r="P244" s="836"/>
      <c r="Q244" s="1127" t="e">
        <f t="shared" si="151"/>
        <v>#N/A</v>
      </c>
      <c r="R244" s="1127" t="b">
        <f t="shared" si="162"/>
        <v>0</v>
      </c>
      <c r="S244" s="1127" t="e">
        <f t="shared" si="152"/>
        <v>#N/A</v>
      </c>
      <c r="T244" s="1127" t="b">
        <f t="shared" si="163"/>
        <v>0</v>
      </c>
      <c r="U244" s="1127" t="e">
        <f t="shared" si="153"/>
        <v>#N/A</v>
      </c>
      <c r="V244" s="1127" t="e">
        <f t="shared" si="164"/>
        <v>#N/A</v>
      </c>
      <c r="W244" s="1127" t="e">
        <f>IF(F244="Offiho",J244,IF(_xlfn.XLOOKUP(F244,Proveedores!A$2:A$50,Proveedores!E$2:E$50,"")="Nacional",(J244/0.5)+(V244*H244),((J244/0.3/0.5)+(V244*H244))))</f>
        <v>#N/A</v>
      </c>
      <c r="X244" s="1127" t="e">
        <f t="shared" si="154"/>
        <v>#N/A</v>
      </c>
      <c r="Y244" s="1126" t="b">
        <f t="shared" si="155"/>
        <v>0</v>
      </c>
      <c r="Z244" s="43">
        <v>0</v>
      </c>
      <c r="AA244" s="1219" t="e">
        <f t="shared" si="165"/>
        <v>#N/A</v>
      </c>
      <c r="AB244" s="1219" t="e">
        <f t="shared" si="166"/>
        <v>#N/A</v>
      </c>
      <c r="AC244" s="1219" t="e">
        <f t="shared" si="156"/>
        <v>#N/A</v>
      </c>
      <c r="AD244" s="1126" t="e">
        <f t="shared" si="167"/>
        <v>#N/A</v>
      </c>
      <c r="AE244" s="1217" t="e">
        <f t="shared" si="157"/>
        <v>#N/A</v>
      </c>
      <c r="AF244" s="1220" t="e">
        <f t="shared" si="158"/>
        <v>#N/A</v>
      </c>
      <c r="AG244" s="1176" t="e">
        <f t="shared" si="159"/>
        <v>#N/A</v>
      </c>
      <c r="AH244" s="1221" t="e">
        <f t="shared" si="168"/>
        <v>#N/A</v>
      </c>
    </row>
    <row r="245" spans="1:34" ht="15.5">
      <c r="A245" s="1216" t="b">
        <f t="shared" si="147"/>
        <v>1</v>
      </c>
      <c r="B245" s="1217" t="b">
        <f t="shared" si="160"/>
        <v>1</v>
      </c>
      <c r="C245" s="1218" t="str">
        <f t="shared" si="161"/>
        <v>Dólares</v>
      </c>
      <c r="D245" s="48"/>
      <c r="E245" s="836"/>
      <c r="F245" s="50"/>
      <c r="G245" s="50" t="str">
        <f t="shared" si="148"/>
        <v xml:space="preserve"> </v>
      </c>
      <c r="H245" s="45">
        <v>0</v>
      </c>
      <c r="I245" s="49" t="str">
        <f>IFERROR(VLOOKUP(G245,Proveedores!B:C,2,0)," ")</f>
        <v xml:space="preserve"> </v>
      </c>
      <c r="J245" s="838">
        <v>0</v>
      </c>
      <c r="K245" s="1124"/>
      <c r="L245" s="1266">
        <f t="shared" si="149"/>
        <v>0</v>
      </c>
      <c r="M245" s="1267">
        <f t="shared" si="150"/>
        <v>0</v>
      </c>
      <c r="N245" s="1268">
        <f t="shared" si="169"/>
        <v>0</v>
      </c>
      <c r="O245" s="836" t="str">
        <f>IFERROR(VLOOKUP(G245,Proveedores!B:D,3,0)," ")</f>
        <v xml:space="preserve"> </v>
      </c>
      <c r="P245" s="836"/>
      <c r="Q245" s="1127" t="e">
        <f t="shared" si="151"/>
        <v>#N/A</v>
      </c>
      <c r="R245" s="1127" t="b">
        <f t="shared" si="162"/>
        <v>0</v>
      </c>
      <c r="S245" s="1127" t="e">
        <f t="shared" si="152"/>
        <v>#N/A</v>
      </c>
      <c r="T245" s="1127" t="b">
        <f t="shared" si="163"/>
        <v>0</v>
      </c>
      <c r="U245" s="1127" t="e">
        <f t="shared" si="153"/>
        <v>#N/A</v>
      </c>
      <c r="V245" s="1127" t="e">
        <f t="shared" si="164"/>
        <v>#N/A</v>
      </c>
      <c r="W245" s="1127" t="e">
        <f>IF(F245="Offiho",J245,IF(_xlfn.XLOOKUP(F245,Proveedores!A$2:A$50,Proveedores!E$2:E$50,"")="Nacional",(J245/0.5)+(V245*H245),((J245/0.3/0.5)+(V245*H245))))</f>
        <v>#N/A</v>
      </c>
      <c r="X245" s="1127" t="e">
        <f t="shared" si="154"/>
        <v>#N/A</v>
      </c>
      <c r="Y245" s="1126" t="b">
        <f t="shared" si="155"/>
        <v>0</v>
      </c>
      <c r="Z245" s="43">
        <v>0</v>
      </c>
      <c r="AA245" s="1219" t="e">
        <f t="shared" si="165"/>
        <v>#N/A</v>
      </c>
      <c r="AB245" s="1219" t="e">
        <f t="shared" si="166"/>
        <v>#N/A</v>
      </c>
      <c r="AC245" s="1219" t="e">
        <f t="shared" si="156"/>
        <v>#N/A</v>
      </c>
      <c r="AD245" s="1126" t="e">
        <f t="shared" si="167"/>
        <v>#N/A</v>
      </c>
      <c r="AE245" s="1217" t="e">
        <f t="shared" si="157"/>
        <v>#N/A</v>
      </c>
      <c r="AF245" s="1220" t="e">
        <f t="shared" si="158"/>
        <v>#N/A</v>
      </c>
      <c r="AG245" s="1176" t="e">
        <f t="shared" si="159"/>
        <v>#N/A</v>
      </c>
      <c r="AH245" s="1221" t="e">
        <f t="shared" si="168"/>
        <v>#N/A</v>
      </c>
    </row>
    <row r="246" spans="1:34" ht="15.5">
      <c r="A246" s="1216" t="b">
        <f t="shared" si="147"/>
        <v>1</v>
      </c>
      <c r="B246" s="1217" t="b">
        <f t="shared" si="160"/>
        <v>1</v>
      </c>
      <c r="C246" s="1218" t="str">
        <f t="shared" si="161"/>
        <v>Dólares</v>
      </c>
      <c r="D246" s="47"/>
      <c r="E246" s="836"/>
      <c r="F246" s="50"/>
      <c r="G246" s="50" t="str">
        <f t="shared" si="148"/>
        <v xml:space="preserve"> </v>
      </c>
      <c r="H246" s="45">
        <v>0</v>
      </c>
      <c r="I246" s="49" t="str">
        <f>IFERROR(VLOOKUP(G246,Proveedores!B:C,2,0)," ")</f>
        <v xml:space="preserve"> </v>
      </c>
      <c r="J246" s="838">
        <v>0</v>
      </c>
      <c r="K246" s="1124"/>
      <c r="L246" s="1266">
        <f t="shared" si="149"/>
        <v>0</v>
      </c>
      <c r="M246" s="1267">
        <f t="shared" si="150"/>
        <v>0</v>
      </c>
      <c r="N246" s="1268">
        <f t="shared" si="169"/>
        <v>0</v>
      </c>
      <c r="O246" s="836" t="str">
        <f>IFERROR(VLOOKUP(G246,Proveedores!B:D,3,0)," ")</f>
        <v xml:space="preserve"> </v>
      </c>
      <c r="P246" s="836"/>
      <c r="Q246" s="1127" t="e">
        <f t="shared" si="151"/>
        <v>#N/A</v>
      </c>
      <c r="R246" s="1127" t="b">
        <f t="shared" si="162"/>
        <v>0</v>
      </c>
      <c r="S246" s="1127" t="e">
        <f t="shared" si="152"/>
        <v>#N/A</v>
      </c>
      <c r="T246" s="1127" t="b">
        <f t="shared" si="163"/>
        <v>0</v>
      </c>
      <c r="U246" s="1127" t="e">
        <f t="shared" si="153"/>
        <v>#N/A</v>
      </c>
      <c r="V246" s="1127" t="e">
        <f t="shared" si="164"/>
        <v>#N/A</v>
      </c>
      <c r="W246" s="1127" t="e">
        <f>IF(F246="Offiho",J246,IF(_xlfn.XLOOKUP(F246,Proveedores!A$2:A$50,Proveedores!E$2:E$50,"")="Nacional",(J246/0.5)+(V246*H246),((J246/0.3/0.5)+(V246*H246))))</f>
        <v>#N/A</v>
      </c>
      <c r="X246" s="1127" t="e">
        <f t="shared" si="154"/>
        <v>#N/A</v>
      </c>
      <c r="Y246" s="1126" t="b">
        <f t="shared" si="155"/>
        <v>0</v>
      </c>
      <c r="Z246" s="43">
        <v>0</v>
      </c>
      <c r="AA246" s="1219" t="e">
        <f t="shared" si="165"/>
        <v>#N/A</v>
      </c>
      <c r="AB246" s="1219" t="e">
        <f t="shared" si="166"/>
        <v>#N/A</v>
      </c>
      <c r="AC246" s="1219" t="e">
        <f t="shared" si="156"/>
        <v>#N/A</v>
      </c>
      <c r="AD246" s="1126" t="e">
        <f t="shared" si="167"/>
        <v>#N/A</v>
      </c>
      <c r="AE246" s="1217" t="e">
        <f t="shared" si="157"/>
        <v>#N/A</v>
      </c>
      <c r="AF246" s="1220" t="e">
        <f t="shared" si="158"/>
        <v>#N/A</v>
      </c>
      <c r="AG246" s="1176" t="e">
        <f t="shared" si="159"/>
        <v>#N/A</v>
      </c>
      <c r="AH246" s="1221" t="e">
        <f t="shared" si="168"/>
        <v>#N/A</v>
      </c>
    </row>
    <row r="247" spans="1:34" ht="15.5">
      <c r="A247" s="1216" t="b">
        <f t="shared" si="147"/>
        <v>1</v>
      </c>
      <c r="B247" s="1217" t="b">
        <f t="shared" si="160"/>
        <v>1</v>
      </c>
      <c r="C247" s="1218" t="str">
        <f t="shared" si="161"/>
        <v>Dólares</v>
      </c>
      <c r="D247" s="47"/>
      <c r="E247" s="836"/>
      <c r="F247" s="50"/>
      <c r="G247" s="50" t="str">
        <f t="shared" si="148"/>
        <v xml:space="preserve"> </v>
      </c>
      <c r="H247" s="45">
        <v>0</v>
      </c>
      <c r="I247" s="49" t="str">
        <f>IFERROR(VLOOKUP(G247,Proveedores!B:C,2,0)," ")</f>
        <v xml:space="preserve"> </v>
      </c>
      <c r="J247" s="838">
        <v>0</v>
      </c>
      <c r="K247" s="1124"/>
      <c r="L247" s="1266">
        <f t="shared" si="149"/>
        <v>0</v>
      </c>
      <c r="M247" s="1267">
        <f t="shared" si="150"/>
        <v>0</v>
      </c>
      <c r="N247" s="1268">
        <f t="shared" si="169"/>
        <v>0</v>
      </c>
      <c r="O247" s="836" t="str">
        <f>IFERROR(VLOOKUP(G247,Proveedores!B:D,3,0)," ")</f>
        <v xml:space="preserve"> </v>
      </c>
      <c r="P247" s="836"/>
      <c r="Q247" s="1127" t="e">
        <f t="shared" si="151"/>
        <v>#N/A</v>
      </c>
      <c r="R247" s="1127" t="b">
        <f t="shared" si="162"/>
        <v>0</v>
      </c>
      <c r="S247" s="1127" t="e">
        <f t="shared" si="152"/>
        <v>#N/A</v>
      </c>
      <c r="T247" s="1127" t="b">
        <f t="shared" si="163"/>
        <v>0</v>
      </c>
      <c r="U247" s="1127" t="e">
        <f t="shared" si="153"/>
        <v>#N/A</v>
      </c>
      <c r="V247" s="1127" t="e">
        <f t="shared" si="164"/>
        <v>#N/A</v>
      </c>
      <c r="W247" s="1127" t="e">
        <f>IF(F247="Offiho",J247,IF(_xlfn.XLOOKUP(F247,Proveedores!A$2:A$50,Proveedores!E$2:E$50,"")="Nacional",(J247/0.5)+(V247*H247),((J247/0.3/0.5)+(V247*H247))))</f>
        <v>#N/A</v>
      </c>
      <c r="X247" s="1127" t="e">
        <f t="shared" si="154"/>
        <v>#N/A</v>
      </c>
      <c r="Y247" s="1126" t="b">
        <f t="shared" si="155"/>
        <v>0</v>
      </c>
      <c r="Z247" s="43">
        <v>0</v>
      </c>
      <c r="AA247" s="1219" t="e">
        <f t="shared" si="165"/>
        <v>#N/A</v>
      </c>
      <c r="AB247" s="1219" t="e">
        <f t="shared" si="166"/>
        <v>#N/A</v>
      </c>
      <c r="AC247" s="1219" t="e">
        <f t="shared" si="156"/>
        <v>#N/A</v>
      </c>
      <c r="AD247" s="1126" t="e">
        <f t="shared" si="167"/>
        <v>#N/A</v>
      </c>
      <c r="AE247" s="1217" t="e">
        <f t="shared" si="157"/>
        <v>#N/A</v>
      </c>
      <c r="AF247" s="1220" t="e">
        <f t="shared" si="158"/>
        <v>#N/A</v>
      </c>
      <c r="AG247" s="1176" t="e">
        <f t="shared" si="159"/>
        <v>#N/A</v>
      </c>
      <c r="AH247" s="1221" t="e">
        <f t="shared" si="168"/>
        <v>#N/A</v>
      </c>
    </row>
    <row r="248" spans="1:34" ht="15.5">
      <c r="A248" s="1216" t="b">
        <f t="shared" si="147"/>
        <v>1</v>
      </c>
      <c r="B248" s="1217" t="b">
        <f t="shared" si="160"/>
        <v>1</v>
      </c>
      <c r="C248" s="1218" t="str">
        <f t="shared" si="161"/>
        <v>Dólares</v>
      </c>
      <c r="D248" s="47"/>
      <c r="E248" s="836"/>
      <c r="F248" s="50"/>
      <c r="G248" s="50" t="str">
        <f t="shared" si="148"/>
        <v xml:space="preserve"> </v>
      </c>
      <c r="H248" s="45">
        <v>0</v>
      </c>
      <c r="I248" s="49" t="str">
        <f>IFERROR(VLOOKUP(G248,Proveedores!B:C,2,0)," ")</f>
        <v xml:space="preserve"> </v>
      </c>
      <c r="J248" s="838">
        <v>0</v>
      </c>
      <c r="K248" s="1124"/>
      <c r="L248" s="1266">
        <f t="shared" si="149"/>
        <v>0</v>
      </c>
      <c r="M248" s="1267">
        <f t="shared" si="150"/>
        <v>0</v>
      </c>
      <c r="N248" s="1268">
        <f t="shared" si="169"/>
        <v>0</v>
      </c>
      <c r="O248" s="836" t="str">
        <f>IFERROR(VLOOKUP(G248,Proveedores!B:D,3,0)," ")</f>
        <v xml:space="preserve"> </v>
      </c>
      <c r="P248" s="836"/>
      <c r="Q248" s="1127" t="e">
        <f t="shared" si="151"/>
        <v>#N/A</v>
      </c>
      <c r="R248" s="1127" t="b">
        <f t="shared" si="162"/>
        <v>0</v>
      </c>
      <c r="S248" s="1127" t="e">
        <f t="shared" si="152"/>
        <v>#N/A</v>
      </c>
      <c r="T248" s="1127" t="b">
        <f t="shared" si="163"/>
        <v>0</v>
      </c>
      <c r="U248" s="1127" t="e">
        <f t="shared" si="153"/>
        <v>#N/A</v>
      </c>
      <c r="V248" s="1127" t="e">
        <f t="shared" si="164"/>
        <v>#N/A</v>
      </c>
      <c r="W248" s="1127" t="e">
        <f>IF(F248="Offiho",J248,IF(_xlfn.XLOOKUP(F248,Proveedores!A$2:A$50,Proveedores!E$2:E$50,"")="Nacional",(J248/0.5)+(V248*H248),((J248/0.3/0.5)+(V248*H248))))</f>
        <v>#N/A</v>
      </c>
      <c r="X248" s="1127" t="e">
        <f t="shared" si="154"/>
        <v>#N/A</v>
      </c>
      <c r="Y248" s="1126" t="b">
        <f t="shared" si="155"/>
        <v>0</v>
      </c>
      <c r="Z248" s="43">
        <v>0</v>
      </c>
      <c r="AA248" s="1219" t="e">
        <f t="shared" si="165"/>
        <v>#N/A</v>
      </c>
      <c r="AB248" s="1219" t="e">
        <f t="shared" si="166"/>
        <v>#N/A</v>
      </c>
      <c r="AC248" s="1219" t="e">
        <f t="shared" si="156"/>
        <v>#N/A</v>
      </c>
      <c r="AD248" s="1126" t="e">
        <f t="shared" si="167"/>
        <v>#N/A</v>
      </c>
      <c r="AE248" s="1217" t="e">
        <f t="shared" si="157"/>
        <v>#N/A</v>
      </c>
      <c r="AF248" s="1220" t="e">
        <f t="shared" si="158"/>
        <v>#N/A</v>
      </c>
      <c r="AG248" s="1176" t="e">
        <f t="shared" si="159"/>
        <v>#N/A</v>
      </c>
      <c r="AH248" s="1221" t="e">
        <f t="shared" si="168"/>
        <v>#N/A</v>
      </c>
    </row>
    <row r="249" spans="1:34" ht="15.5">
      <c r="A249" s="1216" t="b">
        <f t="shared" si="147"/>
        <v>1</v>
      </c>
      <c r="B249" s="1217" t="b">
        <f t="shared" si="160"/>
        <v>1</v>
      </c>
      <c r="C249" s="1218" t="str">
        <f t="shared" si="161"/>
        <v>Dólares</v>
      </c>
      <c r="D249" s="48"/>
      <c r="E249" s="836"/>
      <c r="F249" s="50"/>
      <c r="G249" s="50" t="str">
        <f t="shared" si="148"/>
        <v xml:space="preserve"> </v>
      </c>
      <c r="H249" s="45">
        <v>0</v>
      </c>
      <c r="I249" s="49" t="str">
        <f>IFERROR(VLOOKUP(G249,Proveedores!B:C,2,0)," ")</f>
        <v xml:space="preserve"> </v>
      </c>
      <c r="J249" s="838">
        <v>0</v>
      </c>
      <c r="K249" s="1124"/>
      <c r="L249" s="1266">
        <f t="shared" si="149"/>
        <v>0</v>
      </c>
      <c r="M249" s="1267">
        <f t="shared" si="150"/>
        <v>0</v>
      </c>
      <c r="N249" s="1268">
        <f t="shared" si="169"/>
        <v>0</v>
      </c>
      <c r="O249" s="836" t="str">
        <f>IFERROR(VLOOKUP(G249,Proveedores!B:D,3,0)," ")</f>
        <v xml:space="preserve"> </v>
      </c>
      <c r="P249" s="836"/>
      <c r="Q249" s="1127" t="e">
        <f t="shared" si="151"/>
        <v>#N/A</v>
      </c>
      <c r="R249" s="1127" t="b">
        <f t="shared" si="162"/>
        <v>0</v>
      </c>
      <c r="S249" s="1127" t="e">
        <f t="shared" si="152"/>
        <v>#N/A</v>
      </c>
      <c r="T249" s="1127" t="b">
        <f t="shared" si="163"/>
        <v>0</v>
      </c>
      <c r="U249" s="1127" t="e">
        <f t="shared" si="153"/>
        <v>#N/A</v>
      </c>
      <c r="V249" s="1127" t="e">
        <f t="shared" si="164"/>
        <v>#N/A</v>
      </c>
      <c r="W249" s="1127" t="e">
        <f>IF(F249="Offiho",J249,IF(_xlfn.XLOOKUP(F249,Proveedores!A$2:A$50,Proveedores!E$2:E$50,"")="Nacional",(J249/0.5)+(V249*H249),((J249/0.3/0.5)+(V249*H249))))</f>
        <v>#N/A</v>
      </c>
      <c r="X249" s="1127" t="e">
        <f t="shared" si="154"/>
        <v>#N/A</v>
      </c>
      <c r="Y249" s="1126" t="b">
        <f t="shared" si="155"/>
        <v>0</v>
      </c>
      <c r="Z249" s="43">
        <v>0</v>
      </c>
      <c r="AA249" s="1219" t="e">
        <f t="shared" si="165"/>
        <v>#N/A</v>
      </c>
      <c r="AB249" s="1219" t="e">
        <f t="shared" si="166"/>
        <v>#N/A</v>
      </c>
      <c r="AC249" s="1219" t="e">
        <f t="shared" si="156"/>
        <v>#N/A</v>
      </c>
      <c r="AD249" s="1126" t="e">
        <f t="shared" si="167"/>
        <v>#N/A</v>
      </c>
      <c r="AE249" s="1217" t="e">
        <f t="shared" si="157"/>
        <v>#N/A</v>
      </c>
      <c r="AF249" s="1220" t="e">
        <f t="shared" si="158"/>
        <v>#N/A</v>
      </c>
      <c r="AG249" s="1176" t="e">
        <f t="shared" si="159"/>
        <v>#N/A</v>
      </c>
      <c r="AH249" s="1221" t="e">
        <f t="shared" si="168"/>
        <v>#N/A</v>
      </c>
    </row>
    <row r="250" spans="1:34" ht="15.5">
      <c r="A250" s="1216" t="b">
        <f t="shared" si="147"/>
        <v>1</v>
      </c>
      <c r="B250" s="1217" t="b">
        <f t="shared" si="160"/>
        <v>1</v>
      </c>
      <c r="C250" s="1218" t="str">
        <f t="shared" si="161"/>
        <v>Dólares</v>
      </c>
      <c r="D250" s="48"/>
      <c r="E250" s="836"/>
      <c r="F250" s="50"/>
      <c r="G250" s="50" t="str">
        <f t="shared" si="148"/>
        <v xml:space="preserve"> </v>
      </c>
      <c r="H250" s="45">
        <v>0</v>
      </c>
      <c r="I250" s="49" t="str">
        <f>IFERROR(VLOOKUP(G250,Proveedores!B:C,2,0)," ")</f>
        <v xml:space="preserve"> </v>
      </c>
      <c r="J250" s="838">
        <v>0</v>
      </c>
      <c r="K250" s="1124"/>
      <c r="L250" s="1266">
        <f t="shared" si="149"/>
        <v>0</v>
      </c>
      <c r="M250" s="1267">
        <f t="shared" si="150"/>
        <v>0</v>
      </c>
      <c r="N250" s="1268">
        <f t="shared" si="169"/>
        <v>0</v>
      </c>
      <c r="O250" s="836" t="str">
        <f>IFERROR(VLOOKUP(G250,Proveedores!B:D,3,0)," ")</f>
        <v xml:space="preserve"> </v>
      </c>
      <c r="P250" s="836"/>
      <c r="Q250" s="1127" t="e">
        <f t="shared" si="151"/>
        <v>#N/A</v>
      </c>
      <c r="R250" s="1127" t="b">
        <f t="shared" si="162"/>
        <v>0</v>
      </c>
      <c r="S250" s="1127" t="e">
        <f t="shared" si="152"/>
        <v>#N/A</v>
      </c>
      <c r="T250" s="1127" t="b">
        <f t="shared" si="163"/>
        <v>0</v>
      </c>
      <c r="U250" s="1127" t="e">
        <f t="shared" si="153"/>
        <v>#N/A</v>
      </c>
      <c r="V250" s="1127" t="e">
        <f t="shared" si="164"/>
        <v>#N/A</v>
      </c>
      <c r="W250" s="1127" t="e">
        <f>IF(F250="Offiho",J250,IF(_xlfn.XLOOKUP(F250,Proveedores!A$2:A$50,Proveedores!E$2:E$50,"")="Nacional",(J250/0.5)+(V250*H250),((J250/0.3/0.5)+(V250*H250))))</f>
        <v>#N/A</v>
      </c>
      <c r="X250" s="1127" t="e">
        <f t="shared" si="154"/>
        <v>#N/A</v>
      </c>
      <c r="Y250" s="1126" t="b">
        <f t="shared" si="155"/>
        <v>0</v>
      </c>
      <c r="Z250" s="43">
        <v>0</v>
      </c>
      <c r="AA250" s="1219" t="e">
        <f t="shared" si="165"/>
        <v>#N/A</v>
      </c>
      <c r="AB250" s="1219" t="e">
        <f t="shared" si="166"/>
        <v>#N/A</v>
      </c>
      <c r="AC250" s="1219" t="e">
        <f t="shared" si="156"/>
        <v>#N/A</v>
      </c>
      <c r="AD250" s="1126" t="e">
        <f t="shared" si="167"/>
        <v>#N/A</v>
      </c>
      <c r="AE250" s="1217" t="e">
        <f t="shared" si="157"/>
        <v>#N/A</v>
      </c>
      <c r="AF250" s="1220" t="e">
        <f t="shared" si="158"/>
        <v>#N/A</v>
      </c>
      <c r="AG250" s="1176" t="e">
        <f t="shared" si="159"/>
        <v>#N/A</v>
      </c>
      <c r="AH250" s="1221" t="e">
        <f t="shared" si="168"/>
        <v>#N/A</v>
      </c>
    </row>
    <row r="251" spans="1:34" ht="15.5">
      <c r="A251" s="1216" t="b">
        <f t="shared" si="147"/>
        <v>1</v>
      </c>
      <c r="B251" s="1217" t="b">
        <f t="shared" si="160"/>
        <v>1</v>
      </c>
      <c r="C251" s="1218" t="str">
        <f t="shared" si="161"/>
        <v>Dólares</v>
      </c>
      <c r="D251" s="47"/>
      <c r="E251" s="836"/>
      <c r="F251" s="50"/>
      <c r="G251" s="50" t="str">
        <f t="shared" si="148"/>
        <v xml:space="preserve"> </v>
      </c>
      <c r="H251" s="45">
        <v>0</v>
      </c>
      <c r="I251" s="49" t="str">
        <f>IFERROR(VLOOKUP(G251,Proveedores!B:C,2,0)," ")</f>
        <v xml:space="preserve"> </v>
      </c>
      <c r="J251" s="838">
        <v>0</v>
      </c>
      <c r="K251" s="1124"/>
      <c r="L251" s="1266">
        <f t="shared" si="149"/>
        <v>0</v>
      </c>
      <c r="M251" s="1267">
        <f t="shared" si="150"/>
        <v>0</v>
      </c>
      <c r="N251" s="1268">
        <f t="shared" si="169"/>
        <v>0</v>
      </c>
      <c r="O251" s="836" t="str">
        <f>IFERROR(VLOOKUP(G251,Proveedores!B:D,3,0)," ")</f>
        <v xml:space="preserve"> </v>
      </c>
      <c r="P251" s="836"/>
      <c r="Q251" s="1127" t="e">
        <f t="shared" si="151"/>
        <v>#N/A</v>
      </c>
      <c r="R251" s="1127" t="b">
        <f t="shared" si="162"/>
        <v>0</v>
      </c>
      <c r="S251" s="1127" t="e">
        <f t="shared" si="152"/>
        <v>#N/A</v>
      </c>
      <c r="T251" s="1127" t="b">
        <f t="shared" si="163"/>
        <v>0</v>
      </c>
      <c r="U251" s="1127" t="e">
        <f t="shared" si="153"/>
        <v>#N/A</v>
      </c>
      <c r="V251" s="1127" t="e">
        <f t="shared" si="164"/>
        <v>#N/A</v>
      </c>
      <c r="W251" s="1127" t="e">
        <f>IF(F251="Offiho",J251,IF(_xlfn.XLOOKUP(F251,Proveedores!A$2:A$50,Proveedores!E$2:E$50,"")="Nacional",(J251/0.5)+(V251*H251),((J251/0.3/0.5)+(V251*H251))))</f>
        <v>#N/A</v>
      </c>
      <c r="X251" s="1127" t="e">
        <f t="shared" si="154"/>
        <v>#N/A</v>
      </c>
      <c r="Y251" s="1126" t="b">
        <f t="shared" si="155"/>
        <v>0</v>
      </c>
      <c r="Z251" s="43">
        <v>0</v>
      </c>
      <c r="AA251" s="1219" t="e">
        <f t="shared" si="165"/>
        <v>#N/A</v>
      </c>
      <c r="AB251" s="1219" t="e">
        <f t="shared" si="166"/>
        <v>#N/A</v>
      </c>
      <c r="AC251" s="1219" t="e">
        <f t="shared" si="156"/>
        <v>#N/A</v>
      </c>
      <c r="AD251" s="1126" t="e">
        <f t="shared" si="167"/>
        <v>#N/A</v>
      </c>
      <c r="AE251" s="1217" t="e">
        <f t="shared" si="157"/>
        <v>#N/A</v>
      </c>
      <c r="AF251" s="1220" t="e">
        <f t="shared" si="158"/>
        <v>#N/A</v>
      </c>
      <c r="AG251" s="1176" t="e">
        <f t="shared" si="159"/>
        <v>#N/A</v>
      </c>
      <c r="AH251" s="1221" t="e">
        <f t="shared" si="168"/>
        <v>#N/A</v>
      </c>
    </row>
    <row r="252" spans="1:34" ht="15.5">
      <c r="A252" s="1216" t="b">
        <f t="shared" si="147"/>
        <v>1</v>
      </c>
      <c r="B252" s="1217" t="b">
        <f t="shared" si="160"/>
        <v>1</v>
      </c>
      <c r="C252" s="1218" t="str">
        <f t="shared" si="161"/>
        <v>Dólares</v>
      </c>
      <c r="D252" s="47"/>
      <c r="E252" s="836"/>
      <c r="F252" s="50"/>
      <c r="G252" s="50" t="str">
        <f t="shared" si="148"/>
        <v xml:space="preserve"> </v>
      </c>
      <c r="H252" s="45">
        <v>0</v>
      </c>
      <c r="I252" s="49" t="str">
        <f>IFERROR(VLOOKUP(G252,Proveedores!B:C,2,0)," ")</f>
        <v xml:space="preserve"> </v>
      </c>
      <c r="J252" s="838">
        <v>0</v>
      </c>
      <c r="K252" s="1124"/>
      <c r="L252" s="1266">
        <f t="shared" si="149"/>
        <v>0</v>
      </c>
      <c r="M252" s="1267">
        <f t="shared" si="150"/>
        <v>0</v>
      </c>
      <c r="N252" s="1268">
        <f t="shared" si="169"/>
        <v>0</v>
      </c>
      <c r="O252" s="836" t="str">
        <f>IFERROR(VLOOKUP(G252,Proveedores!B:D,3,0)," ")</f>
        <v xml:space="preserve"> </v>
      </c>
      <c r="P252" s="836"/>
      <c r="Q252" s="1127" t="e">
        <f t="shared" si="151"/>
        <v>#N/A</v>
      </c>
      <c r="R252" s="1127" t="b">
        <f t="shared" si="162"/>
        <v>0</v>
      </c>
      <c r="S252" s="1127" t="e">
        <f t="shared" si="152"/>
        <v>#N/A</v>
      </c>
      <c r="T252" s="1127" t="b">
        <f t="shared" si="163"/>
        <v>0</v>
      </c>
      <c r="U252" s="1127" t="e">
        <f t="shared" si="153"/>
        <v>#N/A</v>
      </c>
      <c r="V252" s="1127" t="e">
        <f t="shared" si="164"/>
        <v>#N/A</v>
      </c>
      <c r="W252" s="1127" t="e">
        <f>IF(F252="Offiho",J252,IF(_xlfn.XLOOKUP(F252,Proveedores!A$2:A$50,Proveedores!E$2:E$50,"")="Nacional",(J252/0.5)+(V252*H252),((J252/0.3/0.5)+(V252*H252))))</f>
        <v>#N/A</v>
      </c>
      <c r="X252" s="1127" t="e">
        <f t="shared" si="154"/>
        <v>#N/A</v>
      </c>
      <c r="Y252" s="1126" t="b">
        <f t="shared" si="155"/>
        <v>0</v>
      </c>
      <c r="Z252" s="43">
        <v>0</v>
      </c>
      <c r="AA252" s="1219" t="e">
        <f t="shared" si="165"/>
        <v>#N/A</v>
      </c>
      <c r="AB252" s="1219" t="e">
        <f t="shared" si="166"/>
        <v>#N/A</v>
      </c>
      <c r="AC252" s="1219" t="e">
        <f t="shared" si="156"/>
        <v>#N/A</v>
      </c>
      <c r="AD252" s="1126" t="e">
        <f t="shared" si="167"/>
        <v>#N/A</v>
      </c>
      <c r="AE252" s="1217" t="e">
        <f t="shared" si="157"/>
        <v>#N/A</v>
      </c>
      <c r="AF252" s="1220" t="e">
        <f t="shared" si="158"/>
        <v>#N/A</v>
      </c>
      <c r="AG252" s="1176" t="e">
        <f t="shared" si="159"/>
        <v>#N/A</v>
      </c>
      <c r="AH252" s="1221" t="e">
        <f t="shared" si="168"/>
        <v>#N/A</v>
      </c>
    </row>
    <row r="253" spans="1:34" ht="15.5">
      <c r="A253" s="1216" t="b">
        <f t="shared" si="147"/>
        <v>1</v>
      </c>
      <c r="B253" s="1217" t="b">
        <f t="shared" si="160"/>
        <v>1</v>
      </c>
      <c r="C253" s="1218" t="str">
        <f t="shared" si="161"/>
        <v>Dólares</v>
      </c>
      <c r="D253" s="47"/>
      <c r="E253" s="836"/>
      <c r="F253" s="50"/>
      <c r="G253" s="50" t="str">
        <f t="shared" si="148"/>
        <v xml:space="preserve"> </v>
      </c>
      <c r="H253" s="45">
        <v>0</v>
      </c>
      <c r="I253" s="49" t="str">
        <f>IFERROR(VLOOKUP(G253,Proveedores!B:C,2,0)," ")</f>
        <v xml:space="preserve"> </v>
      </c>
      <c r="J253" s="838">
        <v>0</v>
      </c>
      <c r="K253" s="1124"/>
      <c r="L253" s="1266">
        <f t="shared" si="149"/>
        <v>0</v>
      </c>
      <c r="M253" s="1267">
        <f t="shared" si="150"/>
        <v>0</v>
      </c>
      <c r="N253" s="1268">
        <f t="shared" si="169"/>
        <v>0</v>
      </c>
      <c r="O253" s="836" t="str">
        <f>IFERROR(VLOOKUP(G253,Proveedores!B:D,3,0)," ")</f>
        <v xml:space="preserve"> </v>
      </c>
      <c r="P253" s="836"/>
      <c r="Q253" s="1127" t="e">
        <f t="shared" si="151"/>
        <v>#N/A</v>
      </c>
      <c r="R253" s="1127" t="b">
        <f t="shared" si="162"/>
        <v>0</v>
      </c>
      <c r="S253" s="1127" t="e">
        <f t="shared" si="152"/>
        <v>#N/A</v>
      </c>
      <c r="T253" s="1127" t="b">
        <f t="shared" si="163"/>
        <v>0</v>
      </c>
      <c r="U253" s="1127" t="e">
        <f t="shared" si="153"/>
        <v>#N/A</v>
      </c>
      <c r="V253" s="1127" t="e">
        <f t="shared" si="164"/>
        <v>#N/A</v>
      </c>
      <c r="W253" s="1127" t="e">
        <f>IF(F253="Offiho",J253,IF(_xlfn.XLOOKUP(F253,Proveedores!A$2:A$50,Proveedores!E$2:E$50,"")="Nacional",(J253/0.5)+(V253*H253),((J253/0.3/0.5)+(V253*H253))))</f>
        <v>#N/A</v>
      </c>
      <c r="X253" s="1127" t="e">
        <f t="shared" si="154"/>
        <v>#N/A</v>
      </c>
      <c r="Y253" s="1126" t="b">
        <f t="shared" si="155"/>
        <v>0</v>
      </c>
      <c r="Z253" s="43">
        <v>0</v>
      </c>
      <c r="AA253" s="1219" t="e">
        <f t="shared" si="165"/>
        <v>#N/A</v>
      </c>
      <c r="AB253" s="1219" t="e">
        <f t="shared" si="166"/>
        <v>#N/A</v>
      </c>
      <c r="AC253" s="1219" t="e">
        <f t="shared" si="156"/>
        <v>#N/A</v>
      </c>
      <c r="AD253" s="1126" t="e">
        <f t="shared" si="167"/>
        <v>#N/A</v>
      </c>
      <c r="AE253" s="1217" t="e">
        <f t="shared" si="157"/>
        <v>#N/A</v>
      </c>
      <c r="AF253" s="1220" t="e">
        <f t="shared" si="158"/>
        <v>#N/A</v>
      </c>
      <c r="AG253" s="1176" t="e">
        <f t="shared" si="159"/>
        <v>#N/A</v>
      </c>
      <c r="AH253" s="1221" t="e">
        <f t="shared" si="168"/>
        <v>#N/A</v>
      </c>
    </row>
    <row r="254" spans="1:34" ht="15.5">
      <c r="A254" s="1216" t="b">
        <f t="shared" si="147"/>
        <v>1</v>
      </c>
      <c r="B254" s="1217" t="b">
        <f t="shared" si="160"/>
        <v>1</v>
      </c>
      <c r="C254" s="1218" t="str">
        <f t="shared" si="161"/>
        <v>Dólares</v>
      </c>
      <c r="D254" s="47"/>
      <c r="E254" s="836"/>
      <c r="F254" s="50"/>
      <c r="G254" s="50" t="str">
        <f t="shared" si="148"/>
        <v xml:space="preserve"> </v>
      </c>
      <c r="H254" s="45">
        <v>0</v>
      </c>
      <c r="I254" s="49" t="str">
        <f>IFERROR(VLOOKUP(G254,Proveedores!B:C,2,0)," ")</f>
        <v xml:space="preserve"> </v>
      </c>
      <c r="J254" s="838">
        <v>0</v>
      </c>
      <c r="K254" s="1124"/>
      <c r="L254" s="1266">
        <f t="shared" si="149"/>
        <v>0</v>
      </c>
      <c r="M254" s="1267">
        <f t="shared" si="150"/>
        <v>0</v>
      </c>
      <c r="N254" s="1268">
        <f t="shared" si="169"/>
        <v>0</v>
      </c>
      <c r="O254" s="836" t="str">
        <f>IFERROR(VLOOKUP(G254,Proveedores!B:D,3,0)," ")</f>
        <v xml:space="preserve"> </v>
      </c>
      <c r="P254" s="836"/>
      <c r="Q254" s="1127" t="e">
        <f t="shared" si="151"/>
        <v>#N/A</v>
      </c>
      <c r="R254" s="1127" t="b">
        <f t="shared" si="162"/>
        <v>0</v>
      </c>
      <c r="S254" s="1127" t="e">
        <f t="shared" si="152"/>
        <v>#N/A</v>
      </c>
      <c r="T254" s="1127" t="b">
        <f t="shared" si="163"/>
        <v>0</v>
      </c>
      <c r="U254" s="1127" t="e">
        <f t="shared" si="153"/>
        <v>#N/A</v>
      </c>
      <c r="V254" s="1127" t="e">
        <f t="shared" si="164"/>
        <v>#N/A</v>
      </c>
      <c r="W254" s="1127" t="e">
        <f>IF(F254="Offiho",J254,IF(_xlfn.XLOOKUP(F254,Proveedores!A$2:A$50,Proveedores!E$2:E$50,"")="Nacional",(J254/0.5)+(V254*H254),((J254/0.3/0.5)+(V254*H254))))</f>
        <v>#N/A</v>
      </c>
      <c r="X254" s="1127" t="e">
        <f t="shared" si="154"/>
        <v>#N/A</v>
      </c>
      <c r="Y254" s="1126" t="b">
        <f t="shared" si="155"/>
        <v>0</v>
      </c>
      <c r="Z254" s="43">
        <v>0</v>
      </c>
      <c r="AA254" s="1219" t="e">
        <f t="shared" si="165"/>
        <v>#N/A</v>
      </c>
      <c r="AB254" s="1219" t="e">
        <f t="shared" si="166"/>
        <v>#N/A</v>
      </c>
      <c r="AC254" s="1219" t="e">
        <f t="shared" si="156"/>
        <v>#N/A</v>
      </c>
      <c r="AD254" s="1126" t="e">
        <f t="shared" si="167"/>
        <v>#N/A</v>
      </c>
      <c r="AE254" s="1217" t="e">
        <f t="shared" si="157"/>
        <v>#N/A</v>
      </c>
      <c r="AF254" s="1220" t="e">
        <f t="shared" si="158"/>
        <v>#N/A</v>
      </c>
      <c r="AG254" s="1176" t="e">
        <f t="shared" si="159"/>
        <v>#N/A</v>
      </c>
      <c r="AH254" s="1221" t="e">
        <f t="shared" si="168"/>
        <v>#N/A</v>
      </c>
    </row>
    <row r="255" spans="1:34" ht="15.5">
      <c r="A255" s="1216" t="b">
        <f t="shared" si="147"/>
        <v>1</v>
      </c>
      <c r="B255" s="1217" t="b">
        <f t="shared" si="160"/>
        <v>1</v>
      </c>
      <c r="C255" s="1218" t="str">
        <f t="shared" si="161"/>
        <v>Dólares</v>
      </c>
      <c r="D255" s="47"/>
      <c r="E255" s="836"/>
      <c r="F255" s="50"/>
      <c r="G255" s="50" t="str">
        <f t="shared" si="148"/>
        <v xml:space="preserve"> </v>
      </c>
      <c r="H255" s="45">
        <v>0</v>
      </c>
      <c r="I255" s="49" t="str">
        <f>IFERROR(VLOOKUP(G255,Proveedores!B:C,2,0)," ")</f>
        <v xml:space="preserve"> </v>
      </c>
      <c r="J255" s="838">
        <v>0</v>
      </c>
      <c r="K255" s="1124"/>
      <c r="L255" s="1266">
        <f t="shared" si="149"/>
        <v>0</v>
      </c>
      <c r="M255" s="1267">
        <f t="shared" si="150"/>
        <v>0</v>
      </c>
      <c r="N255" s="1268">
        <f t="shared" si="169"/>
        <v>0</v>
      </c>
      <c r="O255" s="836" t="str">
        <f>IFERROR(VLOOKUP(G255,Proveedores!B:D,3,0)," ")</f>
        <v xml:space="preserve"> </v>
      </c>
      <c r="P255" s="836"/>
      <c r="Q255" s="1127" t="e">
        <f t="shared" si="151"/>
        <v>#N/A</v>
      </c>
      <c r="R255" s="1127" t="b">
        <f t="shared" si="162"/>
        <v>0</v>
      </c>
      <c r="S255" s="1127" t="e">
        <f t="shared" si="152"/>
        <v>#N/A</v>
      </c>
      <c r="T255" s="1127" t="b">
        <f t="shared" si="163"/>
        <v>0</v>
      </c>
      <c r="U255" s="1127" t="e">
        <f t="shared" si="153"/>
        <v>#N/A</v>
      </c>
      <c r="V255" s="1127" t="e">
        <f t="shared" si="164"/>
        <v>#N/A</v>
      </c>
      <c r="W255" s="1127" t="e">
        <f>IF(F255="Offiho",J255,IF(_xlfn.XLOOKUP(F255,Proveedores!A$2:A$50,Proveedores!E$2:E$50,"")="Nacional",(J255/0.5)+(V255*H255),((J255/0.3/0.5)+(V255*H255))))</f>
        <v>#N/A</v>
      </c>
      <c r="X255" s="1127" t="e">
        <f t="shared" si="154"/>
        <v>#N/A</v>
      </c>
      <c r="Y255" s="1126" t="b">
        <f t="shared" si="155"/>
        <v>0</v>
      </c>
      <c r="Z255" s="43">
        <v>0</v>
      </c>
      <c r="AA255" s="1219" t="e">
        <f t="shared" si="165"/>
        <v>#N/A</v>
      </c>
      <c r="AB255" s="1219" t="e">
        <f t="shared" si="166"/>
        <v>#N/A</v>
      </c>
      <c r="AC255" s="1219" t="e">
        <f t="shared" si="156"/>
        <v>#N/A</v>
      </c>
      <c r="AD255" s="1126" t="e">
        <f t="shared" si="167"/>
        <v>#N/A</v>
      </c>
      <c r="AE255" s="1217" t="e">
        <f t="shared" si="157"/>
        <v>#N/A</v>
      </c>
      <c r="AF255" s="1220" t="e">
        <f t="shared" si="158"/>
        <v>#N/A</v>
      </c>
      <c r="AG255" s="1176" t="e">
        <f t="shared" si="159"/>
        <v>#N/A</v>
      </c>
      <c r="AH255" s="1221" t="e">
        <f t="shared" si="168"/>
        <v>#N/A</v>
      </c>
    </row>
    <row r="256" spans="1:34" ht="15.5">
      <c r="A256" s="1216" t="b">
        <f t="shared" si="147"/>
        <v>1</v>
      </c>
      <c r="B256" s="1217" t="b">
        <f t="shared" si="160"/>
        <v>1</v>
      </c>
      <c r="C256" s="1218" t="str">
        <f t="shared" si="161"/>
        <v>Dólares</v>
      </c>
      <c r="D256" s="47"/>
      <c r="E256" s="836"/>
      <c r="F256" s="50"/>
      <c r="G256" s="50" t="str">
        <f t="shared" si="148"/>
        <v xml:space="preserve"> </v>
      </c>
      <c r="H256" s="45">
        <v>0</v>
      </c>
      <c r="I256" s="49" t="str">
        <f>IFERROR(VLOOKUP(G256,Proveedores!B:C,2,0)," ")</f>
        <v xml:space="preserve"> </v>
      </c>
      <c r="J256" s="838">
        <v>0</v>
      </c>
      <c r="K256" s="1124"/>
      <c r="L256" s="1266">
        <f t="shared" si="149"/>
        <v>0</v>
      </c>
      <c r="M256" s="1267">
        <f t="shared" si="150"/>
        <v>0</v>
      </c>
      <c r="N256" s="1268">
        <f t="shared" si="169"/>
        <v>0</v>
      </c>
      <c r="O256" s="836" t="str">
        <f>IFERROR(VLOOKUP(G256,Proveedores!B:D,3,0)," ")</f>
        <v xml:space="preserve"> </v>
      </c>
      <c r="P256" s="836"/>
      <c r="Q256" s="1127" t="e">
        <f t="shared" si="151"/>
        <v>#N/A</v>
      </c>
      <c r="R256" s="1127" t="b">
        <f t="shared" si="162"/>
        <v>0</v>
      </c>
      <c r="S256" s="1127" t="e">
        <f t="shared" si="152"/>
        <v>#N/A</v>
      </c>
      <c r="T256" s="1127" t="b">
        <f t="shared" si="163"/>
        <v>0</v>
      </c>
      <c r="U256" s="1127" t="e">
        <f t="shared" si="153"/>
        <v>#N/A</v>
      </c>
      <c r="V256" s="1127" t="e">
        <f t="shared" si="164"/>
        <v>#N/A</v>
      </c>
      <c r="W256" s="1127" t="e">
        <f>IF(F256="Offiho",J256,IF(_xlfn.XLOOKUP(F256,Proveedores!A$2:A$50,Proveedores!E$2:E$50,"")="Nacional",(J256/0.5)+(V256*H256),((J256/0.3/0.5)+(V256*H256))))</f>
        <v>#N/A</v>
      </c>
      <c r="X256" s="1127" t="e">
        <f t="shared" si="154"/>
        <v>#N/A</v>
      </c>
      <c r="Y256" s="1126" t="b">
        <f t="shared" si="155"/>
        <v>0</v>
      </c>
      <c r="Z256" s="43">
        <v>0</v>
      </c>
      <c r="AA256" s="1219" t="e">
        <f t="shared" si="165"/>
        <v>#N/A</v>
      </c>
      <c r="AB256" s="1219" t="e">
        <f t="shared" si="166"/>
        <v>#N/A</v>
      </c>
      <c r="AC256" s="1219" t="e">
        <f t="shared" si="156"/>
        <v>#N/A</v>
      </c>
      <c r="AD256" s="1126" t="str">
        <f t="shared" si="167"/>
        <v>NA</v>
      </c>
      <c r="AE256" s="1217" t="e">
        <f t="shared" si="157"/>
        <v>#N/A</v>
      </c>
      <c r="AF256" s="1220" t="e">
        <f t="shared" si="158"/>
        <v>#N/A</v>
      </c>
      <c r="AG256" s="1176" t="e">
        <f t="shared" si="159"/>
        <v>#N/A</v>
      </c>
      <c r="AH256" s="1221" t="e">
        <f t="shared" si="168"/>
        <v>#N/A</v>
      </c>
    </row>
    <row r="257" spans="1:34" ht="24" customHeight="1">
      <c r="A257" s="1422" t="s">
        <v>128</v>
      </c>
      <c r="B257" s="1422"/>
      <c r="C257" s="1422"/>
      <c r="D257" s="1422"/>
      <c r="E257" s="1422"/>
      <c r="F257" s="1422"/>
      <c r="G257" s="1228"/>
      <c r="H257" s="1229" cm="1">
        <f t="array" ref="H257">SUM(IFERROR(H224:H256,0))</f>
        <v>0</v>
      </c>
      <c r="I257" s="1228"/>
      <c r="J257" s="1230"/>
      <c r="K257" s="1231"/>
      <c r="L257" s="1229" cm="1">
        <f t="array" ref="L257">SUM(IFERROR(L224:L256,0))</f>
        <v>0</v>
      </c>
      <c r="M257" s="1235"/>
      <c r="N257" s="1232" cm="1">
        <f t="array" ref="N257">SUM(IFERROR(N224:N256,0))</f>
        <v>0</v>
      </c>
      <c r="O257" s="1233"/>
      <c r="P257" s="1233"/>
      <c r="Q257" s="1233"/>
      <c r="R257" s="1233"/>
      <c r="S257" s="1233"/>
      <c r="T257" s="1233"/>
      <c r="U257" s="1233"/>
      <c r="V257" s="1233"/>
      <c r="W257" s="1231"/>
      <c r="X257" s="1232" cm="1">
        <f t="array" ref="X257">SUM(IFERROR(X224:X256,0))</f>
        <v>0</v>
      </c>
      <c r="Y257" s="1233" t="s">
        <v>116</v>
      </c>
      <c r="Z257" s="1233"/>
      <c r="AA257" s="1233"/>
      <c r="AB257" s="1233"/>
      <c r="AC257" s="1232" cm="1">
        <f t="array" ref="AC257">SUM(IFERROR(AC224:AC256,0))</f>
        <v>0</v>
      </c>
      <c r="AD257" s="1232"/>
      <c r="AE257" s="1232"/>
      <c r="AF257" s="1232" cm="1">
        <f t="array" ref="AF257">SUM(IFERROR(AF224:AF256,0))</f>
        <v>0</v>
      </c>
      <c r="AG257" s="1177">
        <f>IFERROR(1-(N257/AC257),0)</f>
        <v>0</v>
      </c>
      <c r="AH257"/>
    </row>
    <row r="258" spans="1:34" ht="26" customHeight="1">
      <c r="A258" s="1419" t="s">
        <v>129</v>
      </c>
      <c r="B258" s="1419"/>
      <c r="C258" s="1419"/>
      <c r="D258" s="1419"/>
      <c r="E258" s="1419"/>
      <c r="F258" s="1419"/>
      <c r="G258" s="1419"/>
      <c r="H258" s="1419"/>
      <c r="I258" s="1419"/>
      <c r="J258" s="1420"/>
      <c r="K258" s="1214"/>
      <c r="L258" s="1214"/>
      <c r="M258" s="1236"/>
      <c r="N258" s="1214"/>
      <c r="O258" s="1213"/>
      <c r="P258" s="1213"/>
      <c r="Q258" s="1213"/>
      <c r="R258" s="1213"/>
      <c r="S258" s="1213"/>
      <c r="T258" s="1213"/>
      <c r="U258" s="1213"/>
      <c r="V258" s="1213"/>
      <c r="W258" s="1178"/>
      <c r="X258" s="1178"/>
      <c r="Y258" s="1178"/>
      <c r="Z258" s="1213"/>
      <c r="AA258" s="1213"/>
      <c r="AB258" s="1213"/>
      <c r="AC258" s="1213"/>
      <c r="AD258" s="1213"/>
      <c r="AE258" s="1213"/>
      <c r="AF258" s="1213"/>
      <c r="AG258" s="1215"/>
      <c r="AH258"/>
    </row>
    <row r="259" spans="1:34" ht="15.5">
      <c r="A259" s="1216" t="b">
        <f t="shared" ref="A259:A291" si="170">$A$13</f>
        <v>1</v>
      </c>
      <c r="B259" s="1217" t="b">
        <f>A259</f>
        <v>1</v>
      </c>
      <c r="C259" s="1218" t="str">
        <f>$C$13</f>
        <v>Dólares</v>
      </c>
      <c r="D259" s="44"/>
      <c r="E259" s="836"/>
      <c r="F259" s="50"/>
      <c r="G259" s="50" t="str">
        <f t="shared" ref="G259:G291" si="171">IFERROR(VLOOKUP(F259,Tabla_Proveedores_1,2,0)," ")</f>
        <v xml:space="preserve"> </v>
      </c>
      <c r="H259" s="45">
        <v>0</v>
      </c>
      <c r="I259" s="49" t="str">
        <f>IFERROR(VLOOKUP(G259,Proveedores!B:C,2,0)," ")</f>
        <v xml:space="preserve"> </v>
      </c>
      <c r="J259" s="838">
        <v>0</v>
      </c>
      <c r="K259" s="1124"/>
      <c r="L259" s="1266">
        <f t="shared" ref="L259:L291" si="172">K259*H259</f>
        <v>0</v>
      </c>
      <c r="M259" s="1267">
        <f t="shared" ref="M259:M291" si="173">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Brasil"),J259,IFERROR(IF(K818&lt;=$AO$578,J259*2.14,IF(K818&lt;=$AN$579,J259*1.8,IF(K818&gt;$AN$580,J259*1.5))),J259))*1.1)</f>
        <v>0</v>
      </c>
      <c r="N259" s="1268">
        <f>M259*H259</f>
        <v>0</v>
      </c>
      <c r="O259" s="836" t="str">
        <f>IFERROR(VLOOKUP(G259,Proveedores!B:D,3,0)," ")</f>
        <v xml:space="preserve"> </v>
      </c>
      <c r="P259" s="836"/>
      <c r="Q259" s="1127" t="e">
        <f t="shared" ref="Q259:Q291" si="174">VLOOKUP(E259,Tabla_Fletes,3,FALSE)</f>
        <v>#N/A</v>
      </c>
      <c r="R259" s="1127" t="b">
        <f>IF(P259="Centro",Q259,IF(P259="Norte",Q259*1.6,IF(P259="Occidente",Q259*1.2,IF(P259="Sur",Q259*2))))</f>
        <v>0</v>
      </c>
      <c r="S259" s="1127" t="e">
        <f t="shared" ref="S259:S291" si="175">VLOOKUP(E259,Tabla_Instalacion,2,FALSE)</f>
        <v>#N/A</v>
      </c>
      <c r="T259" s="1127" t="b">
        <f>IF(P259="Centro",S259,IF(P259="Norte",S259*1.1,IF(P259="Occidente",S259*1.1,IF(P259="Sur",S259*1.1))))</f>
        <v>0</v>
      </c>
      <c r="U259" s="1127" t="e">
        <f t="shared" ref="U259:U291" si="176">IF(F259="Offiho",0,Q259+S259)</f>
        <v>#N/A</v>
      </c>
      <c r="V259" s="1127" t="e">
        <f>IF(K259=0,U259/$H$573,U259*(K259/L259))*H259</f>
        <v>#N/A</v>
      </c>
      <c r="W259" s="1127" t="e">
        <f>IF(F259="Offiho",J259,IF(_xlfn.XLOOKUP(F259,Proveedores!A$2:A$50,Proveedores!E$2:E$50,"")="Nacional",(J259/0.5)+(V259*H259),((J259/0.3/0.5)+(V259*H259))))</f>
        <v>#N/A</v>
      </c>
      <c r="X259" s="1127" t="e">
        <f t="shared" ref="X259:X291" si="177">W259*H259</f>
        <v>#N/A</v>
      </c>
      <c r="Y259" s="1126" t="b">
        <f t="shared" ref="Y259:Y291" si="178">IF(F259="Sunon Inc",$AJ$577,IF(F259="Alma - Exterior",$AJ$578,IF(F259="Yabo - Hotelería",$AJ$579,IF(F259="OSJ - Medical",$AJ$580,IF(F259="Seezo - Home",$AJ$581,IF(F259="A&amp;D - Home",$AJ$582,IF(F259="Encore Alfombras Hoteleria Asia",$AJ$583,IF(F259="Zhong Xian - Leds",$AJ$584,IF(F259="Tarkett Europa",$AJ$585,IF(F259="2tec2",$AJ$586,IF(F259="Balsan Europa",$AJ$587,IF(F259="Armstrong Pisos USA",$AJ$588,IF(F259="Tarkett USA",$AJ$589,IF(F259="Tarkett Brasil",$AJ$590,IF(F259="Tarkett MX",$AJ$591,IF(F259="Jome",$AJ$592,IF(F259="Offiho",$AJ$593,IF(F259="Lumbro",$AJ$594,IF(F259="Sunon Mty",$AJ$595,IF(F259="Conceptos Sofas",$AJ$596,IF(F259="Lauco Sofas",$AJ$597,IF(F259="CR Global - Mesas Ajustables",$AJ$598,IF(F259="Vandesk",$AJ$599,IF(F259="Mamparas Tela",$AJ$600,IF(F259="Mampara Cristales",$AJ$601,IF(F259="Herrajes",$AJ$602,IF(F259="MetalWork",$AJ$603,IF(F259="Requiez",$AJ$604,IF(F259="Labenze",$AJ$605,IF(F259="Infinity",$AJ$606,IF(F259="Proveedor Externo",$AJ$607)))))))))))))))))))))))))))))))</f>
        <v>0</v>
      </c>
      <c r="Z259" s="43">
        <v>0</v>
      </c>
      <c r="AA259" s="1219" t="e">
        <f>W259*Z259</f>
        <v>#N/A</v>
      </c>
      <c r="AB259" s="1219" t="e">
        <f>IF(Z259&gt;Y259,"ERROR",(W259-AA259))</f>
        <v>#N/A</v>
      </c>
      <c r="AC259" s="1219" t="e">
        <f t="shared" ref="AC259:AC291" si="179">AB259*H259</f>
        <v>#N/A</v>
      </c>
      <c r="AD259" s="1126" t="e">
        <f>IF(A260=TRUE,MAX(0,1-(AE259/W259)),"NA")</f>
        <v>#N/A</v>
      </c>
      <c r="AE259" s="1217" t="e">
        <f t="shared" ref="AE259:AE291" si="180">IF(A258=FALSE,"NO APLICA",AB259*1.2)</f>
        <v>#N/A</v>
      </c>
      <c r="AF259" s="1220" t="e">
        <f t="shared" ref="AF259:AF291" si="181">AE259*H259</f>
        <v>#N/A</v>
      </c>
      <c r="AG259" s="1176" t="e">
        <f t="shared" ref="AG259:AG291" si="182">(AC259-N259)/AC259</f>
        <v>#N/A</v>
      </c>
      <c r="AH259" s="1221" t="e">
        <f>IF(AG259&lt;30%,"ERROR","OK")</f>
        <v>#N/A</v>
      </c>
    </row>
    <row r="260" spans="1:34" ht="15.5">
      <c r="A260" s="1216" t="b">
        <f t="shared" si="170"/>
        <v>1</v>
      </c>
      <c r="B260" s="1217" t="b">
        <f t="shared" ref="B260:B291" si="183">A260</f>
        <v>1</v>
      </c>
      <c r="C260" s="1218" t="str">
        <f t="shared" ref="C260:C291" si="184">$C$13</f>
        <v>Dólares</v>
      </c>
      <c r="D260" s="46"/>
      <c r="E260" s="836"/>
      <c r="F260" s="50"/>
      <c r="G260" s="50" t="str">
        <f t="shared" si="171"/>
        <v xml:space="preserve"> </v>
      </c>
      <c r="H260" s="45">
        <v>0</v>
      </c>
      <c r="I260" s="49" t="str">
        <f>IFERROR(VLOOKUP(G260,Proveedores!B:C,2,0)," ")</f>
        <v xml:space="preserve"> </v>
      </c>
      <c r="J260" s="838">
        <v>0</v>
      </c>
      <c r="K260" s="1124"/>
      <c r="L260" s="1266">
        <f t="shared" si="172"/>
        <v>0</v>
      </c>
      <c r="M260" s="1267">
        <f t="shared" si="173"/>
        <v>0</v>
      </c>
      <c r="N260" s="1268">
        <f>M260*H260</f>
        <v>0</v>
      </c>
      <c r="O260" s="836" t="str">
        <f>IFERROR(VLOOKUP(G260,Proveedores!B:D,3,0)," ")</f>
        <v xml:space="preserve"> </v>
      </c>
      <c r="P260" s="836"/>
      <c r="Q260" s="1127" t="e">
        <f t="shared" si="174"/>
        <v>#N/A</v>
      </c>
      <c r="R260" s="1127" t="b">
        <f t="shared" ref="R260:R291" si="185">IF(P260="Centro",Q260,IF(P260="Norte",Q260*1.6,IF(P260="Occidente",Q260*1.2,IF(P260="Sur",Q260*2))))</f>
        <v>0</v>
      </c>
      <c r="S260" s="1127" t="e">
        <f t="shared" si="175"/>
        <v>#N/A</v>
      </c>
      <c r="T260" s="1127" t="b">
        <f t="shared" ref="T260:T291" si="186">IF(P260="Centro",S260,IF(P260="Norte",S260*1.1,IF(P260="Occidente",S260*1.1,IF(P260="Sur",S260*1.1))))</f>
        <v>0</v>
      </c>
      <c r="U260" s="1127" t="e">
        <f t="shared" si="176"/>
        <v>#N/A</v>
      </c>
      <c r="V260" s="1127" t="e">
        <f t="shared" ref="V260:V291" si="187">IF(K260=0,U260/$H$573,U260*(K260/L260))*H260</f>
        <v>#N/A</v>
      </c>
      <c r="W260" s="1127" t="e">
        <f>IF(F260="Offiho",J260,IF(_xlfn.XLOOKUP(F260,Proveedores!A$2:A$50,Proveedores!E$2:E$50,"")="Nacional",(J260/0.5)+(V260*H260),((J260/0.3/0.5)+(V260*H260))))</f>
        <v>#N/A</v>
      </c>
      <c r="X260" s="1127" t="e">
        <f t="shared" si="177"/>
        <v>#N/A</v>
      </c>
      <c r="Y260" s="1126" t="b">
        <f t="shared" si="178"/>
        <v>0</v>
      </c>
      <c r="Z260" s="43">
        <v>0</v>
      </c>
      <c r="AA260" s="1219" t="e">
        <f t="shared" ref="AA260:AA291" si="188">W260*Z260</f>
        <v>#N/A</v>
      </c>
      <c r="AB260" s="1219" t="e">
        <f t="shared" ref="AB260:AB291" si="189">IF(Z260&gt;Y260,"ERROR",(W260-AA260))</f>
        <v>#N/A</v>
      </c>
      <c r="AC260" s="1219" t="e">
        <f t="shared" si="179"/>
        <v>#N/A</v>
      </c>
      <c r="AD260" s="1126" t="e">
        <f t="shared" ref="AD260:AD291" si="190">IF(A261=TRUE,MAX(0,1-(AE260/W260)),"NA")</f>
        <v>#N/A</v>
      </c>
      <c r="AE260" s="1217" t="e">
        <f t="shared" si="180"/>
        <v>#N/A</v>
      </c>
      <c r="AF260" s="1220" t="e">
        <f t="shared" si="181"/>
        <v>#N/A</v>
      </c>
      <c r="AG260" s="1176" t="e">
        <f t="shared" si="182"/>
        <v>#N/A</v>
      </c>
      <c r="AH260" s="1221" t="e">
        <f t="shared" ref="AH260:AH291" si="191">IF(AG260&lt;30%,"ERROR","OK")</f>
        <v>#N/A</v>
      </c>
    </row>
    <row r="261" spans="1:34" ht="15.5">
      <c r="A261" s="1216" t="b">
        <f t="shared" si="170"/>
        <v>1</v>
      </c>
      <c r="B261" s="1217" t="b">
        <f t="shared" si="183"/>
        <v>1</v>
      </c>
      <c r="C261" s="1218" t="str">
        <f t="shared" si="184"/>
        <v>Dólares</v>
      </c>
      <c r="D261" s="46"/>
      <c r="E261" s="836"/>
      <c r="F261" s="50"/>
      <c r="G261" s="50" t="str">
        <f t="shared" si="171"/>
        <v xml:space="preserve"> </v>
      </c>
      <c r="H261" s="45">
        <v>0</v>
      </c>
      <c r="I261" s="49" t="str">
        <f>IFERROR(VLOOKUP(G261,Proveedores!B:C,2,0)," ")</f>
        <v xml:space="preserve"> </v>
      </c>
      <c r="J261" s="838">
        <v>0</v>
      </c>
      <c r="K261" s="1124"/>
      <c r="L261" s="1266">
        <f t="shared" si="172"/>
        <v>0</v>
      </c>
      <c r="M261" s="1267">
        <f t="shared" si="173"/>
        <v>0</v>
      </c>
      <c r="N261" s="1268">
        <f>(M261*H261)</f>
        <v>0</v>
      </c>
      <c r="O261" s="836" t="str">
        <f>IFERROR(VLOOKUP(G261,Proveedores!B:D,3,0)," ")</f>
        <v xml:space="preserve"> </v>
      </c>
      <c r="P261" s="836"/>
      <c r="Q261" s="1127" t="e">
        <f t="shared" si="174"/>
        <v>#N/A</v>
      </c>
      <c r="R261" s="1127" t="b">
        <f t="shared" si="185"/>
        <v>0</v>
      </c>
      <c r="S261" s="1127" t="e">
        <f t="shared" si="175"/>
        <v>#N/A</v>
      </c>
      <c r="T261" s="1127" t="b">
        <f t="shared" si="186"/>
        <v>0</v>
      </c>
      <c r="U261" s="1127" t="e">
        <f t="shared" si="176"/>
        <v>#N/A</v>
      </c>
      <c r="V261" s="1127" t="e">
        <f t="shared" si="187"/>
        <v>#N/A</v>
      </c>
      <c r="W261" s="1127" t="e">
        <f>IF(F261="Offiho",J261,IF(_xlfn.XLOOKUP(F261,Proveedores!A$2:A$50,Proveedores!E$2:E$50,"")="Nacional",(J261/0.5)+(V261*H261),((J261/0.3/0.5)+(V261*H261))))</f>
        <v>#N/A</v>
      </c>
      <c r="X261" s="1127" t="e">
        <f t="shared" si="177"/>
        <v>#N/A</v>
      </c>
      <c r="Y261" s="1126" t="b">
        <f t="shared" si="178"/>
        <v>0</v>
      </c>
      <c r="Z261" s="43">
        <v>0</v>
      </c>
      <c r="AA261" s="1219" t="e">
        <f t="shared" si="188"/>
        <v>#N/A</v>
      </c>
      <c r="AB261" s="1219" t="e">
        <f t="shared" si="189"/>
        <v>#N/A</v>
      </c>
      <c r="AC261" s="1219" t="e">
        <f t="shared" si="179"/>
        <v>#N/A</v>
      </c>
      <c r="AD261" s="1126" t="e">
        <f t="shared" si="190"/>
        <v>#N/A</v>
      </c>
      <c r="AE261" s="1217" t="e">
        <f t="shared" si="180"/>
        <v>#N/A</v>
      </c>
      <c r="AF261" s="1220" t="e">
        <f t="shared" si="181"/>
        <v>#N/A</v>
      </c>
      <c r="AG261" s="1176" t="e">
        <f t="shared" si="182"/>
        <v>#N/A</v>
      </c>
      <c r="AH261" s="1221" t="e">
        <f t="shared" si="191"/>
        <v>#N/A</v>
      </c>
    </row>
    <row r="262" spans="1:34" ht="15.5">
      <c r="A262" s="1216" t="b">
        <f t="shared" si="170"/>
        <v>1</v>
      </c>
      <c r="B262" s="1217" t="b">
        <f t="shared" si="183"/>
        <v>1</v>
      </c>
      <c r="C262" s="1218" t="str">
        <f t="shared" si="184"/>
        <v>Dólares</v>
      </c>
      <c r="D262" s="46"/>
      <c r="E262" s="836"/>
      <c r="F262" s="50"/>
      <c r="G262" s="50" t="str">
        <f t="shared" si="171"/>
        <v xml:space="preserve"> </v>
      </c>
      <c r="H262" s="45">
        <v>0</v>
      </c>
      <c r="I262" s="49" t="str">
        <f>IFERROR(VLOOKUP(G262,Proveedores!B:C,2,0)," ")</f>
        <v xml:space="preserve"> </v>
      </c>
      <c r="J262" s="838">
        <v>0</v>
      </c>
      <c r="K262" s="1124"/>
      <c r="L262" s="1266">
        <f t="shared" si="172"/>
        <v>0</v>
      </c>
      <c r="M262" s="1267">
        <f t="shared" si="173"/>
        <v>0</v>
      </c>
      <c r="N262" s="1268">
        <f t="shared" ref="N262:N291" si="192">M262*H262</f>
        <v>0</v>
      </c>
      <c r="O262" s="836" t="str">
        <f>IFERROR(VLOOKUP(G262,Proveedores!B:D,3,0)," ")</f>
        <v xml:space="preserve"> </v>
      </c>
      <c r="P262" s="836"/>
      <c r="Q262" s="1127" t="e">
        <f t="shared" si="174"/>
        <v>#N/A</v>
      </c>
      <c r="R262" s="1127" t="b">
        <f t="shared" si="185"/>
        <v>0</v>
      </c>
      <c r="S262" s="1127" t="e">
        <f t="shared" si="175"/>
        <v>#N/A</v>
      </c>
      <c r="T262" s="1127" t="b">
        <f t="shared" si="186"/>
        <v>0</v>
      </c>
      <c r="U262" s="1127" t="e">
        <f t="shared" si="176"/>
        <v>#N/A</v>
      </c>
      <c r="V262" s="1127" t="e">
        <f t="shared" si="187"/>
        <v>#N/A</v>
      </c>
      <c r="W262" s="1127" t="e">
        <f>IF(F262="Offiho",J262,IF(_xlfn.XLOOKUP(F262,Proveedores!A$2:A$50,Proveedores!E$2:E$50,"")="Nacional",(J262/0.5)+(V262*H262),((J262/0.3/0.5)+(V262*H262))))</f>
        <v>#N/A</v>
      </c>
      <c r="X262" s="1127" t="e">
        <f t="shared" si="177"/>
        <v>#N/A</v>
      </c>
      <c r="Y262" s="1126" t="b">
        <f t="shared" si="178"/>
        <v>0</v>
      </c>
      <c r="Z262" s="43">
        <v>0</v>
      </c>
      <c r="AA262" s="1219" t="e">
        <f t="shared" si="188"/>
        <v>#N/A</v>
      </c>
      <c r="AB262" s="1219" t="e">
        <f t="shared" si="189"/>
        <v>#N/A</v>
      </c>
      <c r="AC262" s="1219" t="e">
        <f t="shared" si="179"/>
        <v>#N/A</v>
      </c>
      <c r="AD262" s="1126" t="e">
        <f t="shared" si="190"/>
        <v>#N/A</v>
      </c>
      <c r="AE262" s="1217" t="e">
        <f t="shared" si="180"/>
        <v>#N/A</v>
      </c>
      <c r="AF262" s="1220" t="e">
        <f t="shared" si="181"/>
        <v>#N/A</v>
      </c>
      <c r="AG262" s="1176" t="e">
        <f t="shared" si="182"/>
        <v>#N/A</v>
      </c>
      <c r="AH262" s="1221" t="e">
        <f t="shared" si="191"/>
        <v>#N/A</v>
      </c>
    </row>
    <row r="263" spans="1:34" ht="15.5">
      <c r="A263" s="1216" t="b">
        <f t="shared" si="170"/>
        <v>1</v>
      </c>
      <c r="B263" s="1217" t="b">
        <f t="shared" si="183"/>
        <v>1</v>
      </c>
      <c r="C263" s="1218" t="str">
        <f t="shared" si="184"/>
        <v>Dólares</v>
      </c>
      <c r="D263" s="46"/>
      <c r="E263" s="836"/>
      <c r="F263" s="50"/>
      <c r="G263" s="50" t="str">
        <f t="shared" si="171"/>
        <v xml:space="preserve"> </v>
      </c>
      <c r="H263" s="45">
        <v>0</v>
      </c>
      <c r="I263" s="49" t="str">
        <f>IFERROR(VLOOKUP(G263,Proveedores!B:C,2,0)," ")</f>
        <v xml:space="preserve"> </v>
      </c>
      <c r="J263" s="838">
        <v>0</v>
      </c>
      <c r="K263" s="1124"/>
      <c r="L263" s="1266">
        <f t="shared" si="172"/>
        <v>0</v>
      </c>
      <c r="M263" s="1267">
        <f t="shared" si="173"/>
        <v>0</v>
      </c>
      <c r="N263" s="1268">
        <f t="shared" si="192"/>
        <v>0</v>
      </c>
      <c r="O263" s="836" t="str">
        <f>IFERROR(VLOOKUP(G263,Proveedores!B:D,3,0)," ")</f>
        <v xml:space="preserve"> </v>
      </c>
      <c r="P263" s="836"/>
      <c r="Q263" s="1127" t="e">
        <f t="shared" si="174"/>
        <v>#N/A</v>
      </c>
      <c r="R263" s="1127" t="b">
        <f t="shared" si="185"/>
        <v>0</v>
      </c>
      <c r="S263" s="1127" t="e">
        <f t="shared" si="175"/>
        <v>#N/A</v>
      </c>
      <c r="T263" s="1127" t="b">
        <f t="shared" si="186"/>
        <v>0</v>
      </c>
      <c r="U263" s="1127" t="e">
        <f t="shared" si="176"/>
        <v>#N/A</v>
      </c>
      <c r="V263" s="1127" t="e">
        <f t="shared" si="187"/>
        <v>#N/A</v>
      </c>
      <c r="W263" s="1127" t="e">
        <f>IF(F263="Offiho",J263,IF(_xlfn.XLOOKUP(F263,Proveedores!A$2:A$50,Proveedores!E$2:E$50,"")="Nacional",(J263/0.5)+(V263*H263),((J263/0.3/0.5)+(V263*H263))))</f>
        <v>#N/A</v>
      </c>
      <c r="X263" s="1127" t="e">
        <f t="shared" si="177"/>
        <v>#N/A</v>
      </c>
      <c r="Y263" s="1126" t="b">
        <f t="shared" si="178"/>
        <v>0</v>
      </c>
      <c r="Z263" s="43">
        <v>0</v>
      </c>
      <c r="AA263" s="1219" t="e">
        <f t="shared" si="188"/>
        <v>#N/A</v>
      </c>
      <c r="AB263" s="1219" t="e">
        <f t="shared" si="189"/>
        <v>#N/A</v>
      </c>
      <c r="AC263" s="1219" t="e">
        <f t="shared" si="179"/>
        <v>#N/A</v>
      </c>
      <c r="AD263" s="1126" t="e">
        <f t="shared" si="190"/>
        <v>#N/A</v>
      </c>
      <c r="AE263" s="1217" t="e">
        <f t="shared" si="180"/>
        <v>#N/A</v>
      </c>
      <c r="AF263" s="1220" t="e">
        <f t="shared" si="181"/>
        <v>#N/A</v>
      </c>
      <c r="AG263" s="1176" t="e">
        <f t="shared" si="182"/>
        <v>#N/A</v>
      </c>
      <c r="AH263" s="1221" t="e">
        <f t="shared" si="191"/>
        <v>#N/A</v>
      </c>
    </row>
    <row r="264" spans="1:34" ht="15.5">
      <c r="A264" s="1216" t="b">
        <f t="shared" si="170"/>
        <v>1</v>
      </c>
      <c r="B264" s="1217" t="b">
        <f t="shared" si="183"/>
        <v>1</v>
      </c>
      <c r="C264" s="1218" t="str">
        <f t="shared" si="184"/>
        <v>Dólares</v>
      </c>
      <c r="D264" s="46"/>
      <c r="E264" s="836"/>
      <c r="F264" s="50"/>
      <c r="G264" s="50" t="str">
        <f t="shared" si="171"/>
        <v xml:space="preserve"> </v>
      </c>
      <c r="H264" s="45">
        <v>0</v>
      </c>
      <c r="I264" s="49" t="str">
        <f>IFERROR(VLOOKUP(G264,Proveedores!B:C,2,0)," ")</f>
        <v xml:space="preserve"> </v>
      </c>
      <c r="J264" s="838">
        <v>0</v>
      </c>
      <c r="K264" s="1124"/>
      <c r="L264" s="1266">
        <f t="shared" si="172"/>
        <v>0</v>
      </c>
      <c r="M264" s="1267">
        <f t="shared" si="173"/>
        <v>0</v>
      </c>
      <c r="N264" s="1268">
        <f t="shared" si="192"/>
        <v>0</v>
      </c>
      <c r="O264" s="836" t="str">
        <f>IFERROR(VLOOKUP(G264,Proveedores!B:D,3,0)," ")</f>
        <v xml:space="preserve"> </v>
      </c>
      <c r="P264" s="836"/>
      <c r="Q264" s="1127" t="e">
        <f t="shared" si="174"/>
        <v>#N/A</v>
      </c>
      <c r="R264" s="1127" t="b">
        <f t="shared" si="185"/>
        <v>0</v>
      </c>
      <c r="S264" s="1127" t="e">
        <f t="shared" si="175"/>
        <v>#N/A</v>
      </c>
      <c r="T264" s="1127" t="b">
        <f t="shared" si="186"/>
        <v>0</v>
      </c>
      <c r="U264" s="1127" t="e">
        <f t="shared" si="176"/>
        <v>#N/A</v>
      </c>
      <c r="V264" s="1127" t="e">
        <f t="shared" si="187"/>
        <v>#N/A</v>
      </c>
      <c r="W264" s="1127" t="e">
        <f>IF(F264="Offiho",J264,IF(_xlfn.XLOOKUP(F264,Proveedores!A$2:A$50,Proveedores!E$2:E$50,"")="Nacional",(J264/0.5)+(V264*H264),((J264/0.3/0.5)+(V264*H264))))</f>
        <v>#N/A</v>
      </c>
      <c r="X264" s="1127" t="e">
        <f t="shared" si="177"/>
        <v>#N/A</v>
      </c>
      <c r="Y264" s="1126" t="b">
        <f t="shared" si="178"/>
        <v>0</v>
      </c>
      <c r="Z264" s="43">
        <v>0</v>
      </c>
      <c r="AA264" s="1219" t="e">
        <f t="shared" si="188"/>
        <v>#N/A</v>
      </c>
      <c r="AB264" s="1219" t="e">
        <f t="shared" si="189"/>
        <v>#N/A</v>
      </c>
      <c r="AC264" s="1219" t="e">
        <f t="shared" si="179"/>
        <v>#N/A</v>
      </c>
      <c r="AD264" s="1126" t="e">
        <f t="shared" si="190"/>
        <v>#N/A</v>
      </c>
      <c r="AE264" s="1217" t="e">
        <f t="shared" si="180"/>
        <v>#N/A</v>
      </c>
      <c r="AF264" s="1220" t="e">
        <f t="shared" si="181"/>
        <v>#N/A</v>
      </c>
      <c r="AG264" s="1176" t="e">
        <f t="shared" si="182"/>
        <v>#N/A</v>
      </c>
      <c r="AH264" s="1221" t="e">
        <f t="shared" si="191"/>
        <v>#N/A</v>
      </c>
    </row>
    <row r="265" spans="1:34" ht="15.5">
      <c r="A265" s="1216" t="b">
        <f t="shared" si="170"/>
        <v>1</v>
      </c>
      <c r="B265" s="1217" t="b">
        <f t="shared" si="183"/>
        <v>1</v>
      </c>
      <c r="C265" s="1218" t="str">
        <f t="shared" si="184"/>
        <v>Dólares</v>
      </c>
      <c r="D265" s="44"/>
      <c r="E265" s="836"/>
      <c r="F265" s="50"/>
      <c r="G265" s="50" t="str">
        <f t="shared" si="171"/>
        <v xml:space="preserve"> </v>
      </c>
      <c r="H265" s="45">
        <v>0</v>
      </c>
      <c r="I265" s="49" t="str">
        <f>IFERROR(VLOOKUP(G265,Proveedores!B:C,2,0)," ")</f>
        <v xml:space="preserve"> </v>
      </c>
      <c r="J265" s="838">
        <v>0</v>
      </c>
      <c r="K265" s="1124"/>
      <c r="L265" s="1266">
        <f t="shared" si="172"/>
        <v>0</v>
      </c>
      <c r="M265" s="1267">
        <f t="shared" si="173"/>
        <v>0</v>
      </c>
      <c r="N265" s="1268">
        <f t="shared" si="192"/>
        <v>0</v>
      </c>
      <c r="O265" s="836" t="str">
        <f>IFERROR(VLOOKUP(G265,Proveedores!B:D,3,0)," ")</f>
        <v xml:space="preserve"> </v>
      </c>
      <c r="P265" s="836"/>
      <c r="Q265" s="1127" t="e">
        <f t="shared" si="174"/>
        <v>#N/A</v>
      </c>
      <c r="R265" s="1127" t="b">
        <f t="shared" si="185"/>
        <v>0</v>
      </c>
      <c r="S265" s="1127" t="e">
        <f t="shared" si="175"/>
        <v>#N/A</v>
      </c>
      <c r="T265" s="1127" t="b">
        <f t="shared" si="186"/>
        <v>0</v>
      </c>
      <c r="U265" s="1127" t="e">
        <f t="shared" si="176"/>
        <v>#N/A</v>
      </c>
      <c r="V265" s="1127" t="e">
        <f t="shared" si="187"/>
        <v>#N/A</v>
      </c>
      <c r="W265" s="1127" t="e">
        <f>IF(F265="Offiho",J265,IF(_xlfn.XLOOKUP(F265,Proveedores!A$2:A$50,Proveedores!E$2:E$50,"")="Nacional",(J265/0.5)+(V265*H265),((J265/0.3/0.5)+(V265*H265))))</f>
        <v>#N/A</v>
      </c>
      <c r="X265" s="1127" t="e">
        <f t="shared" si="177"/>
        <v>#N/A</v>
      </c>
      <c r="Y265" s="1126" t="b">
        <f t="shared" si="178"/>
        <v>0</v>
      </c>
      <c r="Z265" s="43">
        <v>0</v>
      </c>
      <c r="AA265" s="1219" t="e">
        <f t="shared" si="188"/>
        <v>#N/A</v>
      </c>
      <c r="AB265" s="1219" t="e">
        <f t="shared" si="189"/>
        <v>#N/A</v>
      </c>
      <c r="AC265" s="1219" t="e">
        <f t="shared" si="179"/>
        <v>#N/A</v>
      </c>
      <c r="AD265" s="1126" t="e">
        <f t="shared" si="190"/>
        <v>#N/A</v>
      </c>
      <c r="AE265" s="1217" t="e">
        <f t="shared" si="180"/>
        <v>#N/A</v>
      </c>
      <c r="AF265" s="1220" t="e">
        <f t="shared" si="181"/>
        <v>#N/A</v>
      </c>
      <c r="AG265" s="1176" t="e">
        <f t="shared" si="182"/>
        <v>#N/A</v>
      </c>
      <c r="AH265" s="1221" t="e">
        <f t="shared" si="191"/>
        <v>#N/A</v>
      </c>
    </row>
    <row r="266" spans="1:34" ht="15.5">
      <c r="A266" s="1216" t="b">
        <f t="shared" si="170"/>
        <v>1</v>
      </c>
      <c r="B266" s="1217" t="b">
        <f t="shared" si="183"/>
        <v>1</v>
      </c>
      <c r="C266" s="1218" t="str">
        <f t="shared" si="184"/>
        <v>Dólares</v>
      </c>
      <c r="D266" s="44"/>
      <c r="E266" s="836"/>
      <c r="F266" s="50"/>
      <c r="G266" s="50" t="str">
        <f t="shared" si="171"/>
        <v xml:space="preserve"> </v>
      </c>
      <c r="H266" s="45">
        <v>0</v>
      </c>
      <c r="I266" s="49" t="str">
        <f>IFERROR(VLOOKUP(G266,Proveedores!B:C,2,0)," ")</f>
        <v xml:space="preserve"> </v>
      </c>
      <c r="J266" s="838">
        <v>0</v>
      </c>
      <c r="K266" s="1124"/>
      <c r="L266" s="1266">
        <f t="shared" si="172"/>
        <v>0</v>
      </c>
      <c r="M266" s="1267">
        <f t="shared" si="173"/>
        <v>0</v>
      </c>
      <c r="N266" s="1268">
        <f t="shared" si="192"/>
        <v>0</v>
      </c>
      <c r="O266" s="836" t="str">
        <f>IFERROR(VLOOKUP(G266,Proveedores!B:D,3,0)," ")</f>
        <v xml:space="preserve"> </v>
      </c>
      <c r="P266" s="836"/>
      <c r="Q266" s="1127" t="e">
        <f t="shared" si="174"/>
        <v>#N/A</v>
      </c>
      <c r="R266" s="1127" t="b">
        <f t="shared" si="185"/>
        <v>0</v>
      </c>
      <c r="S266" s="1127" t="e">
        <f t="shared" si="175"/>
        <v>#N/A</v>
      </c>
      <c r="T266" s="1127" t="b">
        <f t="shared" si="186"/>
        <v>0</v>
      </c>
      <c r="U266" s="1127" t="e">
        <f t="shared" si="176"/>
        <v>#N/A</v>
      </c>
      <c r="V266" s="1127" t="e">
        <f t="shared" si="187"/>
        <v>#N/A</v>
      </c>
      <c r="W266" s="1127" t="e">
        <f>IF(F266="Offiho",J266,IF(_xlfn.XLOOKUP(F266,Proveedores!A$2:A$50,Proveedores!E$2:E$50,"")="Nacional",(J266/0.5)+(V266*H266),((J266/0.3/0.5)+(V266*H266))))</f>
        <v>#N/A</v>
      </c>
      <c r="X266" s="1127" t="e">
        <f t="shared" si="177"/>
        <v>#N/A</v>
      </c>
      <c r="Y266" s="1126" t="b">
        <f t="shared" si="178"/>
        <v>0</v>
      </c>
      <c r="Z266" s="43">
        <v>0</v>
      </c>
      <c r="AA266" s="1219" t="e">
        <f t="shared" si="188"/>
        <v>#N/A</v>
      </c>
      <c r="AB266" s="1219" t="e">
        <f t="shared" si="189"/>
        <v>#N/A</v>
      </c>
      <c r="AC266" s="1219" t="e">
        <f t="shared" si="179"/>
        <v>#N/A</v>
      </c>
      <c r="AD266" s="1126" t="e">
        <f t="shared" si="190"/>
        <v>#N/A</v>
      </c>
      <c r="AE266" s="1217" t="e">
        <f t="shared" si="180"/>
        <v>#N/A</v>
      </c>
      <c r="AF266" s="1220" t="e">
        <f t="shared" si="181"/>
        <v>#N/A</v>
      </c>
      <c r="AG266" s="1176" t="e">
        <f t="shared" si="182"/>
        <v>#N/A</v>
      </c>
      <c r="AH266" s="1221" t="e">
        <f t="shared" si="191"/>
        <v>#N/A</v>
      </c>
    </row>
    <row r="267" spans="1:34" ht="15.5">
      <c r="A267" s="1216" t="b">
        <f t="shared" si="170"/>
        <v>1</v>
      </c>
      <c r="B267" s="1217" t="b">
        <f t="shared" si="183"/>
        <v>1</v>
      </c>
      <c r="C267" s="1218" t="str">
        <f t="shared" si="184"/>
        <v>Dólares</v>
      </c>
      <c r="D267" s="44"/>
      <c r="E267" s="836"/>
      <c r="F267" s="50"/>
      <c r="G267" s="50" t="str">
        <f t="shared" si="171"/>
        <v xml:space="preserve"> </v>
      </c>
      <c r="H267" s="45">
        <v>0</v>
      </c>
      <c r="I267" s="49" t="str">
        <f>IFERROR(VLOOKUP(G267,Proveedores!B:C,2,0)," ")</f>
        <v xml:space="preserve"> </v>
      </c>
      <c r="J267" s="838">
        <v>0</v>
      </c>
      <c r="K267" s="1124"/>
      <c r="L267" s="1266">
        <f t="shared" si="172"/>
        <v>0</v>
      </c>
      <c r="M267" s="1267">
        <f t="shared" si="173"/>
        <v>0</v>
      </c>
      <c r="N267" s="1268">
        <f t="shared" si="192"/>
        <v>0</v>
      </c>
      <c r="O267" s="836" t="str">
        <f>IFERROR(VLOOKUP(G267,Proveedores!B:D,3,0)," ")</f>
        <v xml:space="preserve"> </v>
      </c>
      <c r="P267" s="836"/>
      <c r="Q267" s="1127" t="e">
        <f t="shared" si="174"/>
        <v>#N/A</v>
      </c>
      <c r="R267" s="1127" t="b">
        <f t="shared" si="185"/>
        <v>0</v>
      </c>
      <c r="S267" s="1127" t="e">
        <f t="shared" si="175"/>
        <v>#N/A</v>
      </c>
      <c r="T267" s="1127" t="b">
        <f t="shared" si="186"/>
        <v>0</v>
      </c>
      <c r="U267" s="1127" t="e">
        <f t="shared" si="176"/>
        <v>#N/A</v>
      </c>
      <c r="V267" s="1127" t="e">
        <f t="shared" si="187"/>
        <v>#N/A</v>
      </c>
      <c r="W267" s="1127" t="e">
        <f>IF(F267="Offiho",J267,IF(_xlfn.XLOOKUP(F267,Proveedores!A$2:A$50,Proveedores!E$2:E$50,"")="Nacional",(J267/0.5)+(V267*H267),((J267/0.3/0.5)+(V267*H267))))</f>
        <v>#N/A</v>
      </c>
      <c r="X267" s="1127" t="e">
        <f t="shared" si="177"/>
        <v>#N/A</v>
      </c>
      <c r="Y267" s="1126" t="b">
        <f t="shared" si="178"/>
        <v>0</v>
      </c>
      <c r="Z267" s="43">
        <v>0</v>
      </c>
      <c r="AA267" s="1219" t="e">
        <f t="shared" si="188"/>
        <v>#N/A</v>
      </c>
      <c r="AB267" s="1219" t="e">
        <f t="shared" si="189"/>
        <v>#N/A</v>
      </c>
      <c r="AC267" s="1219" t="e">
        <f t="shared" si="179"/>
        <v>#N/A</v>
      </c>
      <c r="AD267" s="1126" t="e">
        <f t="shared" si="190"/>
        <v>#N/A</v>
      </c>
      <c r="AE267" s="1217" t="e">
        <f t="shared" si="180"/>
        <v>#N/A</v>
      </c>
      <c r="AF267" s="1220" t="e">
        <f t="shared" si="181"/>
        <v>#N/A</v>
      </c>
      <c r="AG267" s="1176" t="e">
        <f t="shared" si="182"/>
        <v>#N/A</v>
      </c>
      <c r="AH267" s="1221" t="e">
        <f t="shared" si="191"/>
        <v>#N/A</v>
      </c>
    </row>
    <row r="268" spans="1:34" ht="15.5">
      <c r="A268" s="1216" t="b">
        <f t="shared" si="170"/>
        <v>1</v>
      </c>
      <c r="B268" s="1217" t="b">
        <f t="shared" si="183"/>
        <v>1</v>
      </c>
      <c r="C268" s="1218" t="str">
        <f t="shared" si="184"/>
        <v>Dólares</v>
      </c>
      <c r="D268" s="44"/>
      <c r="E268" s="836"/>
      <c r="F268" s="50"/>
      <c r="G268" s="50" t="str">
        <f t="shared" si="171"/>
        <v xml:space="preserve"> </v>
      </c>
      <c r="H268" s="45">
        <v>0</v>
      </c>
      <c r="I268" s="49" t="str">
        <f>IFERROR(VLOOKUP(G268,Proveedores!B:C,2,0)," ")</f>
        <v xml:space="preserve"> </v>
      </c>
      <c r="J268" s="838">
        <v>0</v>
      </c>
      <c r="K268" s="1124"/>
      <c r="L268" s="1266">
        <f t="shared" si="172"/>
        <v>0</v>
      </c>
      <c r="M268" s="1267">
        <f t="shared" si="173"/>
        <v>0</v>
      </c>
      <c r="N268" s="1268">
        <f t="shared" si="192"/>
        <v>0</v>
      </c>
      <c r="O268" s="836" t="str">
        <f>IFERROR(VLOOKUP(G268,Proveedores!B:D,3,0)," ")</f>
        <v xml:space="preserve"> </v>
      </c>
      <c r="P268" s="836"/>
      <c r="Q268" s="1127" t="e">
        <f t="shared" si="174"/>
        <v>#N/A</v>
      </c>
      <c r="R268" s="1127" t="b">
        <f t="shared" si="185"/>
        <v>0</v>
      </c>
      <c r="S268" s="1127" t="e">
        <f t="shared" si="175"/>
        <v>#N/A</v>
      </c>
      <c r="T268" s="1127" t="b">
        <f t="shared" si="186"/>
        <v>0</v>
      </c>
      <c r="U268" s="1127" t="e">
        <f t="shared" si="176"/>
        <v>#N/A</v>
      </c>
      <c r="V268" s="1127" t="e">
        <f t="shared" si="187"/>
        <v>#N/A</v>
      </c>
      <c r="W268" s="1127" t="e">
        <f>IF(F268="Offiho",J268,IF(_xlfn.XLOOKUP(F268,Proveedores!A$2:A$50,Proveedores!E$2:E$50,"")="Nacional",(J268/0.5)+(V268*H268),((J268/0.3/0.5)+(V268*H268))))</f>
        <v>#N/A</v>
      </c>
      <c r="X268" s="1127" t="e">
        <f t="shared" si="177"/>
        <v>#N/A</v>
      </c>
      <c r="Y268" s="1126" t="b">
        <f t="shared" si="178"/>
        <v>0</v>
      </c>
      <c r="Z268" s="43">
        <v>0</v>
      </c>
      <c r="AA268" s="1219" t="e">
        <f t="shared" si="188"/>
        <v>#N/A</v>
      </c>
      <c r="AB268" s="1219" t="e">
        <f t="shared" si="189"/>
        <v>#N/A</v>
      </c>
      <c r="AC268" s="1219" t="e">
        <f t="shared" si="179"/>
        <v>#N/A</v>
      </c>
      <c r="AD268" s="1126" t="e">
        <f t="shared" si="190"/>
        <v>#N/A</v>
      </c>
      <c r="AE268" s="1217" t="e">
        <f t="shared" si="180"/>
        <v>#N/A</v>
      </c>
      <c r="AF268" s="1220" t="e">
        <f t="shared" si="181"/>
        <v>#N/A</v>
      </c>
      <c r="AG268" s="1176" t="e">
        <f t="shared" si="182"/>
        <v>#N/A</v>
      </c>
      <c r="AH268" s="1221" t="e">
        <f t="shared" si="191"/>
        <v>#N/A</v>
      </c>
    </row>
    <row r="269" spans="1:34" ht="15.5">
      <c r="A269" s="1216" t="b">
        <f t="shared" si="170"/>
        <v>1</v>
      </c>
      <c r="B269" s="1217" t="b">
        <f t="shared" si="183"/>
        <v>1</v>
      </c>
      <c r="C269" s="1218" t="str">
        <f t="shared" si="184"/>
        <v>Dólares</v>
      </c>
      <c r="D269" s="46"/>
      <c r="E269" s="836"/>
      <c r="F269" s="50"/>
      <c r="G269" s="50" t="str">
        <f t="shared" si="171"/>
        <v xml:space="preserve"> </v>
      </c>
      <c r="H269" s="45">
        <v>0</v>
      </c>
      <c r="I269" s="49" t="str">
        <f>IFERROR(VLOOKUP(G269,Proveedores!B:C,2,0)," ")</f>
        <v xml:space="preserve"> </v>
      </c>
      <c r="J269" s="838">
        <v>0</v>
      </c>
      <c r="K269" s="1124"/>
      <c r="L269" s="1266">
        <f t="shared" si="172"/>
        <v>0</v>
      </c>
      <c r="M269" s="1267">
        <f t="shared" si="173"/>
        <v>0</v>
      </c>
      <c r="N269" s="1268">
        <f t="shared" si="192"/>
        <v>0</v>
      </c>
      <c r="O269" s="836" t="str">
        <f>IFERROR(VLOOKUP(G269,Proveedores!B:D,3,0)," ")</f>
        <v xml:space="preserve"> </v>
      </c>
      <c r="P269" s="836"/>
      <c r="Q269" s="1127" t="e">
        <f t="shared" si="174"/>
        <v>#N/A</v>
      </c>
      <c r="R269" s="1127" t="b">
        <f t="shared" si="185"/>
        <v>0</v>
      </c>
      <c r="S269" s="1127" t="e">
        <f t="shared" si="175"/>
        <v>#N/A</v>
      </c>
      <c r="T269" s="1127" t="b">
        <f t="shared" si="186"/>
        <v>0</v>
      </c>
      <c r="U269" s="1127" t="e">
        <f t="shared" si="176"/>
        <v>#N/A</v>
      </c>
      <c r="V269" s="1127" t="e">
        <f t="shared" si="187"/>
        <v>#N/A</v>
      </c>
      <c r="W269" s="1127" t="e">
        <f>IF(F269="Offiho",J269,IF(_xlfn.XLOOKUP(F269,Proveedores!A$2:A$50,Proveedores!E$2:E$50,"")="Nacional",(J269/0.5)+(V269*H269),((J269/0.3/0.5)+(V269*H269))))</f>
        <v>#N/A</v>
      </c>
      <c r="X269" s="1127" t="e">
        <f t="shared" si="177"/>
        <v>#N/A</v>
      </c>
      <c r="Y269" s="1126" t="b">
        <f t="shared" si="178"/>
        <v>0</v>
      </c>
      <c r="Z269" s="43">
        <v>0</v>
      </c>
      <c r="AA269" s="1219" t="e">
        <f t="shared" si="188"/>
        <v>#N/A</v>
      </c>
      <c r="AB269" s="1219" t="e">
        <f t="shared" si="189"/>
        <v>#N/A</v>
      </c>
      <c r="AC269" s="1219" t="e">
        <f t="shared" si="179"/>
        <v>#N/A</v>
      </c>
      <c r="AD269" s="1126" t="e">
        <f t="shared" si="190"/>
        <v>#N/A</v>
      </c>
      <c r="AE269" s="1217" t="e">
        <f t="shared" si="180"/>
        <v>#N/A</v>
      </c>
      <c r="AF269" s="1220" t="e">
        <f t="shared" si="181"/>
        <v>#N/A</v>
      </c>
      <c r="AG269" s="1176" t="e">
        <f t="shared" si="182"/>
        <v>#N/A</v>
      </c>
      <c r="AH269" s="1221" t="e">
        <f t="shared" si="191"/>
        <v>#N/A</v>
      </c>
    </row>
    <row r="270" spans="1:34" ht="15.5">
      <c r="A270" s="1216" t="b">
        <f t="shared" si="170"/>
        <v>1</v>
      </c>
      <c r="B270" s="1217" t="b">
        <f t="shared" si="183"/>
        <v>1</v>
      </c>
      <c r="C270" s="1218" t="str">
        <f t="shared" si="184"/>
        <v>Dólares</v>
      </c>
      <c r="D270" s="46"/>
      <c r="E270" s="836"/>
      <c r="F270" s="50"/>
      <c r="G270" s="50" t="str">
        <f t="shared" si="171"/>
        <v xml:space="preserve"> </v>
      </c>
      <c r="H270" s="45">
        <v>0</v>
      </c>
      <c r="I270" s="49" t="str">
        <f>IFERROR(VLOOKUP(G270,Proveedores!B:C,2,0)," ")</f>
        <v xml:space="preserve"> </v>
      </c>
      <c r="J270" s="838">
        <v>0</v>
      </c>
      <c r="K270" s="1124"/>
      <c r="L270" s="1266">
        <f t="shared" si="172"/>
        <v>0</v>
      </c>
      <c r="M270" s="1267">
        <f t="shared" si="173"/>
        <v>0</v>
      </c>
      <c r="N270" s="1268">
        <f t="shared" si="192"/>
        <v>0</v>
      </c>
      <c r="O270" s="836" t="str">
        <f>IFERROR(VLOOKUP(G270,Proveedores!B:D,3,0)," ")</f>
        <v xml:space="preserve"> </v>
      </c>
      <c r="P270" s="836"/>
      <c r="Q270" s="1127" t="e">
        <f t="shared" si="174"/>
        <v>#N/A</v>
      </c>
      <c r="R270" s="1127" t="b">
        <f t="shared" si="185"/>
        <v>0</v>
      </c>
      <c r="S270" s="1127" t="e">
        <f t="shared" si="175"/>
        <v>#N/A</v>
      </c>
      <c r="T270" s="1127" t="b">
        <f t="shared" si="186"/>
        <v>0</v>
      </c>
      <c r="U270" s="1127" t="e">
        <f t="shared" si="176"/>
        <v>#N/A</v>
      </c>
      <c r="V270" s="1127" t="e">
        <f t="shared" si="187"/>
        <v>#N/A</v>
      </c>
      <c r="W270" s="1127" t="e">
        <f>IF(F270="Offiho",J270,IF(_xlfn.XLOOKUP(F270,Proveedores!A$2:A$50,Proveedores!E$2:E$50,"")="Nacional",(J270/0.5)+(V270*H270),((J270/0.3/0.5)+(V270*H270))))</f>
        <v>#N/A</v>
      </c>
      <c r="X270" s="1127" t="e">
        <f t="shared" si="177"/>
        <v>#N/A</v>
      </c>
      <c r="Y270" s="1126" t="b">
        <f t="shared" si="178"/>
        <v>0</v>
      </c>
      <c r="Z270" s="43">
        <v>0</v>
      </c>
      <c r="AA270" s="1219" t="e">
        <f t="shared" si="188"/>
        <v>#N/A</v>
      </c>
      <c r="AB270" s="1219" t="e">
        <f t="shared" si="189"/>
        <v>#N/A</v>
      </c>
      <c r="AC270" s="1219" t="e">
        <f t="shared" si="179"/>
        <v>#N/A</v>
      </c>
      <c r="AD270" s="1126" t="e">
        <f t="shared" si="190"/>
        <v>#N/A</v>
      </c>
      <c r="AE270" s="1217" t="e">
        <f t="shared" si="180"/>
        <v>#N/A</v>
      </c>
      <c r="AF270" s="1220" t="e">
        <f t="shared" si="181"/>
        <v>#N/A</v>
      </c>
      <c r="AG270" s="1176" t="e">
        <f t="shared" si="182"/>
        <v>#N/A</v>
      </c>
      <c r="AH270" s="1221" t="e">
        <f t="shared" si="191"/>
        <v>#N/A</v>
      </c>
    </row>
    <row r="271" spans="1:34" ht="15.5">
      <c r="A271" s="1216" t="b">
        <f t="shared" si="170"/>
        <v>1</v>
      </c>
      <c r="B271" s="1217" t="b">
        <f t="shared" si="183"/>
        <v>1</v>
      </c>
      <c r="C271" s="1218" t="str">
        <f t="shared" si="184"/>
        <v>Dólares</v>
      </c>
      <c r="D271" s="46"/>
      <c r="E271" s="836"/>
      <c r="F271" s="50"/>
      <c r="G271" s="50" t="str">
        <f t="shared" si="171"/>
        <v xml:space="preserve"> </v>
      </c>
      <c r="H271" s="45">
        <v>0</v>
      </c>
      <c r="I271" s="49" t="str">
        <f>IFERROR(VLOOKUP(G271,Proveedores!B:C,2,0)," ")</f>
        <v xml:space="preserve"> </v>
      </c>
      <c r="J271" s="838">
        <v>0</v>
      </c>
      <c r="K271" s="1124"/>
      <c r="L271" s="1266">
        <f t="shared" si="172"/>
        <v>0</v>
      </c>
      <c r="M271" s="1267">
        <f t="shared" si="173"/>
        <v>0</v>
      </c>
      <c r="N271" s="1268">
        <f t="shared" si="192"/>
        <v>0</v>
      </c>
      <c r="O271" s="836" t="str">
        <f>IFERROR(VLOOKUP(G271,Proveedores!B:D,3,0)," ")</f>
        <v xml:space="preserve"> </v>
      </c>
      <c r="P271" s="836"/>
      <c r="Q271" s="1127" t="e">
        <f t="shared" si="174"/>
        <v>#N/A</v>
      </c>
      <c r="R271" s="1127" t="b">
        <f t="shared" si="185"/>
        <v>0</v>
      </c>
      <c r="S271" s="1127" t="e">
        <f t="shared" si="175"/>
        <v>#N/A</v>
      </c>
      <c r="T271" s="1127" t="b">
        <f t="shared" si="186"/>
        <v>0</v>
      </c>
      <c r="U271" s="1127" t="e">
        <f t="shared" si="176"/>
        <v>#N/A</v>
      </c>
      <c r="V271" s="1127" t="e">
        <f t="shared" si="187"/>
        <v>#N/A</v>
      </c>
      <c r="W271" s="1127" t="e">
        <f>IF(F271="Offiho",J271,IF(_xlfn.XLOOKUP(F271,Proveedores!A$2:A$50,Proveedores!E$2:E$50,"")="Nacional",(J271/0.5)+(V271*H271),((J271/0.3/0.5)+(V271*H271))))</f>
        <v>#N/A</v>
      </c>
      <c r="X271" s="1127" t="e">
        <f t="shared" si="177"/>
        <v>#N/A</v>
      </c>
      <c r="Y271" s="1126" t="b">
        <f t="shared" si="178"/>
        <v>0</v>
      </c>
      <c r="Z271" s="43">
        <v>0</v>
      </c>
      <c r="AA271" s="1219" t="e">
        <f t="shared" si="188"/>
        <v>#N/A</v>
      </c>
      <c r="AB271" s="1219" t="e">
        <f t="shared" si="189"/>
        <v>#N/A</v>
      </c>
      <c r="AC271" s="1219" t="e">
        <f t="shared" si="179"/>
        <v>#N/A</v>
      </c>
      <c r="AD271" s="1126" t="e">
        <f t="shared" si="190"/>
        <v>#N/A</v>
      </c>
      <c r="AE271" s="1217" t="e">
        <f t="shared" si="180"/>
        <v>#N/A</v>
      </c>
      <c r="AF271" s="1220" t="e">
        <f t="shared" si="181"/>
        <v>#N/A</v>
      </c>
      <c r="AG271" s="1176" t="e">
        <f t="shared" si="182"/>
        <v>#N/A</v>
      </c>
      <c r="AH271" s="1221" t="e">
        <f t="shared" si="191"/>
        <v>#N/A</v>
      </c>
    </row>
    <row r="272" spans="1:34" ht="15.5">
      <c r="A272" s="1216" t="b">
        <f t="shared" si="170"/>
        <v>1</v>
      </c>
      <c r="B272" s="1217" t="b">
        <f t="shared" si="183"/>
        <v>1</v>
      </c>
      <c r="C272" s="1218" t="str">
        <f t="shared" si="184"/>
        <v>Dólares</v>
      </c>
      <c r="D272" s="46"/>
      <c r="E272" s="836"/>
      <c r="F272" s="50"/>
      <c r="G272" s="50" t="str">
        <f t="shared" si="171"/>
        <v xml:space="preserve"> </v>
      </c>
      <c r="H272" s="45">
        <v>0</v>
      </c>
      <c r="I272" s="49" t="str">
        <f>IFERROR(VLOOKUP(G272,Proveedores!B:C,2,0)," ")</f>
        <v xml:space="preserve"> </v>
      </c>
      <c r="J272" s="838">
        <v>0</v>
      </c>
      <c r="K272" s="1124"/>
      <c r="L272" s="1266">
        <f t="shared" si="172"/>
        <v>0</v>
      </c>
      <c r="M272" s="1267">
        <f t="shared" si="173"/>
        <v>0</v>
      </c>
      <c r="N272" s="1268">
        <f t="shared" si="192"/>
        <v>0</v>
      </c>
      <c r="O272" s="836" t="str">
        <f>IFERROR(VLOOKUP(G272,Proveedores!B:D,3,0)," ")</f>
        <v xml:space="preserve"> </v>
      </c>
      <c r="P272" s="836"/>
      <c r="Q272" s="1127" t="e">
        <f t="shared" si="174"/>
        <v>#N/A</v>
      </c>
      <c r="R272" s="1127" t="b">
        <f t="shared" si="185"/>
        <v>0</v>
      </c>
      <c r="S272" s="1127" t="e">
        <f t="shared" si="175"/>
        <v>#N/A</v>
      </c>
      <c r="T272" s="1127" t="b">
        <f t="shared" si="186"/>
        <v>0</v>
      </c>
      <c r="U272" s="1127" t="e">
        <f t="shared" si="176"/>
        <v>#N/A</v>
      </c>
      <c r="V272" s="1127" t="e">
        <f t="shared" si="187"/>
        <v>#N/A</v>
      </c>
      <c r="W272" s="1127" t="e">
        <f>IF(F272="Offiho",J272,IF(_xlfn.XLOOKUP(F272,Proveedores!A$2:A$50,Proveedores!E$2:E$50,"")="Nacional",(J272/0.5)+(V272*H272),((J272/0.3/0.5)+(V272*H272))))</f>
        <v>#N/A</v>
      </c>
      <c r="X272" s="1127" t="e">
        <f t="shared" si="177"/>
        <v>#N/A</v>
      </c>
      <c r="Y272" s="1126" t="b">
        <f t="shared" si="178"/>
        <v>0</v>
      </c>
      <c r="Z272" s="43">
        <v>0</v>
      </c>
      <c r="AA272" s="1219" t="e">
        <f t="shared" si="188"/>
        <v>#N/A</v>
      </c>
      <c r="AB272" s="1219" t="e">
        <f t="shared" si="189"/>
        <v>#N/A</v>
      </c>
      <c r="AC272" s="1219" t="e">
        <f t="shared" si="179"/>
        <v>#N/A</v>
      </c>
      <c r="AD272" s="1126" t="e">
        <f t="shared" si="190"/>
        <v>#N/A</v>
      </c>
      <c r="AE272" s="1217" t="e">
        <f t="shared" si="180"/>
        <v>#N/A</v>
      </c>
      <c r="AF272" s="1220" t="e">
        <f t="shared" si="181"/>
        <v>#N/A</v>
      </c>
      <c r="AG272" s="1176" t="e">
        <f t="shared" si="182"/>
        <v>#N/A</v>
      </c>
      <c r="AH272" s="1221" t="e">
        <f t="shared" si="191"/>
        <v>#N/A</v>
      </c>
    </row>
    <row r="273" spans="1:34" ht="15.5">
      <c r="A273" s="1216" t="b">
        <f t="shared" si="170"/>
        <v>1</v>
      </c>
      <c r="B273" s="1217" t="b">
        <f t="shared" si="183"/>
        <v>1</v>
      </c>
      <c r="C273" s="1218" t="str">
        <f t="shared" si="184"/>
        <v>Dólares</v>
      </c>
      <c r="D273" s="46"/>
      <c r="E273" s="836"/>
      <c r="F273" s="50"/>
      <c r="G273" s="50" t="str">
        <f t="shared" si="171"/>
        <v xml:space="preserve"> </v>
      </c>
      <c r="H273" s="45">
        <v>0</v>
      </c>
      <c r="I273" s="49" t="str">
        <f>IFERROR(VLOOKUP(G273,Proveedores!B:C,2,0)," ")</f>
        <v xml:space="preserve"> </v>
      </c>
      <c r="J273" s="838">
        <v>0</v>
      </c>
      <c r="K273" s="1124"/>
      <c r="L273" s="1266">
        <f t="shared" si="172"/>
        <v>0</v>
      </c>
      <c r="M273" s="1267">
        <f t="shared" si="173"/>
        <v>0</v>
      </c>
      <c r="N273" s="1268">
        <f t="shared" si="192"/>
        <v>0</v>
      </c>
      <c r="O273" s="836" t="str">
        <f>IFERROR(VLOOKUP(G273,Proveedores!B:D,3,0)," ")</f>
        <v xml:space="preserve"> </v>
      </c>
      <c r="P273" s="836"/>
      <c r="Q273" s="1127" t="e">
        <f t="shared" si="174"/>
        <v>#N/A</v>
      </c>
      <c r="R273" s="1127" t="b">
        <f t="shared" si="185"/>
        <v>0</v>
      </c>
      <c r="S273" s="1127" t="e">
        <f t="shared" si="175"/>
        <v>#N/A</v>
      </c>
      <c r="T273" s="1127" t="b">
        <f t="shared" si="186"/>
        <v>0</v>
      </c>
      <c r="U273" s="1127" t="e">
        <f t="shared" si="176"/>
        <v>#N/A</v>
      </c>
      <c r="V273" s="1127" t="e">
        <f t="shared" si="187"/>
        <v>#N/A</v>
      </c>
      <c r="W273" s="1127" t="e">
        <f>IF(F273="Offiho",J273,IF(_xlfn.XLOOKUP(F273,Proveedores!A$2:A$50,Proveedores!E$2:E$50,"")="Nacional",(J273/0.5)+(V273*H273),((J273/0.3/0.5)+(V273*H273))))</f>
        <v>#N/A</v>
      </c>
      <c r="X273" s="1127" t="e">
        <f t="shared" si="177"/>
        <v>#N/A</v>
      </c>
      <c r="Y273" s="1126" t="b">
        <f t="shared" si="178"/>
        <v>0</v>
      </c>
      <c r="Z273" s="43">
        <v>0</v>
      </c>
      <c r="AA273" s="1219" t="e">
        <f t="shared" si="188"/>
        <v>#N/A</v>
      </c>
      <c r="AB273" s="1219" t="e">
        <f t="shared" si="189"/>
        <v>#N/A</v>
      </c>
      <c r="AC273" s="1219" t="e">
        <f t="shared" si="179"/>
        <v>#N/A</v>
      </c>
      <c r="AD273" s="1126" t="e">
        <f t="shared" si="190"/>
        <v>#N/A</v>
      </c>
      <c r="AE273" s="1217" t="e">
        <f t="shared" si="180"/>
        <v>#N/A</v>
      </c>
      <c r="AF273" s="1220" t="e">
        <f t="shared" si="181"/>
        <v>#N/A</v>
      </c>
      <c r="AG273" s="1176" t="e">
        <f t="shared" si="182"/>
        <v>#N/A</v>
      </c>
      <c r="AH273" s="1221" t="e">
        <f t="shared" si="191"/>
        <v>#N/A</v>
      </c>
    </row>
    <row r="274" spans="1:34" ht="15.5">
      <c r="A274" s="1216" t="b">
        <f t="shared" si="170"/>
        <v>1</v>
      </c>
      <c r="B274" s="1217" t="b">
        <f t="shared" si="183"/>
        <v>1</v>
      </c>
      <c r="C274" s="1218" t="str">
        <f t="shared" si="184"/>
        <v>Dólares</v>
      </c>
      <c r="D274" s="46"/>
      <c r="E274" s="836"/>
      <c r="F274" s="50"/>
      <c r="G274" s="50" t="str">
        <f t="shared" si="171"/>
        <v xml:space="preserve"> </v>
      </c>
      <c r="H274" s="45">
        <v>0</v>
      </c>
      <c r="I274" s="49" t="str">
        <f>IFERROR(VLOOKUP(G274,Proveedores!B:C,2,0)," ")</f>
        <v xml:space="preserve"> </v>
      </c>
      <c r="J274" s="838">
        <v>0</v>
      </c>
      <c r="K274" s="1124"/>
      <c r="L274" s="1266">
        <f t="shared" si="172"/>
        <v>0</v>
      </c>
      <c r="M274" s="1267">
        <f t="shared" si="173"/>
        <v>0</v>
      </c>
      <c r="N274" s="1268">
        <f t="shared" si="192"/>
        <v>0</v>
      </c>
      <c r="O274" s="836" t="str">
        <f>IFERROR(VLOOKUP(G274,Proveedores!B:D,3,0)," ")</f>
        <v xml:space="preserve"> </v>
      </c>
      <c r="P274" s="836"/>
      <c r="Q274" s="1127" t="e">
        <f t="shared" si="174"/>
        <v>#N/A</v>
      </c>
      <c r="R274" s="1127" t="b">
        <f t="shared" si="185"/>
        <v>0</v>
      </c>
      <c r="S274" s="1127" t="e">
        <f t="shared" si="175"/>
        <v>#N/A</v>
      </c>
      <c r="T274" s="1127" t="b">
        <f t="shared" si="186"/>
        <v>0</v>
      </c>
      <c r="U274" s="1127" t="e">
        <f t="shared" si="176"/>
        <v>#N/A</v>
      </c>
      <c r="V274" s="1127" t="e">
        <f t="shared" si="187"/>
        <v>#N/A</v>
      </c>
      <c r="W274" s="1127" t="e">
        <f>IF(F274="Offiho",J274,IF(_xlfn.XLOOKUP(F274,Proveedores!A$2:A$50,Proveedores!E$2:E$50,"")="Nacional",(J274/0.5)+(V274*H274),((J274/0.3/0.5)+(V274*H274))))</f>
        <v>#N/A</v>
      </c>
      <c r="X274" s="1127" t="e">
        <f t="shared" si="177"/>
        <v>#N/A</v>
      </c>
      <c r="Y274" s="1126" t="b">
        <f t="shared" si="178"/>
        <v>0</v>
      </c>
      <c r="Z274" s="43">
        <v>0</v>
      </c>
      <c r="AA274" s="1219" t="e">
        <f t="shared" si="188"/>
        <v>#N/A</v>
      </c>
      <c r="AB274" s="1219" t="e">
        <f t="shared" si="189"/>
        <v>#N/A</v>
      </c>
      <c r="AC274" s="1219" t="e">
        <f t="shared" si="179"/>
        <v>#N/A</v>
      </c>
      <c r="AD274" s="1126" t="e">
        <f t="shared" si="190"/>
        <v>#N/A</v>
      </c>
      <c r="AE274" s="1217" t="e">
        <f t="shared" si="180"/>
        <v>#N/A</v>
      </c>
      <c r="AF274" s="1220" t="e">
        <f t="shared" si="181"/>
        <v>#N/A</v>
      </c>
      <c r="AG274" s="1176" t="e">
        <f t="shared" si="182"/>
        <v>#N/A</v>
      </c>
      <c r="AH274" s="1221" t="e">
        <f t="shared" si="191"/>
        <v>#N/A</v>
      </c>
    </row>
    <row r="275" spans="1:34" ht="15.5">
      <c r="A275" s="1216" t="b">
        <f t="shared" si="170"/>
        <v>1</v>
      </c>
      <c r="B275" s="1217" t="b">
        <f t="shared" si="183"/>
        <v>1</v>
      </c>
      <c r="C275" s="1218" t="str">
        <f t="shared" si="184"/>
        <v>Dólares</v>
      </c>
      <c r="D275" s="46"/>
      <c r="E275" s="836"/>
      <c r="F275" s="50"/>
      <c r="G275" s="50" t="str">
        <f t="shared" si="171"/>
        <v xml:space="preserve"> </v>
      </c>
      <c r="H275" s="45">
        <v>0</v>
      </c>
      <c r="I275" s="49" t="str">
        <f>IFERROR(VLOOKUP(G275,Proveedores!B:C,2,0)," ")</f>
        <v xml:space="preserve"> </v>
      </c>
      <c r="J275" s="838">
        <v>0</v>
      </c>
      <c r="K275" s="1124"/>
      <c r="L275" s="1266">
        <f t="shared" si="172"/>
        <v>0</v>
      </c>
      <c r="M275" s="1267">
        <f t="shared" si="173"/>
        <v>0</v>
      </c>
      <c r="N275" s="1268">
        <f t="shared" si="192"/>
        <v>0</v>
      </c>
      <c r="O275" s="836" t="str">
        <f>IFERROR(VLOOKUP(G275,Proveedores!B:D,3,0)," ")</f>
        <v xml:space="preserve"> </v>
      </c>
      <c r="P275" s="836"/>
      <c r="Q275" s="1127" t="e">
        <f t="shared" si="174"/>
        <v>#N/A</v>
      </c>
      <c r="R275" s="1127" t="b">
        <f t="shared" si="185"/>
        <v>0</v>
      </c>
      <c r="S275" s="1127" t="e">
        <f t="shared" si="175"/>
        <v>#N/A</v>
      </c>
      <c r="T275" s="1127" t="b">
        <f t="shared" si="186"/>
        <v>0</v>
      </c>
      <c r="U275" s="1127" t="e">
        <f t="shared" si="176"/>
        <v>#N/A</v>
      </c>
      <c r="V275" s="1127" t="e">
        <f t="shared" si="187"/>
        <v>#N/A</v>
      </c>
      <c r="W275" s="1127" t="e">
        <f>IF(F275="Offiho",J275,IF(_xlfn.XLOOKUP(F275,Proveedores!A$2:A$50,Proveedores!E$2:E$50,"")="Nacional",(J275/0.5)+(V275*H275),((J275/0.3/0.5)+(V275*H275))))</f>
        <v>#N/A</v>
      </c>
      <c r="X275" s="1127" t="e">
        <f t="shared" si="177"/>
        <v>#N/A</v>
      </c>
      <c r="Y275" s="1126" t="b">
        <f t="shared" si="178"/>
        <v>0</v>
      </c>
      <c r="Z275" s="43">
        <v>0</v>
      </c>
      <c r="AA275" s="1219" t="e">
        <f t="shared" si="188"/>
        <v>#N/A</v>
      </c>
      <c r="AB275" s="1219" t="e">
        <f t="shared" si="189"/>
        <v>#N/A</v>
      </c>
      <c r="AC275" s="1219" t="e">
        <f t="shared" si="179"/>
        <v>#N/A</v>
      </c>
      <c r="AD275" s="1126" t="e">
        <f t="shared" si="190"/>
        <v>#N/A</v>
      </c>
      <c r="AE275" s="1217" t="e">
        <f t="shared" si="180"/>
        <v>#N/A</v>
      </c>
      <c r="AF275" s="1220" t="e">
        <f t="shared" si="181"/>
        <v>#N/A</v>
      </c>
      <c r="AG275" s="1176" t="e">
        <f t="shared" si="182"/>
        <v>#N/A</v>
      </c>
      <c r="AH275" s="1221" t="e">
        <f t="shared" si="191"/>
        <v>#N/A</v>
      </c>
    </row>
    <row r="276" spans="1:34" ht="15.5">
      <c r="A276" s="1216" t="b">
        <f t="shared" si="170"/>
        <v>1</v>
      </c>
      <c r="B276" s="1217" t="b">
        <f t="shared" si="183"/>
        <v>1</v>
      </c>
      <c r="C276" s="1218" t="str">
        <f t="shared" si="184"/>
        <v>Dólares</v>
      </c>
      <c r="D276" s="47"/>
      <c r="E276" s="836"/>
      <c r="F276" s="50"/>
      <c r="G276" s="50" t="str">
        <f t="shared" si="171"/>
        <v xml:space="preserve"> </v>
      </c>
      <c r="H276" s="45">
        <v>0</v>
      </c>
      <c r="I276" s="49" t="str">
        <f>IFERROR(VLOOKUP(G276,Proveedores!B:C,2,0)," ")</f>
        <v xml:space="preserve"> </v>
      </c>
      <c r="J276" s="838">
        <v>0</v>
      </c>
      <c r="K276" s="1124"/>
      <c r="L276" s="1266">
        <f t="shared" si="172"/>
        <v>0</v>
      </c>
      <c r="M276" s="1267">
        <f t="shared" si="173"/>
        <v>0</v>
      </c>
      <c r="N276" s="1268">
        <f t="shared" si="192"/>
        <v>0</v>
      </c>
      <c r="O276" s="836" t="str">
        <f>IFERROR(VLOOKUP(G276,Proveedores!B:D,3,0)," ")</f>
        <v xml:space="preserve"> </v>
      </c>
      <c r="P276" s="836"/>
      <c r="Q276" s="1127" t="e">
        <f t="shared" si="174"/>
        <v>#N/A</v>
      </c>
      <c r="R276" s="1127" t="b">
        <f t="shared" si="185"/>
        <v>0</v>
      </c>
      <c r="S276" s="1127" t="e">
        <f t="shared" si="175"/>
        <v>#N/A</v>
      </c>
      <c r="T276" s="1127" t="b">
        <f t="shared" si="186"/>
        <v>0</v>
      </c>
      <c r="U276" s="1127" t="e">
        <f t="shared" si="176"/>
        <v>#N/A</v>
      </c>
      <c r="V276" s="1127" t="e">
        <f t="shared" si="187"/>
        <v>#N/A</v>
      </c>
      <c r="W276" s="1127" t="e">
        <f>IF(F276="Offiho",J276,IF(_xlfn.XLOOKUP(F276,Proveedores!A$2:A$50,Proveedores!E$2:E$50,"")="Nacional",(J276/0.5)+(V276*H276),((J276/0.3/0.5)+(V276*H276))))</f>
        <v>#N/A</v>
      </c>
      <c r="X276" s="1127" t="e">
        <f t="shared" si="177"/>
        <v>#N/A</v>
      </c>
      <c r="Y276" s="1126" t="b">
        <f t="shared" si="178"/>
        <v>0</v>
      </c>
      <c r="Z276" s="43">
        <v>0</v>
      </c>
      <c r="AA276" s="1219" t="e">
        <f t="shared" si="188"/>
        <v>#N/A</v>
      </c>
      <c r="AB276" s="1219" t="e">
        <f t="shared" si="189"/>
        <v>#N/A</v>
      </c>
      <c r="AC276" s="1219" t="e">
        <f t="shared" si="179"/>
        <v>#N/A</v>
      </c>
      <c r="AD276" s="1126" t="e">
        <f t="shared" si="190"/>
        <v>#N/A</v>
      </c>
      <c r="AE276" s="1217" t="e">
        <f t="shared" si="180"/>
        <v>#N/A</v>
      </c>
      <c r="AF276" s="1220" t="e">
        <f t="shared" si="181"/>
        <v>#N/A</v>
      </c>
      <c r="AG276" s="1176" t="e">
        <f t="shared" si="182"/>
        <v>#N/A</v>
      </c>
      <c r="AH276" s="1221" t="e">
        <f t="shared" si="191"/>
        <v>#N/A</v>
      </c>
    </row>
    <row r="277" spans="1:34" ht="15.5">
      <c r="A277" s="1216" t="b">
        <f t="shared" si="170"/>
        <v>1</v>
      </c>
      <c r="B277" s="1217" t="b">
        <f t="shared" si="183"/>
        <v>1</v>
      </c>
      <c r="C277" s="1218" t="str">
        <f t="shared" si="184"/>
        <v>Dólares</v>
      </c>
      <c r="D277" s="48"/>
      <c r="E277" s="836"/>
      <c r="F277" s="50"/>
      <c r="G277" s="50" t="str">
        <f t="shared" si="171"/>
        <v xml:space="preserve"> </v>
      </c>
      <c r="H277" s="45">
        <v>0</v>
      </c>
      <c r="I277" s="49" t="str">
        <f>IFERROR(VLOOKUP(G277,Proveedores!B:C,2,0)," ")</f>
        <v xml:space="preserve"> </v>
      </c>
      <c r="J277" s="838">
        <v>0</v>
      </c>
      <c r="K277" s="1124"/>
      <c r="L277" s="1266">
        <f t="shared" si="172"/>
        <v>0</v>
      </c>
      <c r="M277" s="1267">
        <f t="shared" si="173"/>
        <v>0</v>
      </c>
      <c r="N277" s="1268">
        <f t="shared" si="192"/>
        <v>0</v>
      </c>
      <c r="O277" s="836" t="str">
        <f>IFERROR(VLOOKUP(G277,Proveedores!B:D,3,0)," ")</f>
        <v xml:space="preserve"> </v>
      </c>
      <c r="P277" s="836"/>
      <c r="Q277" s="1127" t="e">
        <f t="shared" si="174"/>
        <v>#N/A</v>
      </c>
      <c r="R277" s="1127" t="b">
        <f t="shared" si="185"/>
        <v>0</v>
      </c>
      <c r="S277" s="1127" t="e">
        <f t="shared" si="175"/>
        <v>#N/A</v>
      </c>
      <c r="T277" s="1127" t="b">
        <f t="shared" si="186"/>
        <v>0</v>
      </c>
      <c r="U277" s="1127" t="e">
        <f t="shared" si="176"/>
        <v>#N/A</v>
      </c>
      <c r="V277" s="1127" t="e">
        <f t="shared" si="187"/>
        <v>#N/A</v>
      </c>
      <c r="W277" s="1127" t="e">
        <f>IF(F277="Offiho",J277,IF(_xlfn.XLOOKUP(F277,Proveedores!A$2:A$50,Proveedores!E$2:E$50,"")="Nacional",(J277/0.5)+(V277*H277),((J277/0.3/0.5)+(V277*H277))))</f>
        <v>#N/A</v>
      </c>
      <c r="X277" s="1127" t="e">
        <f t="shared" si="177"/>
        <v>#N/A</v>
      </c>
      <c r="Y277" s="1126" t="b">
        <f t="shared" si="178"/>
        <v>0</v>
      </c>
      <c r="Z277" s="43">
        <v>0</v>
      </c>
      <c r="AA277" s="1219" t="e">
        <f t="shared" si="188"/>
        <v>#N/A</v>
      </c>
      <c r="AB277" s="1219" t="e">
        <f t="shared" si="189"/>
        <v>#N/A</v>
      </c>
      <c r="AC277" s="1219" t="e">
        <f t="shared" si="179"/>
        <v>#N/A</v>
      </c>
      <c r="AD277" s="1126" t="e">
        <f t="shared" si="190"/>
        <v>#N/A</v>
      </c>
      <c r="AE277" s="1217" t="e">
        <f t="shared" si="180"/>
        <v>#N/A</v>
      </c>
      <c r="AF277" s="1220" t="e">
        <f t="shared" si="181"/>
        <v>#N/A</v>
      </c>
      <c r="AG277" s="1176" t="e">
        <f t="shared" si="182"/>
        <v>#N/A</v>
      </c>
      <c r="AH277" s="1221" t="e">
        <f t="shared" si="191"/>
        <v>#N/A</v>
      </c>
    </row>
    <row r="278" spans="1:34" ht="15.5">
      <c r="A278" s="1216" t="b">
        <f t="shared" si="170"/>
        <v>1</v>
      </c>
      <c r="B278" s="1217" t="b">
        <f t="shared" si="183"/>
        <v>1</v>
      </c>
      <c r="C278" s="1218" t="str">
        <f t="shared" si="184"/>
        <v>Dólares</v>
      </c>
      <c r="D278" s="48"/>
      <c r="E278" s="836"/>
      <c r="F278" s="50"/>
      <c r="G278" s="50" t="str">
        <f t="shared" si="171"/>
        <v xml:space="preserve"> </v>
      </c>
      <c r="H278" s="45">
        <v>0</v>
      </c>
      <c r="I278" s="49" t="str">
        <f>IFERROR(VLOOKUP(G278,Proveedores!B:C,2,0)," ")</f>
        <v xml:space="preserve"> </v>
      </c>
      <c r="J278" s="838">
        <v>0</v>
      </c>
      <c r="K278" s="1124"/>
      <c r="L278" s="1266">
        <f t="shared" si="172"/>
        <v>0</v>
      </c>
      <c r="M278" s="1267">
        <f t="shared" si="173"/>
        <v>0</v>
      </c>
      <c r="N278" s="1268">
        <f t="shared" si="192"/>
        <v>0</v>
      </c>
      <c r="O278" s="836" t="str">
        <f>IFERROR(VLOOKUP(G278,Proveedores!B:D,3,0)," ")</f>
        <v xml:space="preserve"> </v>
      </c>
      <c r="P278" s="836"/>
      <c r="Q278" s="1127" t="e">
        <f t="shared" si="174"/>
        <v>#N/A</v>
      </c>
      <c r="R278" s="1127" t="b">
        <f t="shared" si="185"/>
        <v>0</v>
      </c>
      <c r="S278" s="1127" t="e">
        <f t="shared" si="175"/>
        <v>#N/A</v>
      </c>
      <c r="T278" s="1127" t="b">
        <f t="shared" si="186"/>
        <v>0</v>
      </c>
      <c r="U278" s="1127" t="e">
        <f t="shared" si="176"/>
        <v>#N/A</v>
      </c>
      <c r="V278" s="1127" t="e">
        <f t="shared" si="187"/>
        <v>#N/A</v>
      </c>
      <c r="W278" s="1127" t="e">
        <f>IF(F278="Offiho",J278,IF(_xlfn.XLOOKUP(F278,Proveedores!A$2:A$50,Proveedores!E$2:E$50,"")="Nacional",(J278/0.5)+(V278*H278),((J278/0.3/0.5)+(V278*H278))))</f>
        <v>#N/A</v>
      </c>
      <c r="X278" s="1127" t="e">
        <f t="shared" si="177"/>
        <v>#N/A</v>
      </c>
      <c r="Y278" s="1126" t="b">
        <f t="shared" si="178"/>
        <v>0</v>
      </c>
      <c r="Z278" s="43">
        <v>0</v>
      </c>
      <c r="AA278" s="1219" t="e">
        <f t="shared" si="188"/>
        <v>#N/A</v>
      </c>
      <c r="AB278" s="1219" t="e">
        <f t="shared" si="189"/>
        <v>#N/A</v>
      </c>
      <c r="AC278" s="1219" t="e">
        <f t="shared" si="179"/>
        <v>#N/A</v>
      </c>
      <c r="AD278" s="1126" t="e">
        <f t="shared" si="190"/>
        <v>#N/A</v>
      </c>
      <c r="AE278" s="1217" t="e">
        <f t="shared" si="180"/>
        <v>#N/A</v>
      </c>
      <c r="AF278" s="1220" t="e">
        <f t="shared" si="181"/>
        <v>#N/A</v>
      </c>
      <c r="AG278" s="1176" t="e">
        <f t="shared" si="182"/>
        <v>#N/A</v>
      </c>
      <c r="AH278" s="1221" t="e">
        <f t="shared" si="191"/>
        <v>#N/A</v>
      </c>
    </row>
    <row r="279" spans="1:34" ht="15.5">
      <c r="A279" s="1216" t="b">
        <f t="shared" si="170"/>
        <v>1</v>
      </c>
      <c r="B279" s="1217" t="b">
        <f t="shared" si="183"/>
        <v>1</v>
      </c>
      <c r="C279" s="1218" t="str">
        <f t="shared" si="184"/>
        <v>Dólares</v>
      </c>
      <c r="D279" s="48"/>
      <c r="E279" s="836"/>
      <c r="F279" s="50"/>
      <c r="G279" s="50" t="str">
        <f t="shared" si="171"/>
        <v xml:space="preserve"> </v>
      </c>
      <c r="H279" s="45">
        <v>0</v>
      </c>
      <c r="I279" s="49" t="str">
        <f>IFERROR(VLOOKUP(G279,Proveedores!B:C,2,0)," ")</f>
        <v xml:space="preserve"> </v>
      </c>
      <c r="J279" s="838">
        <v>0</v>
      </c>
      <c r="K279" s="1124"/>
      <c r="L279" s="1266">
        <f t="shared" si="172"/>
        <v>0</v>
      </c>
      <c r="M279" s="1267">
        <f t="shared" si="173"/>
        <v>0</v>
      </c>
      <c r="N279" s="1268">
        <f t="shared" si="192"/>
        <v>0</v>
      </c>
      <c r="O279" s="836" t="str">
        <f>IFERROR(VLOOKUP(G279,Proveedores!B:D,3,0)," ")</f>
        <v xml:space="preserve"> </v>
      </c>
      <c r="P279" s="836"/>
      <c r="Q279" s="1127" t="e">
        <f t="shared" si="174"/>
        <v>#N/A</v>
      </c>
      <c r="R279" s="1127" t="b">
        <f t="shared" si="185"/>
        <v>0</v>
      </c>
      <c r="S279" s="1127" t="e">
        <f t="shared" si="175"/>
        <v>#N/A</v>
      </c>
      <c r="T279" s="1127" t="b">
        <f t="shared" si="186"/>
        <v>0</v>
      </c>
      <c r="U279" s="1127" t="e">
        <f t="shared" si="176"/>
        <v>#N/A</v>
      </c>
      <c r="V279" s="1127" t="e">
        <f t="shared" si="187"/>
        <v>#N/A</v>
      </c>
      <c r="W279" s="1127" t="e">
        <f>IF(F279="Offiho",J279,IF(_xlfn.XLOOKUP(F279,Proveedores!A$2:A$50,Proveedores!E$2:E$50,"")="Nacional",(J279/0.5)+(V279*H279),((J279/0.3/0.5)+(V279*H279))))</f>
        <v>#N/A</v>
      </c>
      <c r="X279" s="1127" t="e">
        <f t="shared" si="177"/>
        <v>#N/A</v>
      </c>
      <c r="Y279" s="1126" t="b">
        <f t="shared" si="178"/>
        <v>0</v>
      </c>
      <c r="Z279" s="43">
        <v>0</v>
      </c>
      <c r="AA279" s="1219" t="e">
        <f t="shared" si="188"/>
        <v>#N/A</v>
      </c>
      <c r="AB279" s="1219" t="e">
        <f t="shared" si="189"/>
        <v>#N/A</v>
      </c>
      <c r="AC279" s="1219" t="e">
        <f t="shared" si="179"/>
        <v>#N/A</v>
      </c>
      <c r="AD279" s="1126" t="e">
        <f t="shared" si="190"/>
        <v>#N/A</v>
      </c>
      <c r="AE279" s="1217" t="e">
        <f t="shared" si="180"/>
        <v>#N/A</v>
      </c>
      <c r="AF279" s="1220" t="e">
        <f t="shared" si="181"/>
        <v>#N/A</v>
      </c>
      <c r="AG279" s="1176" t="e">
        <f t="shared" si="182"/>
        <v>#N/A</v>
      </c>
      <c r="AH279" s="1221" t="e">
        <f t="shared" si="191"/>
        <v>#N/A</v>
      </c>
    </row>
    <row r="280" spans="1:34" ht="15.5">
      <c r="A280" s="1216" t="b">
        <f t="shared" si="170"/>
        <v>1</v>
      </c>
      <c r="B280" s="1217" t="b">
        <f t="shared" si="183"/>
        <v>1</v>
      </c>
      <c r="C280" s="1218" t="str">
        <f t="shared" si="184"/>
        <v>Dólares</v>
      </c>
      <c r="D280" s="48"/>
      <c r="E280" s="836"/>
      <c r="F280" s="50"/>
      <c r="G280" s="50" t="str">
        <f t="shared" si="171"/>
        <v xml:space="preserve"> </v>
      </c>
      <c r="H280" s="45">
        <v>0</v>
      </c>
      <c r="I280" s="49" t="str">
        <f>IFERROR(VLOOKUP(G280,Proveedores!B:C,2,0)," ")</f>
        <v xml:space="preserve"> </v>
      </c>
      <c r="J280" s="838">
        <v>0</v>
      </c>
      <c r="K280" s="1124"/>
      <c r="L280" s="1266">
        <f t="shared" si="172"/>
        <v>0</v>
      </c>
      <c r="M280" s="1267">
        <f t="shared" si="173"/>
        <v>0</v>
      </c>
      <c r="N280" s="1268">
        <f t="shared" si="192"/>
        <v>0</v>
      </c>
      <c r="O280" s="836" t="str">
        <f>IFERROR(VLOOKUP(G280,Proveedores!B:D,3,0)," ")</f>
        <v xml:space="preserve"> </v>
      </c>
      <c r="P280" s="836"/>
      <c r="Q280" s="1127" t="e">
        <f t="shared" si="174"/>
        <v>#N/A</v>
      </c>
      <c r="R280" s="1127" t="b">
        <f t="shared" si="185"/>
        <v>0</v>
      </c>
      <c r="S280" s="1127" t="e">
        <f t="shared" si="175"/>
        <v>#N/A</v>
      </c>
      <c r="T280" s="1127" t="b">
        <f t="shared" si="186"/>
        <v>0</v>
      </c>
      <c r="U280" s="1127" t="e">
        <f t="shared" si="176"/>
        <v>#N/A</v>
      </c>
      <c r="V280" s="1127" t="e">
        <f t="shared" si="187"/>
        <v>#N/A</v>
      </c>
      <c r="W280" s="1127" t="e">
        <f>IF(F280="Offiho",J280,IF(_xlfn.XLOOKUP(F280,Proveedores!A$2:A$50,Proveedores!E$2:E$50,"")="Nacional",(J280/0.5)+(V280*H280),((J280/0.3/0.5)+(V280*H280))))</f>
        <v>#N/A</v>
      </c>
      <c r="X280" s="1127" t="e">
        <f t="shared" si="177"/>
        <v>#N/A</v>
      </c>
      <c r="Y280" s="1126" t="b">
        <f t="shared" si="178"/>
        <v>0</v>
      </c>
      <c r="Z280" s="43">
        <v>0</v>
      </c>
      <c r="AA280" s="1219" t="e">
        <f t="shared" si="188"/>
        <v>#N/A</v>
      </c>
      <c r="AB280" s="1219" t="e">
        <f t="shared" si="189"/>
        <v>#N/A</v>
      </c>
      <c r="AC280" s="1219" t="e">
        <f t="shared" si="179"/>
        <v>#N/A</v>
      </c>
      <c r="AD280" s="1126" t="e">
        <f t="shared" si="190"/>
        <v>#N/A</v>
      </c>
      <c r="AE280" s="1217" t="e">
        <f t="shared" si="180"/>
        <v>#N/A</v>
      </c>
      <c r="AF280" s="1220" t="e">
        <f t="shared" si="181"/>
        <v>#N/A</v>
      </c>
      <c r="AG280" s="1176" t="e">
        <f t="shared" si="182"/>
        <v>#N/A</v>
      </c>
      <c r="AH280" s="1221" t="e">
        <f t="shared" si="191"/>
        <v>#N/A</v>
      </c>
    </row>
    <row r="281" spans="1:34" ht="15.5">
      <c r="A281" s="1216" t="b">
        <f t="shared" si="170"/>
        <v>1</v>
      </c>
      <c r="B281" s="1217" t="b">
        <f t="shared" si="183"/>
        <v>1</v>
      </c>
      <c r="C281" s="1218" t="str">
        <f t="shared" si="184"/>
        <v>Dólares</v>
      </c>
      <c r="D281" s="47"/>
      <c r="E281" s="836"/>
      <c r="F281" s="50"/>
      <c r="G281" s="50" t="str">
        <f t="shared" si="171"/>
        <v xml:space="preserve"> </v>
      </c>
      <c r="H281" s="45">
        <v>0</v>
      </c>
      <c r="I281" s="49" t="str">
        <f>IFERROR(VLOOKUP(G281,Proveedores!B:C,2,0)," ")</f>
        <v xml:space="preserve"> </v>
      </c>
      <c r="J281" s="838">
        <v>0</v>
      </c>
      <c r="K281" s="1124"/>
      <c r="L281" s="1266">
        <f t="shared" si="172"/>
        <v>0</v>
      </c>
      <c r="M281" s="1267">
        <f t="shared" si="173"/>
        <v>0</v>
      </c>
      <c r="N281" s="1268">
        <f t="shared" si="192"/>
        <v>0</v>
      </c>
      <c r="O281" s="836" t="str">
        <f>IFERROR(VLOOKUP(G281,Proveedores!B:D,3,0)," ")</f>
        <v xml:space="preserve"> </v>
      </c>
      <c r="P281" s="836"/>
      <c r="Q281" s="1127" t="e">
        <f t="shared" si="174"/>
        <v>#N/A</v>
      </c>
      <c r="R281" s="1127" t="b">
        <f t="shared" si="185"/>
        <v>0</v>
      </c>
      <c r="S281" s="1127" t="e">
        <f t="shared" si="175"/>
        <v>#N/A</v>
      </c>
      <c r="T281" s="1127" t="b">
        <f t="shared" si="186"/>
        <v>0</v>
      </c>
      <c r="U281" s="1127" t="e">
        <f t="shared" si="176"/>
        <v>#N/A</v>
      </c>
      <c r="V281" s="1127" t="e">
        <f t="shared" si="187"/>
        <v>#N/A</v>
      </c>
      <c r="W281" s="1127" t="e">
        <f>IF(F281="Offiho",J281,IF(_xlfn.XLOOKUP(F281,Proveedores!A$2:A$50,Proveedores!E$2:E$50,"")="Nacional",(J281/0.5)+(V281*H281),((J281/0.3/0.5)+(V281*H281))))</f>
        <v>#N/A</v>
      </c>
      <c r="X281" s="1127" t="e">
        <f t="shared" si="177"/>
        <v>#N/A</v>
      </c>
      <c r="Y281" s="1126" t="b">
        <f t="shared" si="178"/>
        <v>0</v>
      </c>
      <c r="Z281" s="43">
        <v>0</v>
      </c>
      <c r="AA281" s="1219" t="e">
        <f t="shared" si="188"/>
        <v>#N/A</v>
      </c>
      <c r="AB281" s="1219" t="e">
        <f t="shared" si="189"/>
        <v>#N/A</v>
      </c>
      <c r="AC281" s="1219" t="e">
        <f t="shared" si="179"/>
        <v>#N/A</v>
      </c>
      <c r="AD281" s="1126" t="e">
        <f t="shared" si="190"/>
        <v>#N/A</v>
      </c>
      <c r="AE281" s="1217" t="e">
        <f t="shared" si="180"/>
        <v>#N/A</v>
      </c>
      <c r="AF281" s="1220" t="e">
        <f t="shared" si="181"/>
        <v>#N/A</v>
      </c>
      <c r="AG281" s="1176" t="e">
        <f t="shared" si="182"/>
        <v>#N/A</v>
      </c>
      <c r="AH281" s="1221" t="e">
        <f t="shared" si="191"/>
        <v>#N/A</v>
      </c>
    </row>
    <row r="282" spans="1:34" ht="15.5">
      <c r="A282" s="1216" t="b">
        <f t="shared" si="170"/>
        <v>1</v>
      </c>
      <c r="B282" s="1217" t="b">
        <f t="shared" si="183"/>
        <v>1</v>
      </c>
      <c r="C282" s="1218" t="str">
        <f t="shared" si="184"/>
        <v>Dólares</v>
      </c>
      <c r="D282" s="47"/>
      <c r="E282" s="836"/>
      <c r="F282" s="50"/>
      <c r="G282" s="50" t="str">
        <f t="shared" si="171"/>
        <v xml:space="preserve"> </v>
      </c>
      <c r="H282" s="45">
        <v>0</v>
      </c>
      <c r="I282" s="49" t="str">
        <f>IFERROR(VLOOKUP(G282,Proveedores!B:C,2,0)," ")</f>
        <v xml:space="preserve"> </v>
      </c>
      <c r="J282" s="838">
        <v>0</v>
      </c>
      <c r="K282" s="1124"/>
      <c r="L282" s="1266">
        <f t="shared" si="172"/>
        <v>0</v>
      </c>
      <c r="M282" s="1267">
        <f t="shared" si="173"/>
        <v>0</v>
      </c>
      <c r="N282" s="1268">
        <f t="shared" si="192"/>
        <v>0</v>
      </c>
      <c r="O282" s="836" t="str">
        <f>IFERROR(VLOOKUP(G282,Proveedores!B:D,3,0)," ")</f>
        <v xml:space="preserve"> </v>
      </c>
      <c r="P282" s="836"/>
      <c r="Q282" s="1127" t="e">
        <f t="shared" si="174"/>
        <v>#N/A</v>
      </c>
      <c r="R282" s="1127" t="b">
        <f t="shared" si="185"/>
        <v>0</v>
      </c>
      <c r="S282" s="1127" t="e">
        <f t="shared" si="175"/>
        <v>#N/A</v>
      </c>
      <c r="T282" s="1127" t="b">
        <f t="shared" si="186"/>
        <v>0</v>
      </c>
      <c r="U282" s="1127" t="e">
        <f t="shared" si="176"/>
        <v>#N/A</v>
      </c>
      <c r="V282" s="1127" t="e">
        <f t="shared" si="187"/>
        <v>#N/A</v>
      </c>
      <c r="W282" s="1127" t="e">
        <f>IF(F282="Offiho",J282,IF(_xlfn.XLOOKUP(F282,Proveedores!A$2:A$50,Proveedores!E$2:E$50,"")="Nacional",(J282/0.5)+(V282*H282),((J282/0.3/0.5)+(V282*H282))))</f>
        <v>#N/A</v>
      </c>
      <c r="X282" s="1127" t="e">
        <f t="shared" si="177"/>
        <v>#N/A</v>
      </c>
      <c r="Y282" s="1126" t="b">
        <f t="shared" si="178"/>
        <v>0</v>
      </c>
      <c r="Z282" s="43">
        <v>0</v>
      </c>
      <c r="AA282" s="1219" t="e">
        <f t="shared" si="188"/>
        <v>#N/A</v>
      </c>
      <c r="AB282" s="1219" t="e">
        <f t="shared" si="189"/>
        <v>#N/A</v>
      </c>
      <c r="AC282" s="1219" t="e">
        <f t="shared" si="179"/>
        <v>#N/A</v>
      </c>
      <c r="AD282" s="1126" t="e">
        <f t="shared" si="190"/>
        <v>#N/A</v>
      </c>
      <c r="AE282" s="1217" t="e">
        <f t="shared" si="180"/>
        <v>#N/A</v>
      </c>
      <c r="AF282" s="1220" t="e">
        <f t="shared" si="181"/>
        <v>#N/A</v>
      </c>
      <c r="AG282" s="1176" t="e">
        <f t="shared" si="182"/>
        <v>#N/A</v>
      </c>
      <c r="AH282" s="1221" t="e">
        <f t="shared" si="191"/>
        <v>#N/A</v>
      </c>
    </row>
    <row r="283" spans="1:34" ht="15.5">
      <c r="A283" s="1216" t="b">
        <f t="shared" si="170"/>
        <v>1</v>
      </c>
      <c r="B283" s="1217" t="b">
        <f t="shared" si="183"/>
        <v>1</v>
      </c>
      <c r="C283" s="1218" t="str">
        <f t="shared" si="184"/>
        <v>Dólares</v>
      </c>
      <c r="D283" s="47"/>
      <c r="E283" s="836"/>
      <c r="F283" s="50"/>
      <c r="G283" s="50" t="str">
        <f t="shared" si="171"/>
        <v xml:space="preserve"> </v>
      </c>
      <c r="H283" s="45">
        <v>0</v>
      </c>
      <c r="I283" s="49" t="str">
        <f>IFERROR(VLOOKUP(G283,Proveedores!B:C,2,0)," ")</f>
        <v xml:space="preserve"> </v>
      </c>
      <c r="J283" s="838">
        <v>0</v>
      </c>
      <c r="K283" s="1124"/>
      <c r="L283" s="1266">
        <f t="shared" si="172"/>
        <v>0</v>
      </c>
      <c r="M283" s="1267">
        <f t="shared" si="173"/>
        <v>0</v>
      </c>
      <c r="N283" s="1268">
        <f t="shared" si="192"/>
        <v>0</v>
      </c>
      <c r="O283" s="836" t="str">
        <f>IFERROR(VLOOKUP(G283,Proveedores!B:D,3,0)," ")</f>
        <v xml:space="preserve"> </v>
      </c>
      <c r="P283" s="836"/>
      <c r="Q283" s="1127" t="e">
        <f t="shared" si="174"/>
        <v>#N/A</v>
      </c>
      <c r="R283" s="1127" t="b">
        <f t="shared" si="185"/>
        <v>0</v>
      </c>
      <c r="S283" s="1127" t="e">
        <f t="shared" si="175"/>
        <v>#N/A</v>
      </c>
      <c r="T283" s="1127" t="b">
        <f t="shared" si="186"/>
        <v>0</v>
      </c>
      <c r="U283" s="1127" t="e">
        <f t="shared" si="176"/>
        <v>#N/A</v>
      </c>
      <c r="V283" s="1127" t="e">
        <f t="shared" si="187"/>
        <v>#N/A</v>
      </c>
      <c r="W283" s="1127" t="e">
        <f>IF(F283="Offiho",J283,IF(_xlfn.XLOOKUP(F283,Proveedores!A$2:A$50,Proveedores!E$2:E$50,"")="Nacional",(J283/0.5)+(V283*H283),((J283/0.3/0.5)+(V283*H283))))</f>
        <v>#N/A</v>
      </c>
      <c r="X283" s="1127" t="e">
        <f t="shared" si="177"/>
        <v>#N/A</v>
      </c>
      <c r="Y283" s="1126" t="b">
        <f t="shared" si="178"/>
        <v>0</v>
      </c>
      <c r="Z283" s="43">
        <v>0</v>
      </c>
      <c r="AA283" s="1219" t="e">
        <f t="shared" si="188"/>
        <v>#N/A</v>
      </c>
      <c r="AB283" s="1219" t="e">
        <f t="shared" si="189"/>
        <v>#N/A</v>
      </c>
      <c r="AC283" s="1219" t="e">
        <f t="shared" si="179"/>
        <v>#N/A</v>
      </c>
      <c r="AD283" s="1126" t="e">
        <f t="shared" si="190"/>
        <v>#N/A</v>
      </c>
      <c r="AE283" s="1217" t="e">
        <f t="shared" si="180"/>
        <v>#N/A</v>
      </c>
      <c r="AF283" s="1220" t="e">
        <f t="shared" si="181"/>
        <v>#N/A</v>
      </c>
      <c r="AG283" s="1176" t="e">
        <f t="shared" si="182"/>
        <v>#N/A</v>
      </c>
      <c r="AH283" s="1221" t="e">
        <f t="shared" si="191"/>
        <v>#N/A</v>
      </c>
    </row>
    <row r="284" spans="1:34" ht="15.5">
      <c r="A284" s="1216" t="b">
        <f t="shared" si="170"/>
        <v>1</v>
      </c>
      <c r="B284" s="1217" t="b">
        <f t="shared" si="183"/>
        <v>1</v>
      </c>
      <c r="C284" s="1218" t="str">
        <f t="shared" si="184"/>
        <v>Dólares</v>
      </c>
      <c r="D284" s="48"/>
      <c r="E284" s="836"/>
      <c r="F284" s="50"/>
      <c r="G284" s="50" t="str">
        <f t="shared" si="171"/>
        <v xml:space="preserve"> </v>
      </c>
      <c r="H284" s="45">
        <v>0</v>
      </c>
      <c r="I284" s="49" t="str">
        <f>IFERROR(VLOOKUP(G284,Proveedores!B:C,2,0)," ")</f>
        <v xml:space="preserve"> </v>
      </c>
      <c r="J284" s="838">
        <v>0</v>
      </c>
      <c r="K284" s="1124"/>
      <c r="L284" s="1266">
        <f t="shared" si="172"/>
        <v>0</v>
      </c>
      <c r="M284" s="1267">
        <f t="shared" si="173"/>
        <v>0</v>
      </c>
      <c r="N284" s="1268">
        <f t="shared" si="192"/>
        <v>0</v>
      </c>
      <c r="O284" s="836" t="str">
        <f>IFERROR(VLOOKUP(G284,Proveedores!B:D,3,0)," ")</f>
        <v xml:space="preserve"> </v>
      </c>
      <c r="P284" s="836"/>
      <c r="Q284" s="1127" t="e">
        <f t="shared" si="174"/>
        <v>#N/A</v>
      </c>
      <c r="R284" s="1127" t="b">
        <f t="shared" si="185"/>
        <v>0</v>
      </c>
      <c r="S284" s="1127" t="e">
        <f t="shared" si="175"/>
        <v>#N/A</v>
      </c>
      <c r="T284" s="1127" t="b">
        <f t="shared" si="186"/>
        <v>0</v>
      </c>
      <c r="U284" s="1127" t="e">
        <f t="shared" si="176"/>
        <v>#N/A</v>
      </c>
      <c r="V284" s="1127" t="e">
        <f t="shared" si="187"/>
        <v>#N/A</v>
      </c>
      <c r="W284" s="1127" t="e">
        <f>IF(F284="Offiho",J284,IF(_xlfn.XLOOKUP(F284,Proveedores!A$2:A$50,Proveedores!E$2:E$50,"")="Nacional",(J284/0.5)+(V284*H284),((J284/0.3/0.5)+(V284*H284))))</f>
        <v>#N/A</v>
      </c>
      <c r="X284" s="1127" t="e">
        <f t="shared" si="177"/>
        <v>#N/A</v>
      </c>
      <c r="Y284" s="1126" t="b">
        <f t="shared" si="178"/>
        <v>0</v>
      </c>
      <c r="Z284" s="43">
        <v>0</v>
      </c>
      <c r="AA284" s="1219" t="e">
        <f t="shared" si="188"/>
        <v>#N/A</v>
      </c>
      <c r="AB284" s="1219" t="e">
        <f t="shared" si="189"/>
        <v>#N/A</v>
      </c>
      <c r="AC284" s="1219" t="e">
        <f t="shared" si="179"/>
        <v>#N/A</v>
      </c>
      <c r="AD284" s="1126" t="e">
        <f t="shared" si="190"/>
        <v>#N/A</v>
      </c>
      <c r="AE284" s="1217" t="e">
        <f t="shared" si="180"/>
        <v>#N/A</v>
      </c>
      <c r="AF284" s="1220" t="e">
        <f t="shared" si="181"/>
        <v>#N/A</v>
      </c>
      <c r="AG284" s="1176" t="e">
        <f t="shared" si="182"/>
        <v>#N/A</v>
      </c>
      <c r="AH284" s="1221" t="e">
        <f t="shared" si="191"/>
        <v>#N/A</v>
      </c>
    </row>
    <row r="285" spans="1:34" ht="15.5">
      <c r="A285" s="1216" t="b">
        <f t="shared" si="170"/>
        <v>1</v>
      </c>
      <c r="B285" s="1217" t="b">
        <f t="shared" si="183"/>
        <v>1</v>
      </c>
      <c r="C285" s="1218" t="str">
        <f t="shared" si="184"/>
        <v>Dólares</v>
      </c>
      <c r="D285" s="48"/>
      <c r="E285" s="836"/>
      <c r="F285" s="50"/>
      <c r="G285" s="50" t="str">
        <f t="shared" si="171"/>
        <v xml:space="preserve"> </v>
      </c>
      <c r="H285" s="45">
        <v>0</v>
      </c>
      <c r="I285" s="49" t="str">
        <f>IFERROR(VLOOKUP(G285,Proveedores!B:C,2,0)," ")</f>
        <v xml:space="preserve"> </v>
      </c>
      <c r="J285" s="838">
        <v>0</v>
      </c>
      <c r="K285" s="1124"/>
      <c r="L285" s="1266">
        <f t="shared" si="172"/>
        <v>0</v>
      </c>
      <c r="M285" s="1267">
        <f t="shared" si="173"/>
        <v>0</v>
      </c>
      <c r="N285" s="1268">
        <f t="shared" si="192"/>
        <v>0</v>
      </c>
      <c r="O285" s="836" t="str">
        <f>IFERROR(VLOOKUP(G285,Proveedores!B:D,3,0)," ")</f>
        <v xml:space="preserve"> </v>
      </c>
      <c r="P285" s="836"/>
      <c r="Q285" s="1127" t="e">
        <f t="shared" si="174"/>
        <v>#N/A</v>
      </c>
      <c r="R285" s="1127" t="b">
        <f t="shared" si="185"/>
        <v>0</v>
      </c>
      <c r="S285" s="1127" t="e">
        <f t="shared" si="175"/>
        <v>#N/A</v>
      </c>
      <c r="T285" s="1127" t="b">
        <f t="shared" si="186"/>
        <v>0</v>
      </c>
      <c r="U285" s="1127" t="e">
        <f t="shared" si="176"/>
        <v>#N/A</v>
      </c>
      <c r="V285" s="1127" t="e">
        <f t="shared" si="187"/>
        <v>#N/A</v>
      </c>
      <c r="W285" s="1127" t="e">
        <f>IF(F285="Offiho",J285,IF(_xlfn.XLOOKUP(F285,Proveedores!A$2:A$50,Proveedores!E$2:E$50,"")="Nacional",(J285/0.5)+(V285*H285),((J285/0.3/0.5)+(V285*H285))))</f>
        <v>#N/A</v>
      </c>
      <c r="X285" s="1127" t="e">
        <f t="shared" si="177"/>
        <v>#N/A</v>
      </c>
      <c r="Y285" s="1126" t="b">
        <f t="shared" si="178"/>
        <v>0</v>
      </c>
      <c r="Z285" s="43">
        <v>0</v>
      </c>
      <c r="AA285" s="1219" t="e">
        <f t="shared" si="188"/>
        <v>#N/A</v>
      </c>
      <c r="AB285" s="1219" t="e">
        <f t="shared" si="189"/>
        <v>#N/A</v>
      </c>
      <c r="AC285" s="1219" t="e">
        <f t="shared" si="179"/>
        <v>#N/A</v>
      </c>
      <c r="AD285" s="1126" t="e">
        <f t="shared" si="190"/>
        <v>#N/A</v>
      </c>
      <c r="AE285" s="1217" t="e">
        <f t="shared" si="180"/>
        <v>#N/A</v>
      </c>
      <c r="AF285" s="1220" t="e">
        <f t="shared" si="181"/>
        <v>#N/A</v>
      </c>
      <c r="AG285" s="1176" t="e">
        <f t="shared" si="182"/>
        <v>#N/A</v>
      </c>
      <c r="AH285" s="1221" t="e">
        <f t="shared" si="191"/>
        <v>#N/A</v>
      </c>
    </row>
    <row r="286" spans="1:34" ht="15.5">
      <c r="A286" s="1216" t="b">
        <f t="shared" si="170"/>
        <v>1</v>
      </c>
      <c r="B286" s="1217" t="b">
        <f t="shared" si="183"/>
        <v>1</v>
      </c>
      <c r="C286" s="1218" t="str">
        <f t="shared" si="184"/>
        <v>Dólares</v>
      </c>
      <c r="D286" s="47"/>
      <c r="E286" s="836"/>
      <c r="F286" s="50"/>
      <c r="G286" s="50" t="str">
        <f t="shared" si="171"/>
        <v xml:space="preserve"> </v>
      </c>
      <c r="H286" s="45">
        <v>0</v>
      </c>
      <c r="I286" s="49" t="str">
        <f>IFERROR(VLOOKUP(G286,Proveedores!B:C,2,0)," ")</f>
        <v xml:space="preserve"> </v>
      </c>
      <c r="J286" s="838">
        <v>0</v>
      </c>
      <c r="K286" s="1124"/>
      <c r="L286" s="1266">
        <f t="shared" si="172"/>
        <v>0</v>
      </c>
      <c r="M286" s="1267">
        <f t="shared" si="173"/>
        <v>0</v>
      </c>
      <c r="N286" s="1268">
        <f t="shared" si="192"/>
        <v>0</v>
      </c>
      <c r="O286" s="836" t="str">
        <f>IFERROR(VLOOKUP(G286,Proveedores!B:D,3,0)," ")</f>
        <v xml:space="preserve"> </v>
      </c>
      <c r="P286" s="836"/>
      <c r="Q286" s="1127" t="e">
        <f t="shared" si="174"/>
        <v>#N/A</v>
      </c>
      <c r="R286" s="1127" t="b">
        <f t="shared" si="185"/>
        <v>0</v>
      </c>
      <c r="S286" s="1127" t="e">
        <f t="shared" si="175"/>
        <v>#N/A</v>
      </c>
      <c r="T286" s="1127" t="b">
        <f t="shared" si="186"/>
        <v>0</v>
      </c>
      <c r="U286" s="1127" t="e">
        <f t="shared" si="176"/>
        <v>#N/A</v>
      </c>
      <c r="V286" s="1127" t="e">
        <f t="shared" si="187"/>
        <v>#N/A</v>
      </c>
      <c r="W286" s="1127" t="e">
        <f>IF(F286="Offiho",J286,IF(_xlfn.XLOOKUP(F286,Proveedores!A$2:A$50,Proveedores!E$2:E$50,"")="Nacional",(J286/0.5)+(V286*H286),((J286/0.3/0.5)+(V286*H286))))</f>
        <v>#N/A</v>
      </c>
      <c r="X286" s="1127" t="e">
        <f t="shared" si="177"/>
        <v>#N/A</v>
      </c>
      <c r="Y286" s="1126" t="b">
        <f t="shared" si="178"/>
        <v>0</v>
      </c>
      <c r="Z286" s="43">
        <v>0</v>
      </c>
      <c r="AA286" s="1219" t="e">
        <f t="shared" si="188"/>
        <v>#N/A</v>
      </c>
      <c r="AB286" s="1219" t="e">
        <f t="shared" si="189"/>
        <v>#N/A</v>
      </c>
      <c r="AC286" s="1219" t="e">
        <f t="shared" si="179"/>
        <v>#N/A</v>
      </c>
      <c r="AD286" s="1126" t="e">
        <f t="shared" si="190"/>
        <v>#N/A</v>
      </c>
      <c r="AE286" s="1217" t="e">
        <f t="shared" si="180"/>
        <v>#N/A</v>
      </c>
      <c r="AF286" s="1220" t="e">
        <f t="shared" si="181"/>
        <v>#N/A</v>
      </c>
      <c r="AG286" s="1176" t="e">
        <f t="shared" si="182"/>
        <v>#N/A</v>
      </c>
      <c r="AH286" s="1221" t="e">
        <f t="shared" si="191"/>
        <v>#N/A</v>
      </c>
    </row>
    <row r="287" spans="1:34" ht="15.5">
      <c r="A287" s="1216" t="b">
        <f t="shared" si="170"/>
        <v>1</v>
      </c>
      <c r="B287" s="1217" t="b">
        <f t="shared" si="183"/>
        <v>1</v>
      </c>
      <c r="C287" s="1218" t="str">
        <f t="shared" si="184"/>
        <v>Dólares</v>
      </c>
      <c r="D287" s="47"/>
      <c r="E287" s="836"/>
      <c r="F287" s="50"/>
      <c r="G287" s="50" t="str">
        <f t="shared" si="171"/>
        <v xml:space="preserve"> </v>
      </c>
      <c r="H287" s="45">
        <v>0</v>
      </c>
      <c r="I287" s="49" t="str">
        <f>IFERROR(VLOOKUP(G287,Proveedores!B:C,2,0)," ")</f>
        <v xml:space="preserve"> </v>
      </c>
      <c r="J287" s="838">
        <v>0</v>
      </c>
      <c r="K287" s="1124"/>
      <c r="L287" s="1266">
        <f t="shared" si="172"/>
        <v>0</v>
      </c>
      <c r="M287" s="1267">
        <f t="shared" si="173"/>
        <v>0</v>
      </c>
      <c r="N287" s="1268">
        <f t="shared" si="192"/>
        <v>0</v>
      </c>
      <c r="O287" s="836" t="str">
        <f>IFERROR(VLOOKUP(G287,Proveedores!B:D,3,0)," ")</f>
        <v xml:space="preserve"> </v>
      </c>
      <c r="P287" s="836"/>
      <c r="Q287" s="1127" t="e">
        <f t="shared" si="174"/>
        <v>#N/A</v>
      </c>
      <c r="R287" s="1127" t="b">
        <f t="shared" si="185"/>
        <v>0</v>
      </c>
      <c r="S287" s="1127" t="e">
        <f t="shared" si="175"/>
        <v>#N/A</v>
      </c>
      <c r="T287" s="1127" t="b">
        <f t="shared" si="186"/>
        <v>0</v>
      </c>
      <c r="U287" s="1127" t="e">
        <f t="shared" si="176"/>
        <v>#N/A</v>
      </c>
      <c r="V287" s="1127" t="e">
        <f t="shared" si="187"/>
        <v>#N/A</v>
      </c>
      <c r="W287" s="1127" t="e">
        <f>IF(F287="Offiho",J287,IF(_xlfn.XLOOKUP(F287,Proveedores!A$2:A$50,Proveedores!E$2:E$50,"")="Nacional",(J287/0.5)+(V287*H287),((J287/0.3/0.5)+(V287*H287))))</f>
        <v>#N/A</v>
      </c>
      <c r="X287" s="1127" t="e">
        <f t="shared" si="177"/>
        <v>#N/A</v>
      </c>
      <c r="Y287" s="1126" t="b">
        <f t="shared" si="178"/>
        <v>0</v>
      </c>
      <c r="Z287" s="43">
        <v>0</v>
      </c>
      <c r="AA287" s="1219" t="e">
        <f t="shared" si="188"/>
        <v>#N/A</v>
      </c>
      <c r="AB287" s="1219" t="e">
        <f t="shared" si="189"/>
        <v>#N/A</v>
      </c>
      <c r="AC287" s="1219" t="e">
        <f t="shared" si="179"/>
        <v>#N/A</v>
      </c>
      <c r="AD287" s="1126" t="e">
        <f t="shared" si="190"/>
        <v>#N/A</v>
      </c>
      <c r="AE287" s="1217" t="e">
        <f t="shared" si="180"/>
        <v>#N/A</v>
      </c>
      <c r="AF287" s="1220" t="e">
        <f t="shared" si="181"/>
        <v>#N/A</v>
      </c>
      <c r="AG287" s="1176" t="e">
        <f t="shared" si="182"/>
        <v>#N/A</v>
      </c>
      <c r="AH287" s="1221" t="e">
        <f t="shared" si="191"/>
        <v>#N/A</v>
      </c>
    </row>
    <row r="288" spans="1:34" ht="15.5">
      <c r="A288" s="1216" t="b">
        <f t="shared" si="170"/>
        <v>1</v>
      </c>
      <c r="B288" s="1217" t="b">
        <f t="shared" si="183"/>
        <v>1</v>
      </c>
      <c r="C288" s="1218" t="str">
        <f t="shared" si="184"/>
        <v>Dólares</v>
      </c>
      <c r="D288" s="47"/>
      <c r="E288" s="836"/>
      <c r="F288" s="50"/>
      <c r="G288" s="50" t="str">
        <f t="shared" si="171"/>
        <v xml:space="preserve"> </v>
      </c>
      <c r="H288" s="45">
        <v>0</v>
      </c>
      <c r="I288" s="49" t="str">
        <f>IFERROR(VLOOKUP(G288,Proveedores!B:C,2,0)," ")</f>
        <v xml:space="preserve"> </v>
      </c>
      <c r="J288" s="838">
        <v>0</v>
      </c>
      <c r="K288" s="1124"/>
      <c r="L288" s="1266">
        <f t="shared" si="172"/>
        <v>0</v>
      </c>
      <c r="M288" s="1267">
        <f t="shared" si="173"/>
        <v>0</v>
      </c>
      <c r="N288" s="1268">
        <f t="shared" si="192"/>
        <v>0</v>
      </c>
      <c r="O288" s="836" t="str">
        <f>IFERROR(VLOOKUP(G288,Proveedores!B:D,3,0)," ")</f>
        <v xml:space="preserve"> </v>
      </c>
      <c r="P288" s="836"/>
      <c r="Q288" s="1127" t="e">
        <f t="shared" si="174"/>
        <v>#N/A</v>
      </c>
      <c r="R288" s="1127" t="b">
        <f t="shared" si="185"/>
        <v>0</v>
      </c>
      <c r="S288" s="1127" t="e">
        <f t="shared" si="175"/>
        <v>#N/A</v>
      </c>
      <c r="T288" s="1127" t="b">
        <f t="shared" si="186"/>
        <v>0</v>
      </c>
      <c r="U288" s="1127" t="e">
        <f t="shared" si="176"/>
        <v>#N/A</v>
      </c>
      <c r="V288" s="1127" t="e">
        <f t="shared" si="187"/>
        <v>#N/A</v>
      </c>
      <c r="W288" s="1127" t="e">
        <f>IF(F288="Offiho",J288,IF(_xlfn.XLOOKUP(F288,Proveedores!A$2:A$50,Proveedores!E$2:E$50,"")="Nacional",(J288/0.5)+(V288*H288),((J288/0.3/0.5)+(V288*H288))))</f>
        <v>#N/A</v>
      </c>
      <c r="X288" s="1127" t="e">
        <f t="shared" si="177"/>
        <v>#N/A</v>
      </c>
      <c r="Y288" s="1126" t="b">
        <f t="shared" si="178"/>
        <v>0</v>
      </c>
      <c r="Z288" s="43">
        <v>0</v>
      </c>
      <c r="AA288" s="1219" t="e">
        <f t="shared" si="188"/>
        <v>#N/A</v>
      </c>
      <c r="AB288" s="1219" t="e">
        <f t="shared" si="189"/>
        <v>#N/A</v>
      </c>
      <c r="AC288" s="1219" t="e">
        <f t="shared" si="179"/>
        <v>#N/A</v>
      </c>
      <c r="AD288" s="1126" t="e">
        <f t="shared" si="190"/>
        <v>#N/A</v>
      </c>
      <c r="AE288" s="1217" t="e">
        <f t="shared" si="180"/>
        <v>#N/A</v>
      </c>
      <c r="AF288" s="1220" t="e">
        <f t="shared" si="181"/>
        <v>#N/A</v>
      </c>
      <c r="AG288" s="1176" t="e">
        <f t="shared" si="182"/>
        <v>#N/A</v>
      </c>
      <c r="AH288" s="1221" t="e">
        <f t="shared" si="191"/>
        <v>#N/A</v>
      </c>
    </row>
    <row r="289" spans="1:34" ht="15.5">
      <c r="A289" s="1216" t="b">
        <f t="shared" si="170"/>
        <v>1</v>
      </c>
      <c r="B289" s="1217" t="b">
        <f t="shared" si="183"/>
        <v>1</v>
      </c>
      <c r="C289" s="1218" t="str">
        <f t="shared" si="184"/>
        <v>Dólares</v>
      </c>
      <c r="D289" s="47"/>
      <c r="E289" s="836"/>
      <c r="F289" s="50"/>
      <c r="G289" s="50" t="str">
        <f t="shared" si="171"/>
        <v xml:space="preserve"> </v>
      </c>
      <c r="H289" s="45">
        <v>0</v>
      </c>
      <c r="I289" s="49" t="str">
        <f>IFERROR(VLOOKUP(G289,Proveedores!B:C,2,0)," ")</f>
        <v xml:space="preserve"> </v>
      </c>
      <c r="J289" s="838">
        <v>0</v>
      </c>
      <c r="K289" s="1124"/>
      <c r="L289" s="1266">
        <f t="shared" si="172"/>
        <v>0</v>
      </c>
      <c r="M289" s="1267">
        <f t="shared" si="173"/>
        <v>0</v>
      </c>
      <c r="N289" s="1268">
        <f t="shared" si="192"/>
        <v>0</v>
      </c>
      <c r="O289" s="836" t="str">
        <f>IFERROR(VLOOKUP(G289,Proveedores!B:D,3,0)," ")</f>
        <v xml:space="preserve"> </v>
      </c>
      <c r="P289" s="836"/>
      <c r="Q289" s="1127" t="e">
        <f t="shared" si="174"/>
        <v>#N/A</v>
      </c>
      <c r="R289" s="1127" t="b">
        <f t="shared" si="185"/>
        <v>0</v>
      </c>
      <c r="S289" s="1127" t="e">
        <f t="shared" si="175"/>
        <v>#N/A</v>
      </c>
      <c r="T289" s="1127" t="b">
        <f t="shared" si="186"/>
        <v>0</v>
      </c>
      <c r="U289" s="1127" t="e">
        <f t="shared" si="176"/>
        <v>#N/A</v>
      </c>
      <c r="V289" s="1127" t="e">
        <f t="shared" si="187"/>
        <v>#N/A</v>
      </c>
      <c r="W289" s="1127" t="e">
        <f>IF(F289="Offiho",J289,IF(_xlfn.XLOOKUP(F289,Proveedores!A$2:A$50,Proveedores!E$2:E$50,"")="Nacional",(J289/0.5)+(V289*H289),((J289/0.3/0.5)+(V289*H289))))</f>
        <v>#N/A</v>
      </c>
      <c r="X289" s="1127" t="e">
        <f t="shared" si="177"/>
        <v>#N/A</v>
      </c>
      <c r="Y289" s="1126" t="b">
        <f t="shared" si="178"/>
        <v>0</v>
      </c>
      <c r="Z289" s="43">
        <v>0</v>
      </c>
      <c r="AA289" s="1219" t="e">
        <f t="shared" si="188"/>
        <v>#N/A</v>
      </c>
      <c r="AB289" s="1219" t="e">
        <f t="shared" si="189"/>
        <v>#N/A</v>
      </c>
      <c r="AC289" s="1219" t="e">
        <f t="shared" si="179"/>
        <v>#N/A</v>
      </c>
      <c r="AD289" s="1126" t="e">
        <f t="shared" si="190"/>
        <v>#N/A</v>
      </c>
      <c r="AE289" s="1217" t="e">
        <f t="shared" si="180"/>
        <v>#N/A</v>
      </c>
      <c r="AF289" s="1220" t="e">
        <f t="shared" si="181"/>
        <v>#N/A</v>
      </c>
      <c r="AG289" s="1176" t="e">
        <f t="shared" si="182"/>
        <v>#N/A</v>
      </c>
      <c r="AH289" s="1221" t="e">
        <f t="shared" si="191"/>
        <v>#N/A</v>
      </c>
    </row>
    <row r="290" spans="1:34" ht="15.5">
      <c r="A290" s="1216" t="b">
        <f t="shared" si="170"/>
        <v>1</v>
      </c>
      <c r="B290" s="1217" t="b">
        <f t="shared" si="183"/>
        <v>1</v>
      </c>
      <c r="C290" s="1218" t="str">
        <f t="shared" si="184"/>
        <v>Dólares</v>
      </c>
      <c r="D290" s="47"/>
      <c r="E290" s="836"/>
      <c r="F290" s="50"/>
      <c r="G290" s="50" t="str">
        <f t="shared" si="171"/>
        <v xml:space="preserve"> </v>
      </c>
      <c r="H290" s="45">
        <v>0</v>
      </c>
      <c r="I290" s="49" t="str">
        <f>IFERROR(VLOOKUP(G290,Proveedores!B:C,2,0)," ")</f>
        <v xml:space="preserve"> </v>
      </c>
      <c r="J290" s="838">
        <v>0</v>
      </c>
      <c r="K290" s="1124"/>
      <c r="L290" s="1266">
        <f t="shared" si="172"/>
        <v>0</v>
      </c>
      <c r="M290" s="1267">
        <f t="shared" si="173"/>
        <v>0</v>
      </c>
      <c r="N290" s="1268">
        <f t="shared" si="192"/>
        <v>0</v>
      </c>
      <c r="O290" s="836" t="str">
        <f>IFERROR(VLOOKUP(G290,Proveedores!B:D,3,0)," ")</f>
        <v xml:space="preserve"> </v>
      </c>
      <c r="P290" s="836"/>
      <c r="Q290" s="1127" t="e">
        <f t="shared" si="174"/>
        <v>#N/A</v>
      </c>
      <c r="R290" s="1127" t="b">
        <f t="shared" si="185"/>
        <v>0</v>
      </c>
      <c r="S290" s="1127" t="e">
        <f t="shared" si="175"/>
        <v>#N/A</v>
      </c>
      <c r="T290" s="1127" t="b">
        <f t="shared" si="186"/>
        <v>0</v>
      </c>
      <c r="U290" s="1127" t="e">
        <f t="shared" si="176"/>
        <v>#N/A</v>
      </c>
      <c r="V290" s="1127" t="e">
        <f t="shared" si="187"/>
        <v>#N/A</v>
      </c>
      <c r="W290" s="1127" t="e">
        <f>IF(F290="Offiho",J290,IF(_xlfn.XLOOKUP(F290,Proveedores!A$2:A$50,Proveedores!E$2:E$50,"")="Nacional",(J290/0.5)+(V290*H290),((J290/0.3/0.5)+(V290*H290))))</f>
        <v>#N/A</v>
      </c>
      <c r="X290" s="1127" t="e">
        <f t="shared" si="177"/>
        <v>#N/A</v>
      </c>
      <c r="Y290" s="1126" t="b">
        <f t="shared" si="178"/>
        <v>0</v>
      </c>
      <c r="Z290" s="43">
        <v>0</v>
      </c>
      <c r="AA290" s="1219" t="e">
        <f t="shared" si="188"/>
        <v>#N/A</v>
      </c>
      <c r="AB290" s="1219" t="e">
        <f t="shared" si="189"/>
        <v>#N/A</v>
      </c>
      <c r="AC290" s="1219" t="e">
        <f t="shared" si="179"/>
        <v>#N/A</v>
      </c>
      <c r="AD290" s="1126" t="e">
        <f t="shared" si="190"/>
        <v>#N/A</v>
      </c>
      <c r="AE290" s="1217" t="e">
        <f t="shared" si="180"/>
        <v>#N/A</v>
      </c>
      <c r="AF290" s="1220" t="e">
        <f t="shared" si="181"/>
        <v>#N/A</v>
      </c>
      <c r="AG290" s="1176" t="e">
        <f t="shared" si="182"/>
        <v>#N/A</v>
      </c>
      <c r="AH290" s="1221" t="e">
        <f t="shared" si="191"/>
        <v>#N/A</v>
      </c>
    </row>
    <row r="291" spans="1:34" ht="15.5">
      <c r="A291" s="1216" t="b">
        <f t="shared" si="170"/>
        <v>1</v>
      </c>
      <c r="B291" s="1217" t="b">
        <f t="shared" si="183"/>
        <v>1</v>
      </c>
      <c r="C291" s="1218" t="str">
        <f t="shared" si="184"/>
        <v>Dólares</v>
      </c>
      <c r="D291" s="47"/>
      <c r="E291" s="836"/>
      <c r="F291" s="50"/>
      <c r="G291" s="50" t="str">
        <f t="shared" si="171"/>
        <v xml:space="preserve"> </v>
      </c>
      <c r="H291" s="45">
        <v>0</v>
      </c>
      <c r="I291" s="49" t="str">
        <f>IFERROR(VLOOKUP(G291,Proveedores!B:C,2,0)," ")</f>
        <v xml:space="preserve"> </v>
      </c>
      <c r="J291" s="838">
        <v>0</v>
      </c>
      <c r="K291" s="1124"/>
      <c r="L291" s="1266">
        <f t="shared" si="172"/>
        <v>0</v>
      </c>
      <c r="M291" s="1267">
        <f t="shared" si="173"/>
        <v>0</v>
      </c>
      <c r="N291" s="1268">
        <f t="shared" si="192"/>
        <v>0</v>
      </c>
      <c r="O291" s="836" t="str">
        <f>IFERROR(VLOOKUP(G291,Proveedores!B:D,3,0)," ")</f>
        <v xml:space="preserve"> </v>
      </c>
      <c r="P291" s="836"/>
      <c r="Q291" s="1127" t="e">
        <f t="shared" si="174"/>
        <v>#N/A</v>
      </c>
      <c r="R291" s="1127" t="b">
        <f t="shared" si="185"/>
        <v>0</v>
      </c>
      <c r="S291" s="1127" t="e">
        <f t="shared" si="175"/>
        <v>#N/A</v>
      </c>
      <c r="T291" s="1127" t="b">
        <f t="shared" si="186"/>
        <v>0</v>
      </c>
      <c r="U291" s="1127" t="e">
        <f t="shared" si="176"/>
        <v>#N/A</v>
      </c>
      <c r="V291" s="1127" t="e">
        <f t="shared" si="187"/>
        <v>#N/A</v>
      </c>
      <c r="W291" s="1127" t="e">
        <f>IF(F291="Offiho",J291,IF(_xlfn.XLOOKUP(F291,Proveedores!A$2:A$50,Proveedores!E$2:E$50,"")="Nacional",(J291/0.5)+(V291*H291),((J291/0.3/0.5)+(V291*H291))))</f>
        <v>#N/A</v>
      </c>
      <c r="X291" s="1127" t="e">
        <f t="shared" si="177"/>
        <v>#N/A</v>
      </c>
      <c r="Y291" s="1126" t="b">
        <f t="shared" si="178"/>
        <v>0</v>
      </c>
      <c r="Z291" s="43">
        <v>0</v>
      </c>
      <c r="AA291" s="1219" t="e">
        <f t="shared" si="188"/>
        <v>#N/A</v>
      </c>
      <c r="AB291" s="1219" t="e">
        <f t="shared" si="189"/>
        <v>#N/A</v>
      </c>
      <c r="AC291" s="1219" t="e">
        <f t="shared" si="179"/>
        <v>#N/A</v>
      </c>
      <c r="AD291" s="1126" t="str">
        <f t="shared" si="190"/>
        <v>NA</v>
      </c>
      <c r="AE291" s="1217" t="e">
        <f t="shared" si="180"/>
        <v>#N/A</v>
      </c>
      <c r="AF291" s="1220" t="e">
        <f t="shared" si="181"/>
        <v>#N/A</v>
      </c>
      <c r="AG291" s="1176" t="e">
        <f t="shared" si="182"/>
        <v>#N/A</v>
      </c>
      <c r="AH291" s="1221" t="e">
        <f t="shared" si="191"/>
        <v>#N/A</v>
      </c>
    </row>
    <row r="292" spans="1:34" ht="24" customHeight="1">
      <c r="A292" s="1422" t="s">
        <v>130</v>
      </c>
      <c r="B292" s="1422"/>
      <c r="C292" s="1422"/>
      <c r="D292" s="1422"/>
      <c r="E292" s="1422"/>
      <c r="F292" s="1422"/>
      <c r="G292" s="1228"/>
      <c r="H292" s="1229" cm="1">
        <f t="array" ref="H292">SUM(IFERROR(H259:H291,0))</f>
        <v>0</v>
      </c>
      <c r="I292" s="1228"/>
      <c r="J292" s="1230"/>
      <c r="K292" s="1231"/>
      <c r="L292" s="1229" cm="1">
        <f t="array" ref="L292">SUM(IFERROR(L259:L291,0))</f>
        <v>0</v>
      </c>
      <c r="M292" s="1235"/>
      <c r="N292" s="1232" cm="1">
        <f t="array" ref="N292">SUM(IFERROR(N259:N291,0))</f>
        <v>0</v>
      </c>
      <c r="O292" s="1233"/>
      <c r="P292" s="1233"/>
      <c r="Q292" s="1233"/>
      <c r="R292" s="1233"/>
      <c r="S292" s="1233"/>
      <c r="T292" s="1233"/>
      <c r="U292" s="1233"/>
      <c r="V292" s="1233"/>
      <c r="W292" s="1231"/>
      <c r="X292" s="1232" cm="1">
        <f t="array" ref="X292">SUM(IFERROR(X259:X291,0))</f>
        <v>0</v>
      </c>
      <c r="Y292" s="1233" t="s">
        <v>116</v>
      </c>
      <c r="Z292" s="1233"/>
      <c r="AA292" s="1233"/>
      <c r="AB292" s="1233"/>
      <c r="AC292" s="1232" cm="1">
        <f t="array" ref="AC292">SUM(IFERROR(AC259:AC291,0))</f>
        <v>0</v>
      </c>
      <c r="AD292" s="1232"/>
      <c r="AE292" s="1232"/>
      <c r="AF292" s="1232" cm="1">
        <f t="array" ref="AF292">SUM(IFERROR(AF259:AF291,0))</f>
        <v>0</v>
      </c>
      <c r="AG292" s="1177">
        <f>IFERROR(1-(N292/AC292),0)</f>
        <v>0</v>
      </c>
      <c r="AH292"/>
    </row>
    <row r="293" spans="1:34" ht="26" customHeight="1">
      <c r="A293" s="1419" t="s">
        <v>131</v>
      </c>
      <c r="B293" s="1419"/>
      <c r="C293" s="1419"/>
      <c r="D293" s="1419"/>
      <c r="E293" s="1419"/>
      <c r="F293" s="1419"/>
      <c r="G293" s="1419"/>
      <c r="H293" s="1419"/>
      <c r="I293" s="1419"/>
      <c r="J293" s="1420"/>
      <c r="K293" s="1214"/>
      <c r="L293" s="1214"/>
      <c r="M293" s="1236"/>
      <c r="N293" s="1214"/>
      <c r="O293" s="1213"/>
      <c r="P293" s="1213"/>
      <c r="Q293" s="1213"/>
      <c r="R293" s="1213"/>
      <c r="S293" s="1213"/>
      <c r="T293" s="1213"/>
      <c r="U293" s="1213"/>
      <c r="V293" s="1213"/>
      <c r="W293" s="1178"/>
      <c r="X293" s="1178"/>
      <c r="Y293" s="1178"/>
      <c r="Z293" s="1213"/>
      <c r="AA293" s="1213"/>
      <c r="AB293" s="1213"/>
      <c r="AC293" s="1213"/>
      <c r="AD293" s="1213"/>
      <c r="AE293" s="1213"/>
      <c r="AF293" s="1213"/>
      <c r="AG293" s="1215"/>
      <c r="AH293"/>
    </row>
    <row r="294" spans="1:34" ht="15.5">
      <c r="A294" s="1216" t="b">
        <f t="shared" ref="A294:A326" si="193">$A$13</f>
        <v>1</v>
      </c>
      <c r="B294" s="1217" t="b">
        <f>A294</f>
        <v>1</v>
      </c>
      <c r="C294" s="1218" t="str">
        <f>$C$13</f>
        <v>Dólares</v>
      </c>
      <c r="D294" s="44"/>
      <c r="E294" s="836"/>
      <c r="F294" s="50"/>
      <c r="G294" s="50" t="str">
        <f t="shared" ref="G294:G326" si="194">IFERROR(VLOOKUP(F294,Tabla_Proveedores_1,2,0)," ")</f>
        <v xml:space="preserve"> </v>
      </c>
      <c r="H294" s="45">
        <v>0</v>
      </c>
      <c r="I294" s="49" t="str">
        <f>IFERROR(VLOOKUP(G294,Proveedores!B:C,2,0)," ")</f>
        <v xml:space="preserve"> </v>
      </c>
      <c r="J294" s="838">
        <v>0</v>
      </c>
      <c r="K294" s="1124"/>
      <c r="L294" s="1266">
        <f t="shared" ref="L294:L326" si="195">K294*H294</f>
        <v>0</v>
      </c>
      <c r="M294" s="1267">
        <f t="shared" ref="M294:M326" si="196">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Brasil"),J294,IFERROR(IF(K853&lt;=$AO$578,J294*2.14,IF(K853&lt;=$AN$579,J294*1.8,IF(K853&gt;$AN$580,J294*1.5))),J294))*1.1)</f>
        <v>0</v>
      </c>
      <c r="N294" s="1268">
        <f>M294*H294</f>
        <v>0</v>
      </c>
      <c r="O294" s="836" t="str">
        <f>IFERROR(VLOOKUP(G294,Proveedores!B:D,3,0)," ")</f>
        <v xml:space="preserve"> </v>
      </c>
      <c r="P294" s="836"/>
      <c r="Q294" s="1127" t="e">
        <f t="shared" ref="Q294:Q326" si="197">VLOOKUP(E294,Tabla_Fletes,3,FALSE)</f>
        <v>#N/A</v>
      </c>
      <c r="R294" s="1127" t="b">
        <f>IF(P294="Centro",Q294,IF(P294="Norte",Q294*1.6,IF(P294="Occidente",Q294*1.2,IF(P294="Sur",Q294*2))))</f>
        <v>0</v>
      </c>
      <c r="S294" s="1127" t="e">
        <f t="shared" ref="S294:S326" si="198">VLOOKUP(E294,Tabla_Instalacion,2,FALSE)</f>
        <v>#N/A</v>
      </c>
      <c r="T294" s="1127" t="b">
        <f>IF(P294="Centro",S294,IF(P294="Norte",S294*1.1,IF(P294="Occidente",S294*1.1,IF(P294="Sur",S294*1.1))))</f>
        <v>0</v>
      </c>
      <c r="U294" s="1127" t="e">
        <f t="shared" ref="U294:U326" si="199">IF(F294="Offiho",0,Q294+S294)</f>
        <v>#N/A</v>
      </c>
      <c r="V294" s="1127" t="e">
        <f>IF(K294=0,U294/$H$573,U294*(K294/L294))*H294</f>
        <v>#N/A</v>
      </c>
      <c r="W294" s="1127" t="e">
        <f>IF(F294="Offiho",J294,IF(_xlfn.XLOOKUP(F294,Proveedores!A$2:A$50,Proveedores!E$2:E$50,"")="Nacional",(J294/0.5)+(V294*H294),((J294/0.3/0.5)+(V294*H294))))</f>
        <v>#N/A</v>
      </c>
      <c r="X294" s="1127" t="e">
        <f t="shared" ref="X294:X326" si="200">W294*H294</f>
        <v>#N/A</v>
      </c>
      <c r="Y294" s="1126" t="b">
        <f t="shared" ref="Y294:Y326" si="201">IF(F294="Sunon Inc",$AJ$577,IF(F294="Alma - Exterior",$AJ$578,IF(F294="Yabo - Hotelería",$AJ$579,IF(F294="OSJ - Medical",$AJ$580,IF(F294="Seezo - Home",$AJ$581,IF(F294="A&amp;D - Home",$AJ$582,IF(F294="Encore Alfombras Hoteleria Asia",$AJ$583,IF(F294="Zhong Xian - Leds",$AJ$584,IF(F294="Tarkett Europa",$AJ$585,IF(F294="2tec2",$AJ$586,IF(F294="Balsan Europa",$AJ$587,IF(F294="Armstrong Pisos USA",$AJ$588,IF(F294="Tarkett USA",$AJ$589,IF(F294="Tarkett Brasil",$AJ$590,IF(F294="Tarkett MX",$AJ$591,IF(F294="Jome",$AJ$592,IF(F294="Offiho",$AJ$593,IF(F294="Lumbro",$AJ$594,IF(F294="Sunon Mty",$AJ$595,IF(F294="Conceptos Sofas",$AJ$596,IF(F294="Lauco Sofas",$AJ$597,IF(F294="CR Global - Mesas Ajustables",$AJ$598,IF(F294="Vandesk",$AJ$599,IF(F294="Mamparas Tela",$AJ$600,IF(F294="Mampara Cristales",$AJ$601,IF(F294="Herrajes",$AJ$602,IF(F294="MetalWork",$AJ$603,IF(F294="Requiez",$AJ$604,IF(F294="Labenze",$AJ$605,IF(F294="Infinity",$AJ$606,IF(F294="Proveedor Externo",$AJ$607)))))))))))))))))))))))))))))))</f>
        <v>0</v>
      </c>
      <c r="Z294" s="43">
        <v>0</v>
      </c>
      <c r="AA294" s="1219" t="e">
        <f>W294*Z294</f>
        <v>#N/A</v>
      </c>
      <c r="AB294" s="1219" t="e">
        <f>IF(Z294&gt;Y294,"ERROR",(W294-AA294))</f>
        <v>#N/A</v>
      </c>
      <c r="AC294" s="1219" t="e">
        <f t="shared" ref="AC294:AC326" si="202">AB294*H294</f>
        <v>#N/A</v>
      </c>
      <c r="AD294" s="1126" t="e">
        <f>IF(A295=TRUE,MAX(0,1-(AE294/W294)),"NA")</f>
        <v>#N/A</v>
      </c>
      <c r="AE294" s="1217" t="e">
        <f t="shared" ref="AE294:AE326" si="203">IF(A293=FALSE,"NO APLICA",AB294*1.2)</f>
        <v>#N/A</v>
      </c>
      <c r="AF294" s="1220" t="e">
        <f t="shared" ref="AF294:AF326" si="204">AE294*H294</f>
        <v>#N/A</v>
      </c>
      <c r="AG294" s="1176" t="e">
        <f t="shared" ref="AG294:AG326" si="205">(AC294-N294)/AC294</f>
        <v>#N/A</v>
      </c>
      <c r="AH294" s="1221" t="e">
        <f>IF(AG294&lt;30%,"ERROR","OK")</f>
        <v>#N/A</v>
      </c>
    </row>
    <row r="295" spans="1:34" ht="15.5">
      <c r="A295" s="1216" t="b">
        <f t="shared" si="193"/>
        <v>1</v>
      </c>
      <c r="B295" s="1217" t="b">
        <f t="shared" ref="B295:B326" si="206">A295</f>
        <v>1</v>
      </c>
      <c r="C295" s="1218" t="str">
        <f t="shared" ref="C295:C326" si="207">$C$13</f>
        <v>Dólares</v>
      </c>
      <c r="D295" s="46"/>
      <c r="E295" s="836"/>
      <c r="F295" s="50"/>
      <c r="G295" s="50" t="str">
        <f t="shared" si="194"/>
        <v xml:space="preserve"> </v>
      </c>
      <c r="H295" s="45">
        <v>0</v>
      </c>
      <c r="I295" s="49" t="str">
        <f>IFERROR(VLOOKUP(G295,Proveedores!B:C,2,0)," ")</f>
        <v xml:space="preserve"> </v>
      </c>
      <c r="J295" s="838">
        <v>0</v>
      </c>
      <c r="K295" s="1124"/>
      <c r="L295" s="1266">
        <f t="shared" si="195"/>
        <v>0</v>
      </c>
      <c r="M295" s="1267">
        <f t="shared" si="196"/>
        <v>0</v>
      </c>
      <c r="N295" s="1268">
        <f>M295*H295</f>
        <v>0</v>
      </c>
      <c r="O295" s="836" t="str">
        <f>IFERROR(VLOOKUP(G295,Proveedores!B:D,3,0)," ")</f>
        <v xml:space="preserve"> </v>
      </c>
      <c r="P295" s="836"/>
      <c r="Q295" s="1127" t="e">
        <f t="shared" si="197"/>
        <v>#N/A</v>
      </c>
      <c r="R295" s="1127" t="b">
        <f t="shared" ref="R295:R326" si="208">IF(P295="Centro",Q295,IF(P295="Norte",Q295*1.6,IF(P295="Occidente",Q295*1.2,IF(P295="Sur",Q295*2))))</f>
        <v>0</v>
      </c>
      <c r="S295" s="1127" t="e">
        <f t="shared" si="198"/>
        <v>#N/A</v>
      </c>
      <c r="T295" s="1127" t="b">
        <f t="shared" ref="T295:T326" si="209">IF(P295="Centro",S295,IF(P295="Norte",S295*1.1,IF(P295="Occidente",S295*1.1,IF(P295="Sur",S295*1.1))))</f>
        <v>0</v>
      </c>
      <c r="U295" s="1127" t="e">
        <f t="shared" si="199"/>
        <v>#N/A</v>
      </c>
      <c r="V295" s="1127" t="e">
        <f t="shared" ref="V295:V326" si="210">IF(K295=0,U295/$H$573,U295*(K295/L295))*H295</f>
        <v>#N/A</v>
      </c>
      <c r="W295" s="1127" t="e">
        <f>IF(F295="Offiho",J295,IF(_xlfn.XLOOKUP(F295,Proveedores!A$2:A$50,Proveedores!E$2:E$50,"")="Nacional",(J295/0.5)+(V295*H295),((J295/0.3/0.5)+(V295*H295))))</f>
        <v>#N/A</v>
      </c>
      <c r="X295" s="1127" t="e">
        <f t="shared" si="200"/>
        <v>#N/A</v>
      </c>
      <c r="Y295" s="1126" t="b">
        <f t="shared" si="201"/>
        <v>0</v>
      </c>
      <c r="Z295" s="43">
        <v>0</v>
      </c>
      <c r="AA295" s="1219" t="e">
        <f t="shared" ref="AA295:AA326" si="211">W295*Z295</f>
        <v>#N/A</v>
      </c>
      <c r="AB295" s="1219" t="e">
        <f t="shared" ref="AB295:AB326" si="212">IF(Z295&gt;Y295,"ERROR",(W295-AA295))</f>
        <v>#N/A</v>
      </c>
      <c r="AC295" s="1219" t="e">
        <f t="shared" si="202"/>
        <v>#N/A</v>
      </c>
      <c r="AD295" s="1126" t="e">
        <f t="shared" ref="AD295:AD326" si="213">IF(A296=TRUE,MAX(0,1-(AE295/W295)),"NA")</f>
        <v>#N/A</v>
      </c>
      <c r="AE295" s="1217" t="e">
        <f t="shared" si="203"/>
        <v>#N/A</v>
      </c>
      <c r="AF295" s="1220" t="e">
        <f t="shared" si="204"/>
        <v>#N/A</v>
      </c>
      <c r="AG295" s="1176" t="e">
        <f t="shared" si="205"/>
        <v>#N/A</v>
      </c>
      <c r="AH295" s="1221" t="e">
        <f t="shared" ref="AH295:AH326" si="214">IF(AG295&lt;30%,"ERROR","OK")</f>
        <v>#N/A</v>
      </c>
    </row>
    <row r="296" spans="1:34" ht="15.5">
      <c r="A296" s="1216" t="b">
        <f t="shared" si="193"/>
        <v>1</v>
      </c>
      <c r="B296" s="1217" t="b">
        <f t="shared" si="206"/>
        <v>1</v>
      </c>
      <c r="C296" s="1218" t="str">
        <f t="shared" si="207"/>
        <v>Dólares</v>
      </c>
      <c r="D296" s="46"/>
      <c r="E296" s="836"/>
      <c r="F296" s="50"/>
      <c r="G296" s="50" t="str">
        <f t="shared" si="194"/>
        <v xml:space="preserve"> </v>
      </c>
      <c r="H296" s="45">
        <v>0</v>
      </c>
      <c r="I296" s="49" t="str">
        <f>IFERROR(VLOOKUP(G296,Proveedores!B:C,2,0)," ")</f>
        <v xml:space="preserve"> </v>
      </c>
      <c r="J296" s="838">
        <v>0</v>
      </c>
      <c r="K296" s="1124"/>
      <c r="L296" s="1266">
        <f t="shared" si="195"/>
        <v>0</v>
      </c>
      <c r="M296" s="1267">
        <f t="shared" si="196"/>
        <v>0</v>
      </c>
      <c r="N296" s="1268">
        <f>(M296*H296)</f>
        <v>0</v>
      </c>
      <c r="O296" s="836" t="str">
        <f>IFERROR(VLOOKUP(G296,Proveedores!B:D,3,0)," ")</f>
        <v xml:space="preserve"> </v>
      </c>
      <c r="P296" s="836"/>
      <c r="Q296" s="1127" t="e">
        <f t="shared" si="197"/>
        <v>#N/A</v>
      </c>
      <c r="R296" s="1127" t="b">
        <f t="shared" si="208"/>
        <v>0</v>
      </c>
      <c r="S296" s="1127" t="e">
        <f t="shared" si="198"/>
        <v>#N/A</v>
      </c>
      <c r="T296" s="1127" t="b">
        <f t="shared" si="209"/>
        <v>0</v>
      </c>
      <c r="U296" s="1127" t="e">
        <f t="shared" si="199"/>
        <v>#N/A</v>
      </c>
      <c r="V296" s="1127" t="e">
        <f t="shared" si="210"/>
        <v>#N/A</v>
      </c>
      <c r="W296" s="1127" t="e">
        <f>IF(F296="Offiho",J296,IF(_xlfn.XLOOKUP(F296,Proveedores!A$2:A$50,Proveedores!E$2:E$50,"")="Nacional",(J296/0.5)+(V296*H296),((J296/0.3/0.5)+(V296*H296))))</f>
        <v>#N/A</v>
      </c>
      <c r="X296" s="1127" t="e">
        <f t="shared" si="200"/>
        <v>#N/A</v>
      </c>
      <c r="Y296" s="1126" t="b">
        <f t="shared" si="201"/>
        <v>0</v>
      </c>
      <c r="Z296" s="43">
        <v>0</v>
      </c>
      <c r="AA296" s="1219" t="e">
        <f t="shared" si="211"/>
        <v>#N/A</v>
      </c>
      <c r="AB296" s="1219" t="e">
        <f t="shared" si="212"/>
        <v>#N/A</v>
      </c>
      <c r="AC296" s="1219" t="e">
        <f t="shared" si="202"/>
        <v>#N/A</v>
      </c>
      <c r="AD296" s="1126" t="e">
        <f t="shared" si="213"/>
        <v>#N/A</v>
      </c>
      <c r="AE296" s="1217" t="e">
        <f t="shared" si="203"/>
        <v>#N/A</v>
      </c>
      <c r="AF296" s="1220" t="e">
        <f t="shared" si="204"/>
        <v>#N/A</v>
      </c>
      <c r="AG296" s="1176" t="e">
        <f t="shared" si="205"/>
        <v>#N/A</v>
      </c>
      <c r="AH296" s="1221" t="e">
        <f t="shared" si="214"/>
        <v>#N/A</v>
      </c>
    </row>
    <row r="297" spans="1:34" ht="15.5">
      <c r="A297" s="1216" t="b">
        <f t="shared" si="193"/>
        <v>1</v>
      </c>
      <c r="B297" s="1217" t="b">
        <f t="shared" si="206"/>
        <v>1</v>
      </c>
      <c r="C297" s="1218" t="str">
        <f t="shared" si="207"/>
        <v>Dólares</v>
      </c>
      <c r="D297" s="46"/>
      <c r="E297" s="836"/>
      <c r="F297" s="50"/>
      <c r="G297" s="50" t="str">
        <f t="shared" si="194"/>
        <v xml:space="preserve"> </v>
      </c>
      <c r="H297" s="45">
        <v>0</v>
      </c>
      <c r="I297" s="49" t="str">
        <f>IFERROR(VLOOKUP(G297,Proveedores!B:C,2,0)," ")</f>
        <v xml:space="preserve"> </v>
      </c>
      <c r="J297" s="838">
        <v>0</v>
      </c>
      <c r="K297" s="1124"/>
      <c r="L297" s="1266">
        <f t="shared" si="195"/>
        <v>0</v>
      </c>
      <c r="M297" s="1267">
        <f t="shared" si="196"/>
        <v>0</v>
      </c>
      <c r="N297" s="1268">
        <f t="shared" ref="N297:N326" si="215">M297*H297</f>
        <v>0</v>
      </c>
      <c r="O297" s="836" t="str">
        <f>IFERROR(VLOOKUP(G297,Proveedores!B:D,3,0)," ")</f>
        <v xml:space="preserve"> </v>
      </c>
      <c r="P297" s="836"/>
      <c r="Q297" s="1127" t="e">
        <f t="shared" si="197"/>
        <v>#N/A</v>
      </c>
      <c r="R297" s="1127" t="b">
        <f t="shared" si="208"/>
        <v>0</v>
      </c>
      <c r="S297" s="1127" t="e">
        <f t="shared" si="198"/>
        <v>#N/A</v>
      </c>
      <c r="T297" s="1127" t="b">
        <f t="shared" si="209"/>
        <v>0</v>
      </c>
      <c r="U297" s="1127" t="e">
        <f t="shared" si="199"/>
        <v>#N/A</v>
      </c>
      <c r="V297" s="1127" t="e">
        <f t="shared" si="210"/>
        <v>#N/A</v>
      </c>
      <c r="W297" s="1127" t="e">
        <f>IF(F297="Offiho",J297,IF(_xlfn.XLOOKUP(F297,Proveedores!A$2:A$50,Proveedores!E$2:E$50,"")="Nacional",(J297/0.5)+(V297*H297),((J297/0.3/0.5)+(V297*H297))))</f>
        <v>#N/A</v>
      </c>
      <c r="X297" s="1127" t="e">
        <f t="shared" si="200"/>
        <v>#N/A</v>
      </c>
      <c r="Y297" s="1126" t="b">
        <f t="shared" si="201"/>
        <v>0</v>
      </c>
      <c r="Z297" s="43">
        <v>0</v>
      </c>
      <c r="AA297" s="1219" t="e">
        <f t="shared" si="211"/>
        <v>#N/A</v>
      </c>
      <c r="AB297" s="1219" t="e">
        <f t="shared" si="212"/>
        <v>#N/A</v>
      </c>
      <c r="AC297" s="1219" t="e">
        <f t="shared" si="202"/>
        <v>#N/A</v>
      </c>
      <c r="AD297" s="1126" t="e">
        <f t="shared" si="213"/>
        <v>#N/A</v>
      </c>
      <c r="AE297" s="1217" t="e">
        <f t="shared" si="203"/>
        <v>#N/A</v>
      </c>
      <c r="AF297" s="1220" t="e">
        <f t="shared" si="204"/>
        <v>#N/A</v>
      </c>
      <c r="AG297" s="1176" t="e">
        <f t="shared" si="205"/>
        <v>#N/A</v>
      </c>
      <c r="AH297" s="1221" t="e">
        <f t="shared" si="214"/>
        <v>#N/A</v>
      </c>
    </row>
    <row r="298" spans="1:34" ht="15.5">
      <c r="A298" s="1216" t="b">
        <f t="shared" si="193"/>
        <v>1</v>
      </c>
      <c r="B298" s="1217" t="b">
        <f t="shared" si="206"/>
        <v>1</v>
      </c>
      <c r="C298" s="1218" t="str">
        <f t="shared" si="207"/>
        <v>Dólares</v>
      </c>
      <c r="D298" s="46"/>
      <c r="E298" s="836"/>
      <c r="F298" s="50"/>
      <c r="G298" s="50" t="str">
        <f t="shared" si="194"/>
        <v xml:space="preserve"> </v>
      </c>
      <c r="H298" s="45">
        <v>0</v>
      </c>
      <c r="I298" s="49" t="str">
        <f>IFERROR(VLOOKUP(G298,Proveedores!B:C,2,0)," ")</f>
        <v xml:space="preserve"> </v>
      </c>
      <c r="J298" s="838">
        <v>0</v>
      </c>
      <c r="K298" s="1124"/>
      <c r="L298" s="1266">
        <f t="shared" si="195"/>
        <v>0</v>
      </c>
      <c r="M298" s="1267">
        <f t="shared" si="196"/>
        <v>0</v>
      </c>
      <c r="N298" s="1268">
        <f t="shared" si="215"/>
        <v>0</v>
      </c>
      <c r="O298" s="836" t="str">
        <f>IFERROR(VLOOKUP(G298,Proveedores!B:D,3,0)," ")</f>
        <v xml:space="preserve"> </v>
      </c>
      <c r="P298" s="836"/>
      <c r="Q298" s="1127" t="e">
        <f t="shared" si="197"/>
        <v>#N/A</v>
      </c>
      <c r="R298" s="1127" t="b">
        <f t="shared" si="208"/>
        <v>0</v>
      </c>
      <c r="S298" s="1127" t="e">
        <f t="shared" si="198"/>
        <v>#N/A</v>
      </c>
      <c r="T298" s="1127" t="b">
        <f t="shared" si="209"/>
        <v>0</v>
      </c>
      <c r="U298" s="1127" t="e">
        <f t="shared" si="199"/>
        <v>#N/A</v>
      </c>
      <c r="V298" s="1127" t="e">
        <f t="shared" si="210"/>
        <v>#N/A</v>
      </c>
      <c r="W298" s="1127" t="e">
        <f>IF(F298="Offiho",J298,IF(_xlfn.XLOOKUP(F298,Proveedores!A$2:A$50,Proveedores!E$2:E$50,"")="Nacional",(J298/0.5)+(V298*H298),((J298/0.3/0.5)+(V298*H298))))</f>
        <v>#N/A</v>
      </c>
      <c r="X298" s="1127" t="e">
        <f t="shared" si="200"/>
        <v>#N/A</v>
      </c>
      <c r="Y298" s="1126" t="b">
        <f t="shared" si="201"/>
        <v>0</v>
      </c>
      <c r="Z298" s="43">
        <v>0</v>
      </c>
      <c r="AA298" s="1219" t="e">
        <f t="shared" si="211"/>
        <v>#N/A</v>
      </c>
      <c r="AB298" s="1219" t="e">
        <f t="shared" si="212"/>
        <v>#N/A</v>
      </c>
      <c r="AC298" s="1219" t="e">
        <f t="shared" si="202"/>
        <v>#N/A</v>
      </c>
      <c r="AD298" s="1126" t="e">
        <f t="shared" si="213"/>
        <v>#N/A</v>
      </c>
      <c r="AE298" s="1217" t="e">
        <f t="shared" si="203"/>
        <v>#N/A</v>
      </c>
      <c r="AF298" s="1220" t="e">
        <f t="shared" si="204"/>
        <v>#N/A</v>
      </c>
      <c r="AG298" s="1176" t="e">
        <f t="shared" si="205"/>
        <v>#N/A</v>
      </c>
      <c r="AH298" s="1221" t="e">
        <f t="shared" si="214"/>
        <v>#N/A</v>
      </c>
    </row>
    <row r="299" spans="1:34" ht="15.5">
      <c r="A299" s="1216" t="b">
        <f t="shared" si="193"/>
        <v>1</v>
      </c>
      <c r="B299" s="1217" t="b">
        <f t="shared" si="206"/>
        <v>1</v>
      </c>
      <c r="C299" s="1218" t="str">
        <f t="shared" si="207"/>
        <v>Dólares</v>
      </c>
      <c r="D299" s="46"/>
      <c r="E299" s="836"/>
      <c r="F299" s="50"/>
      <c r="G299" s="50" t="str">
        <f t="shared" si="194"/>
        <v xml:space="preserve"> </v>
      </c>
      <c r="H299" s="45">
        <v>0</v>
      </c>
      <c r="I299" s="49" t="str">
        <f>IFERROR(VLOOKUP(G299,Proveedores!B:C,2,0)," ")</f>
        <v xml:space="preserve"> </v>
      </c>
      <c r="J299" s="838">
        <v>0</v>
      </c>
      <c r="K299" s="1124"/>
      <c r="L299" s="1266">
        <f t="shared" si="195"/>
        <v>0</v>
      </c>
      <c r="M299" s="1267">
        <f t="shared" si="196"/>
        <v>0</v>
      </c>
      <c r="N299" s="1268">
        <f t="shared" si="215"/>
        <v>0</v>
      </c>
      <c r="O299" s="836" t="str">
        <f>IFERROR(VLOOKUP(G299,Proveedores!B:D,3,0)," ")</f>
        <v xml:space="preserve"> </v>
      </c>
      <c r="P299" s="836"/>
      <c r="Q299" s="1127" t="e">
        <f t="shared" si="197"/>
        <v>#N/A</v>
      </c>
      <c r="R299" s="1127" t="b">
        <f t="shared" si="208"/>
        <v>0</v>
      </c>
      <c r="S299" s="1127" t="e">
        <f t="shared" si="198"/>
        <v>#N/A</v>
      </c>
      <c r="T299" s="1127" t="b">
        <f t="shared" si="209"/>
        <v>0</v>
      </c>
      <c r="U299" s="1127" t="e">
        <f t="shared" si="199"/>
        <v>#N/A</v>
      </c>
      <c r="V299" s="1127" t="e">
        <f t="shared" si="210"/>
        <v>#N/A</v>
      </c>
      <c r="W299" s="1127" t="e">
        <f>IF(F299="Offiho",J299,IF(_xlfn.XLOOKUP(F299,Proveedores!A$2:A$50,Proveedores!E$2:E$50,"")="Nacional",(J299/0.5)+(V299*H299),((J299/0.3/0.5)+(V299*H299))))</f>
        <v>#N/A</v>
      </c>
      <c r="X299" s="1127" t="e">
        <f t="shared" si="200"/>
        <v>#N/A</v>
      </c>
      <c r="Y299" s="1126" t="b">
        <f t="shared" si="201"/>
        <v>0</v>
      </c>
      <c r="Z299" s="43">
        <v>0</v>
      </c>
      <c r="AA299" s="1219" t="e">
        <f t="shared" si="211"/>
        <v>#N/A</v>
      </c>
      <c r="AB299" s="1219" t="e">
        <f t="shared" si="212"/>
        <v>#N/A</v>
      </c>
      <c r="AC299" s="1219" t="e">
        <f t="shared" si="202"/>
        <v>#N/A</v>
      </c>
      <c r="AD299" s="1126" t="e">
        <f t="shared" si="213"/>
        <v>#N/A</v>
      </c>
      <c r="AE299" s="1217" t="e">
        <f t="shared" si="203"/>
        <v>#N/A</v>
      </c>
      <c r="AF299" s="1220" t="e">
        <f t="shared" si="204"/>
        <v>#N/A</v>
      </c>
      <c r="AG299" s="1176" t="e">
        <f t="shared" si="205"/>
        <v>#N/A</v>
      </c>
      <c r="AH299" s="1221" t="e">
        <f t="shared" si="214"/>
        <v>#N/A</v>
      </c>
    </row>
    <row r="300" spans="1:34" ht="15.5">
      <c r="A300" s="1216" t="b">
        <f t="shared" si="193"/>
        <v>1</v>
      </c>
      <c r="B300" s="1217" t="b">
        <f t="shared" si="206"/>
        <v>1</v>
      </c>
      <c r="C300" s="1218" t="str">
        <f t="shared" si="207"/>
        <v>Dólares</v>
      </c>
      <c r="D300" s="44"/>
      <c r="E300" s="836"/>
      <c r="F300" s="50"/>
      <c r="G300" s="50" t="str">
        <f t="shared" si="194"/>
        <v xml:space="preserve"> </v>
      </c>
      <c r="H300" s="45">
        <v>0</v>
      </c>
      <c r="I300" s="49" t="str">
        <f>IFERROR(VLOOKUP(G300,Proveedores!B:C,2,0)," ")</f>
        <v xml:space="preserve"> </v>
      </c>
      <c r="J300" s="838">
        <v>0</v>
      </c>
      <c r="K300" s="1124"/>
      <c r="L300" s="1266">
        <f t="shared" si="195"/>
        <v>0</v>
      </c>
      <c r="M300" s="1267">
        <f t="shared" si="196"/>
        <v>0</v>
      </c>
      <c r="N300" s="1268">
        <f t="shared" si="215"/>
        <v>0</v>
      </c>
      <c r="O300" s="836" t="str">
        <f>IFERROR(VLOOKUP(G300,Proveedores!B:D,3,0)," ")</f>
        <v xml:space="preserve"> </v>
      </c>
      <c r="P300" s="836"/>
      <c r="Q300" s="1127" t="e">
        <f t="shared" si="197"/>
        <v>#N/A</v>
      </c>
      <c r="R300" s="1127" t="b">
        <f t="shared" si="208"/>
        <v>0</v>
      </c>
      <c r="S300" s="1127" t="e">
        <f t="shared" si="198"/>
        <v>#N/A</v>
      </c>
      <c r="T300" s="1127" t="b">
        <f t="shared" si="209"/>
        <v>0</v>
      </c>
      <c r="U300" s="1127" t="e">
        <f t="shared" si="199"/>
        <v>#N/A</v>
      </c>
      <c r="V300" s="1127" t="e">
        <f t="shared" si="210"/>
        <v>#N/A</v>
      </c>
      <c r="W300" s="1127" t="e">
        <f>IF(F300="Offiho",J300,IF(_xlfn.XLOOKUP(F300,Proveedores!A$2:A$50,Proveedores!E$2:E$50,"")="Nacional",(J300/0.5)+(V300*H300),((J300/0.3/0.5)+(V300*H300))))</f>
        <v>#N/A</v>
      </c>
      <c r="X300" s="1127" t="e">
        <f t="shared" si="200"/>
        <v>#N/A</v>
      </c>
      <c r="Y300" s="1126" t="b">
        <f t="shared" si="201"/>
        <v>0</v>
      </c>
      <c r="Z300" s="43">
        <v>0</v>
      </c>
      <c r="AA300" s="1219" t="e">
        <f t="shared" si="211"/>
        <v>#N/A</v>
      </c>
      <c r="AB300" s="1219" t="e">
        <f t="shared" si="212"/>
        <v>#N/A</v>
      </c>
      <c r="AC300" s="1219" t="e">
        <f t="shared" si="202"/>
        <v>#N/A</v>
      </c>
      <c r="AD300" s="1126" t="e">
        <f t="shared" si="213"/>
        <v>#N/A</v>
      </c>
      <c r="AE300" s="1217" t="e">
        <f t="shared" si="203"/>
        <v>#N/A</v>
      </c>
      <c r="AF300" s="1220" t="e">
        <f t="shared" si="204"/>
        <v>#N/A</v>
      </c>
      <c r="AG300" s="1176" t="e">
        <f t="shared" si="205"/>
        <v>#N/A</v>
      </c>
      <c r="AH300" s="1221" t="e">
        <f t="shared" si="214"/>
        <v>#N/A</v>
      </c>
    </row>
    <row r="301" spans="1:34" ht="15.5">
      <c r="A301" s="1216" t="b">
        <f t="shared" si="193"/>
        <v>1</v>
      </c>
      <c r="B301" s="1217" t="b">
        <f t="shared" si="206"/>
        <v>1</v>
      </c>
      <c r="C301" s="1218" t="str">
        <f t="shared" si="207"/>
        <v>Dólares</v>
      </c>
      <c r="D301" s="44"/>
      <c r="E301" s="836"/>
      <c r="F301" s="50"/>
      <c r="G301" s="50" t="str">
        <f t="shared" si="194"/>
        <v xml:space="preserve"> </v>
      </c>
      <c r="H301" s="45">
        <v>0</v>
      </c>
      <c r="I301" s="49" t="str">
        <f>IFERROR(VLOOKUP(G301,Proveedores!B:C,2,0)," ")</f>
        <v xml:space="preserve"> </v>
      </c>
      <c r="J301" s="838">
        <v>0</v>
      </c>
      <c r="K301" s="1124"/>
      <c r="L301" s="1266">
        <f t="shared" si="195"/>
        <v>0</v>
      </c>
      <c r="M301" s="1267">
        <f t="shared" si="196"/>
        <v>0</v>
      </c>
      <c r="N301" s="1268">
        <f t="shared" si="215"/>
        <v>0</v>
      </c>
      <c r="O301" s="836" t="str">
        <f>IFERROR(VLOOKUP(G301,Proveedores!B:D,3,0)," ")</f>
        <v xml:space="preserve"> </v>
      </c>
      <c r="P301" s="836"/>
      <c r="Q301" s="1127" t="e">
        <f t="shared" si="197"/>
        <v>#N/A</v>
      </c>
      <c r="R301" s="1127" t="b">
        <f t="shared" si="208"/>
        <v>0</v>
      </c>
      <c r="S301" s="1127" t="e">
        <f t="shared" si="198"/>
        <v>#N/A</v>
      </c>
      <c r="T301" s="1127" t="b">
        <f t="shared" si="209"/>
        <v>0</v>
      </c>
      <c r="U301" s="1127" t="e">
        <f t="shared" si="199"/>
        <v>#N/A</v>
      </c>
      <c r="V301" s="1127" t="e">
        <f t="shared" si="210"/>
        <v>#N/A</v>
      </c>
      <c r="W301" s="1127" t="e">
        <f>IF(F301="Offiho",J301,IF(_xlfn.XLOOKUP(F301,Proveedores!A$2:A$50,Proveedores!E$2:E$50,"")="Nacional",(J301/0.5)+(V301*H301),((J301/0.3/0.5)+(V301*H301))))</f>
        <v>#N/A</v>
      </c>
      <c r="X301" s="1127" t="e">
        <f t="shared" si="200"/>
        <v>#N/A</v>
      </c>
      <c r="Y301" s="1126" t="b">
        <f t="shared" si="201"/>
        <v>0</v>
      </c>
      <c r="Z301" s="43">
        <v>0</v>
      </c>
      <c r="AA301" s="1219" t="e">
        <f t="shared" si="211"/>
        <v>#N/A</v>
      </c>
      <c r="AB301" s="1219" t="e">
        <f t="shared" si="212"/>
        <v>#N/A</v>
      </c>
      <c r="AC301" s="1219" t="e">
        <f t="shared" si="202"/>
        <v>#N/A</v>
      </c>
      <c r="AD301" s="1126" t="e">
        <f t="shared" si="213"/>
        <v>#N/A</v>
      </c>
      <c r="AE301" s="1217" t="e">
        <f t="shared" si="203"/>
        <v>#N/A</v>
      </c>
      <c r="AF301" s="1220" t="e">
        <f t="shared" si="204"/>
        <v>#N/A</v>
      </c>
      <c r="AG301" s="1176" t="e">
        <f t="shared" si="205"/>
        <v>#N/A</v>
      </c>
      <c r="AH301" s="1221" t="e">
        <f t="shared" si="214"/>
        <v>#N/A</v>
      </c>
    </row>
    <row r="302" spans="1:34" ht="15.5">
      <c r="A302" s="1216" t="b">
        <f t="shared" si="193"/>
        <v>1</v>
      </c>
      <c r="B302" s="1217" t="b">
        <f t="shared" si="206"/>
        <v>1</v>
      </c>
      <c r="C302" s="1218" t="str">
        <f t="shared" si="207"/>
        <v>Dólares</v>
      </c>
      <c r="D302" s="44"/>
      <c r="E302" s="836"/>
      <c r="F302" s="50"/>
      <c r="G302" s="50" t="str">
        <f t="shared" si="194"/>
        <v xml:space="preserve"> </v>
      </c>
      <c r="H302" s="45">
        <v>0</v>
      </c>
      <c r="I302" s="49" t="str">
        <f>IFERROR(VLOOKUP(G302,Proveedores!B:C,2,0)," ")</f>
        <v xml:space="preserve"> </v>
      </c>
      <c r="J302" s="838">
        <v>0</v>
      </c>
      <c r="K302" s="1124"/>
      <c r="L302" s="1266">
        <f t="shared" si="195"/>
        <v>0</v>
      </c>
      <c r="M302" s="1267">
        <f t="shared" si="196"/>
        <v>0</v>
      </c>
      <c r="N302" s="1268">
        <f t="shared" si="215"/>
        <v>0</v>
      </c>
      <c r="O302" s="836" t="str">
        <f>IFERROR(VLOOKUP(G302,Proveedores!B:D,3,0)," ")</f>
        <v xml:space="preserve"> </v>
      </c>
      <c r="P302" s="836"/>
      <c r="Q302" s="1127" t="e">
        <f t="shared" si="197"/>
        <v>#N/A</v>
      </c>
      <c r="R302" s="1127" t="b">
        <f t="shared" si="208"/>
        <v>0</v>
      </c>
      <c r="S302" s="1127" t="e">
        <f t="shared" si="198"/>
        <v>#N/A</v>
      </c>
      <c r="T302" s="1127" t="b">
        <f t="shared" si="209"/>
        <v>0</v>
      </c>
      <c r="U302" s="1127" t="e">
        <f t="shared" si="199"/>
        <v>#N/A</v>
      </c>
      <c r="V302" s="1127" t="e">
        <f t="shared" si="210"/>
        <v>#N/A</v>
      </c>
      <c r="W302" s="1127" t="e">
        <f>IF(F302="Offiho",J302,IF(_xlfn.XLOOKUP(F302,Proveedores!A$2:A$50,Proveedores!E$2:E$50,"")="Nacional",(J302/0.5)+(V302*H302),((J302/0.3/0.5)+(V302*H302))))</f>
        <v>#N/A</v>
      </c>
      <c r="X302" s="1127" t="e">
        <f t="shared" si="200"/>
        <v>#N/A</v>
      </c>
      <c r="Y302" s="1126" t="b">
        <f t="shared" si="201"/>
        <v>0</v>
      </c>
      <c r="Z302" s="43">
        <v>0</v>
      </c>
      <c r="AA302" s="1219" t="e">
        <f t="shared" si="211"/>
        <v>#N/A</v>
      </c>
      <c r="AB302" s="1219" t="e">
        <f t="shared" si="212"/>
        <v>#N/A</v>
      </c>
      <c r="AC302" s="1219" t="e">
        <f t="shared" si="202"/>
        <v>#N/A</v>
      </c>
      <c r="AD302" s="1126" t="e">
        <f t="shared" si="213"/>
        <v>#N/A</v>
      </c>
      <c r="AE302" s="1217" t="e">
        <f t="shared" si="203"/>
        <v>#N/A</v>
      </c>
      <c r="AF302" s="1220" t="e">
        <f t="shared" si="204"/>
        <v>#N/A</v>
      </c>
      <c r="AG302" s="1176" t="e">
        <f t="shared" si="205"/>
        <v>#N/A</v>
      </c>
      <c r="AH302" s="1221" t="e">
        <f t="shared" si="214"/>
        <v>#N/A</v>
      </c>
    </row>
    <row r="303" spans="1:34" ht="15.5">
      <c r="A303" s="1216" t="b">
        <f t="shared" si="193"/>
        <v>1</v>
      </c>
      <c r="B303" s="1217" t="b">
        <f t="shared" si="206"/>
        <v>1</v>
      </c>
      <c r="C303" s="1218" t="str">
        <f t="shared" si="207"/>
        <v>Dólares</v>
      </c>
      <c r="D303" s="44"/>
      <c r="E303" s="836"/>
      <c r="F303" s="50"/>
      <c r="G303" s="50" t="str">
        <f t="shared" si="194"/>
        <v xml:space="preserve"> </v>
      </c>
      <c r="H303" s="45">
        <v>0</v>
      </c>
      <c r="I303" s="49" t="str">
        <f>IFERROR(VLOOKUP(G303,Proveedores!B:C,2,0)," ")</f>
        <v xml:space="preserve"> </v>
      </c>
      <c r="J303" s="838">
        <v>0</v>
      </c>
      <c r="K303" s="1124"/>
      <c r="L303" s="1266">
        <f t="shared" si="195"/>
        <v>0</v>
      </c>
      <c r="M303" s="1267">
        <f t="shared" si="196"/>
        <v>0</v>
      </c>
      <c r="N303" s="1268">
        <f t="shared" si="215"/>
        <v>0</v>
      </c>
      <c r="O303" s="836" t="str">
        <f>IFERROR(VLOOKUP(G303,Proveedores!B:D,3,0)," ")</f>
        <v xml:space="preserve"> </v>
      </c>
      <c r="P303" s="836"/>
      <c r="Q303" s="1127" t="e">
        <f t="shared" si="197"/>
        <v>#N/A</v>
      </c>
      <c r="R303" s="1127" t="b">
        <f t="shared" si="208"/>
        <v>0</v>
      </c>
      <c r="S303" s="1127" t="e">
        <f t="shared" si="198"/>
        <v>#N/A</v>
      </c>
      <c r="T303" s="1127" t="b">
        <f t="shared" si="209"/>
        <v>0</v>
      </c>
      <c r="U303" s="1127" t="e">
        <f t="shared" si="199"/>
        <v>#N/A</v>
      </c>
      <c r="V303" s="1127" t="e">
        <f t="shared" si="210"/>
        <v>#N/A</v>
      </c>
      <c r="W303" s="1127" t="e">
        <f>IF(F303="Offiho",J303,IF(_xlfn.XLOOKUP(F303,Proveedores!A$2:A$50,Proveedores!E$2:E$50,"")="Nacional",(J303/0.5)+(V303*H303),((J303/0.3/0.5)+(V303*H303))))</f>
        <v>#N/A</v>
      </c>
      <c r="X303" s="1127" t="e">
        <f t="shared" si="200"/>
        <v>#N/A</v>
      </c>
      <c r="Y303" s="1126" t="b">
        <f t="shared" si="201"/>
        <v>0</v>
      </c>
      <c r="Z303" s="43">
        <v>0</v>
      </c>
      <c r="AA303" s="1219" t="e">
        <f t="shared" si="211"/>
        <v>#N/A</v>
      </c>
      <c r="AB303" s="1219" t="e">
        <f t="shared" si="212"/>
        <v>#N/A</v>
      </c>
      <c r="AC303" s="1219" t="e">
        <f t="shared" si="202"/>
        <v>#N/A</v>
      </c>
      <c r="AD303" s="1126" t="e">
        <f t="shared" si="213"/>
        <v>#N/A</v>
      </c>
      <c r="AE303" s="1217" t="e">
        <f t="shared" si="203"/>
        <v>#N/A</v>
      </c>
      <c r="AF303" s="1220" t="e">
        <f t="shared" si="204"/>
        <v>#N/A</v>
      </c>
      <c r="AG303" s="1176" t="e">
        <f t="shared" si="205"/>
        <v>#N/A</v>
      </c>
      <c r="AH303" s="1221" t="e">
        <f t="shared" si="214"/>
        <v>#N/A</v>
      </c>
    </row>
    <row r="304" spans="1:34" ht="15.5">
      <c r="A304" s="1216" t="b">
        <f t="shared" si="193"/>
        <v>1</v>
      </c>
      <c r="B304" s="1217" t="b">
        <f t="shared" si="206"/>
        <v>1</v>
      </c>
      <c r="C304" s="1218" t="str">
        <f t="shared" si="207"/>
        <v>Dólares</v>
      </c>
      <c r="D304" s="46"/>
      <c r="E304" s="836"/>
      <c r="F304" s="50"/>
      <c r="G304" s="50" t="str">
        <f t="shared" si="194"/>
        <v xml:space="preserve"> </v>
      </c>
      <c r="H304" s="45">
        <v>0</v>
      </c>
      <c r="I304" s="49" t="str">
        <f>IFERROR(VLOOKUP(G304,Proveedores!B:C,2,0)," ")</f>
        <v xml:space="preserve"> </v>
      </c>
      <c r="J304" s="838">
        <v>0</v>
      </c>
      <c r="K304" s="1124"/>
      <c r="L304" s="1266">
        <f t="shared" si="195"/>
        <v>0</v>
      </c>
      <c r="M304" s="1267">
        <f t="shared" si="196"/>
        <v>0</v>
      </c>
      <c r="N304" s="1268">
        <f t="shared" si="215"/>
        <v>0</v>
      </c>
      <c r="O304" s="836" t="str">
        <f>IFERROR(VLOOKUP(G304,Proveedores!B:D,3,0)," ")</f>
        <v xml:space="preserve"> </v>
      </c>
      <c r="P304" s="836"/>
      <c r="Q304" s="1127" t="e">
        <f t="shared" si="197"/>
        <v>#N/A</v>
      </c>
      <c r="R304" s="1127" t="b">
        <f t="shared" si="208"/>
        <v>0</v>
      </c>
      <c r="S304" s="1127" t="e">
        <f t="shared" si="198"/>
        <v>#N/A</v>
      </c>
      <c r="T304" s="1127" t="b">
        <f t="shared" si="209"/>
        <v>0</v>
      </c>
      <c r="U304" s="1127" t="e">
        <f t="shared" si="199"/>
        <v>#N/A</v>
      </c>
      <c r="V304" s="1127" t="e">
        <f t="shared" si="210"/>
        <v>#N/A</v>
      </c>
      <c r="W304" s="1127" t="e">
        <f>IF(F304="Offiho",J304,IF(_xlfn.XLOOKUP(F304,Proveedores!A$2:A$50,Proveedores!E$2:E$50,"")="Nacional",(J304/0.5)+(V304*H304),((J304/0.3/0.5)+(V304*H304))))</f>
        <v>#N/A</v>
      </c>
      <c r="X304" s="1127" t="e">
        <f t="shared" si="200"/>
        <v>#N/A</v>
      </c>
      <c r="Y304" s="1126" t="b">
        <f t="shared" si="201"/>
        <v>0</v>
      </c>
      <c r="Z304" s="43">
        <v>0</v>
      </c>
      <c r="AA304" s="1219" t="e">
        <f t="shared" si="211"/>
        <v>#N/A</v>
      </c>
      <c r="AB304" s="1219" t="e">
        <f t="shared" si="212"/>
        <v>#N/A</v>
      </c>
      <c r="AC304" s="1219" t="e">
        <f t="shared" si="202"/>
        <v>#N/A</v>
      </c>
      <c r="AD304" s="1126" t="e">
        <f t="shared" si="213"/>
        <v>#N/A</v>
      </c>
      <c r="AE304" s="1217" t="e">
        <f t="shared" si="203"/>
        <v>#N/A</v>
      </c>
      <c r="AF304" s="1220" t="e">
        <f t="shared" si="204"/>
        <v>#N/A</v>
      </c>
      <c r="AG304" s="1176" t="e">
        <f t="shared" si="205"/>
        <v>#N/A</v>
      </c>
      <c r="AH304" s="1221" t="e">
        <f t="shared" si="214"/>
        <v>#N/A</v>
      </c>
    </row>
    <row r="305" spans="1:34" ht="15.5">
      <c r="A305" s="1216" t="b">
        <f t="shared" si="193"/>
        <v>1</v>
      </c>
      <c r="B305" s="1217" t="b">
        <f t="shared" si="206"/>
        <v>1</v>
      </c>
      <c r="C305" s="1218" t="str">
        <f t="shared" si="207"/>
        <v>Dólares</v>
      </c>
      <c r="D305" s="46"/>
      <c r="E305" s="836"/>
      <c r="F305" s="50"/>
      <c r="G305" s="50" t="str">
        <f t="shared" si="194"/>
        <v xml:space="preserve"> </v>
      </c>
      <c r="H305" s="45">
        <v>0</v>
      </c>
      <c r="I305" s="49" t="str">
        <f>IFERROR(VLOOKUP(G305,Proveedores!B:C,2,0)," ")</f>
        <v xml:space="preserve"> </v>
      </c>
      <c r="J305" s="838">
        <v>0</v>
      </c>
      <c r="K305" s="1124"/>
      <c r="L305" s="1266">
        <f t="shared" si="195"/>
        <v>0</v>
      </c>
      <c r="M305" s="1267">
        <f t="shared" si="196"/>
        <v>0</v>
      </c>
      <c r="N305" s="1268">
        <f t="shared" si="215"/>
        <v>0</v>
      </c>
      <c r="O305" s="836" t="str">
        <f>IFERROR(VLOOKUP(G305,Proveedores!B:D,3,0)," ")</f>
        <v xml:space="preserve"> </v>
      </c>
      <c r="P305" s="836"/>
      <c r="Q305" s="1127" t="e">
        <f t="shared" si="197"/>
        <v>#N/A</v>
      </c>
      <c r="R305" s="1127" t="b">
        <f t="shared" si="208"/>
        <v>0</v>
      </c>
      <c r="S305" s="1127" t="e">
        <f t="shared" si="198"/>
        <v>#N/A</v>
      </c>
      <c r="T305" s="1127" t="b">
        <f t="shared" si="209"/>
        <v>0</v>
      </c>
      <c r="U305" s="1127" t="e">
        <f t="shared" si="199"/>
        <v>#N/A</v>
      </c>
      <c r="V305" s="1127" t="e">
        <f t="shared" si="210"/>
        <v>#N/A</v>
      </c>
      <c r="W305" s="1127" t="e">
        <f>IF(F305="Offiho",J305,IF(_xlfn.XLOOKUP(F305,Proveedores!A$2:A$50,Proveedores!E$2:E$50,"")="Nacional",(J305/0.5)+(V305*H305),((J305/0.3/0.5)+(V305*H305))))</f>
        <v>#N/A</v>
      </c>
      <c r="X305" s="1127" t="e">
        <f t="shared" si="200"/>
        <v>#N/A</v>
      </c>
      <c r="Y305" s="1126" t="b">
        <f t="shared" si="201"/>
        <v>0</v>
      </c>
      <c r="Z305" s="43">
        <v>0</v>
      </c>
      <c r="AA305" s="1219" t="e">
        <f t="shared" si="211"/>
        <v>#N/A</v>
      </c>
      <c r="AB305" s="1219" t="e">
        <f t="shared" si="212"/>
        <v>#N/A</v>
      </c>
      <c r="AC305" s="1219" t="e">
        <f t="shared" si="202"/>
        <v>#N/A</v>
      </c>
      <c r="AD305" s="1126" t="e">
        <f t="shared" si="213"/>
        <v>#N/A</v>
      </c>
      <c r="AE305" s="1217" t="e">
        <f t="shared" si="203"/>
        <v>#N/A</v>
      </c>
      <c r="AF305" s="1220" t="e">
        <f t="shared" si="204"/>
        <v>#N/A</v>
      </c>
      <c r="AG305" s="1176" t="e">
        <f t="shared" si="205"/>
        <v>#N/A</v>
      </c>
      <c r="AH305" s="1221" t="e">
        <f t="shared" si="214"/>
        <v>#N/A</v>
      </c>
    </row>
    <row r="306" spans="1:34" ht="15.5">
      <c r="A306" s="1216" t="b">
        <f t="shared" si="193"/>
        <v>1</v>
      </c>
      <c r="B306" s="1217" t="b">
        <f t="shared" si="206"/>
        <v>1</v>
      </c>
      <c r="C306" s="1218" t="str">
        <f t="shared" si="207"/>
        <v>Dólares</v>
      </c>
      <c r="D306" s="46"/>
      <c r="E306" s="836"/>
      <c r="F306" s="50"/>
      <c r="G306" s="50" t="str">
        <f t="shared" si="194"/>
        <v xml:space="preserve"> </v>
      </c>
      <c r="H306" s="45">
        <v>0</v>
      </c>
      <c r="I306" s="49" t="str">
        <f>IFERROR(VLOOKUP(G306,Proveedores!B:C,2,0)," ")</f>
        <v xml:space="preserve"> </v>
      </c>
      <c r="J306" s="838">
        <v>0</v>
      </c>
      <c r="K306" s="1124"/>
      <c r="L306" s="1266">
        <f t="shared" si="195"/>
        <v>0</v>
      </c>
      <c r="M306" s="1267">
        <f t="shared" si="196"/>
        <v>0</v>
      </c>
      <c r="N306" s="1268">
        <f t="shared" si="215"/>
        <v>0</v>
      </c>
      <c r="O306" s="836" t="str">
        <f>IFERROR(VLOOKUP(G306,Proveedores!B:D,3,0)," ")</f>
        <v xml:space="preserve"> </v>
      </c>
      <c r="P306" s="836"/>
      <c r="Q306" s="1127" t="e">
        <f t="shared" si="197"/>
        <v>#N/A</v>
      </c>
      <c r="R306" s="1127" t="b">
        <f t="shared" si="208"/>
        <v>0</v>
      </c>
      <c r="S306" s="1127" t="e">
        <f t="shared" si="198"/>
        <v>#N/A</v>
      </c>
      <c r="T306" s="1127" t="b">
        <f t="shared" si="209"/>
        <v>0</v>
      </c>
      <c r="U306" s="1127" t="e">
        <f t="shared" si="199"/>
        <v>#N/A</v>
      </c>
      <c r="V306" s="1127" t="e">
        <f t="shared" si="210"/>
        <v>#N/A</v>
      </c>
      <c r="W306" s="1127" t="e">
        <f>IF(F306="Offiho",J306,IF(_xlfn.XLOOKUP(F306,Proveedores!A$2:A$50,Proveedores!E$2:E$50,"")="Nacional",(J306/0.5)+(V306*H306),((J306/0.3/0.5)+(V306*H306))))</f>
        <v>#N/A</v>
      </c>
      <c r="X306" s="1127" t="e">
        <f t="shared" si="200"/>
        <v>#N/A</v>
      </c>
      <c r="Y306" s="1126" t="b">
        <f t="shared" si="201"/>
        <v>0</v>
      </c>
      <c r="Z306" s="43">
        <v>0</v>
      </c>
      <c r="AA306" s="1219" t="e">
        <f t="shared" si="211"/>
        <v>#N/A</v>
      </c>
      <c r="AB306" s="1219" t="e">
        <f t="shared" si="212"/>
        <v>#N/A</v>
      </c>
      <c r="AC306" s="1219" t="e">
        <f t="shared" si="202"/>
        <v>#N/A</v>
      </c>
      <c r="AD306" s="1126" t="e">
        <f t="shared" si="213"/>
        <v>#N/A</v>
      </c>
      <c r="AE306" s="1217" t="e">
        <f t="shared" si="203"/>
        <v>#N/A</v>
      </c>
      <c r="AF306" s="1220" t="e">
        <f t="shared" si="204"/>
        <v>#N/A</v>
      </c>
      <c r="AG306" s="1176" t="e">
        <f t="shared" si="205"/>
        <v>#N/A</v>
      </c>
      <c r="AH306" s="1221" t="e">
        <f t="shared" si="214"/>
        <v>#N/A</v>
      </c>
    </row>
    <row r="307" spans="1:34" ht="15.5">
      <c r="A307" s="1216" t="b">
        <f t="shared" si="193"/>
        <v>1</v>
      </c>
      <c r="B307" s="1217" t="b">
        <f t="shared" si="206"/>
        <v>1</v>
      </c>
      <c r="C307" s="1218" t="str">
        <f t="shared" si="207"/>
        <v>Dólares</v>
      </c>
      <c r="D307" s="46"/>
      <c r="E307" s="836"/>
      <c r="F307" s="50"/>
      <c r="G307" s="50" t="str">
        <f t="shared" si="194"/>
        <v xml:space="preserve"> </v>
      </c>
      <c r="H307" s="45">
        <v>0</v>
      </c>
      <c r="I307" s="49" t="str">
        <f>IFERROR(VLOOKUP(G307,Proveedores!B:C,2,0)," ")</f>
        <v xml:space="preserve"> </v>
      </c>
      <c r="J307" s="838">
        <v>0</v>
      </c>
      <c r="K307" s="1124"/>
      <c r="L307" s="1266">
        <f t="shared" si="195"/>
        <v>0</v>
      </c>
      <c r="M307" s="1267">
        <f t="shared" si="196"/>
        <v>0</v>
      </c>
      <c r="N307" s="1268">
        <f t="shared" si="215"/>
        <v>0</v>
      </c>
      <c r="O307" s="836" t="str">
        <f>IFERROR(VLOOKUP(G307,Proveedores!B:D,3,0)," ")</f>
        <v xml:space="preserve"> </v>
      </c>
      <c r="P307" s="836"/>
      <c r="Q307" s="1127" t="e">
        <f t="shared" si="197"/>
        <v>#N/A</v>
      </c>
      <c r="R307" s="1127" t="b">
        <f t="shared" si="208"/>
        <v>0</v>
      </c>
      <c r="S307" s="1127" t="e">
        <f t="shared" si="198"/>
        <v>#N/A</v>
      </c>
      <c r="T307" s="1127" t="b">
        <f t="shared" si="209"/>
        <v>0</v>
      </c>
      <c r="U307" s="1127" t="e">
        <f t="shared" si="199"/>
        <v>#N/A</v>
      </c>
      <c r="V307" s="1127" t="e">
        <f t="shared" si="210"/>
        <v>#N/A</v>
      </c>
      <c r="W307" s="1127" t="e">
        <f>IF(F307="Offiho",J307,IF(_xlfn.XLOOKUP(F307,Proveedores!A$2:A$50,Proveedores!E$2:E$50,"")="Nacional",(J307/0.5)+(V307*H307),((J307/0.3/0.5)+(V307*H307))))</f>
        <v>#N/A</v>
      </c>
      <c r="X307" s="1127" t="e">
        <f t="shared" si="200"/>
        <v>#N/A</v>
      </c>
      <c r="Y307" s="1126" t="b">
        <f t="shared" si="201"/>
        <v>0</v>
      </c>
      <c r="Z307" s="43">
        <v>0</v>
      </c>
      <c r="AA307" s="1219" t="e">
        <f t="shared" si="211"/>
        <v>#N/A</v>
      </c>
      <c r="AB307" s="1219" t="e">
        <f t="shared" si="212"/>
        <v>#N/A</v>
      </c>
      <c r="AC307" s="1219" t="e">
        <f t="shared" si="202"/>
        <v>#N/A</v>
      </c>
      <c r="AD307" s="1126" t="e">
        <f t="shared" si="213"/>
        <v>#N/A</v>
      </c>
      <c r="AE307" s="1217" t="e">
        <f t="shared" si="203"/>
        <v>#N/A</v>
      </c>
      <c r="AF307" s="1220" t="e">
        <f t="shared" si="204"/>
        <v>#N/A</v>
      </c>
      <c r="AG307" s="1176" t="e">
        <f t="shared" si="205"/>
        <v>#N/A</v>
      </c>
      <c r="AH307" s="1221" t="e">
        <f t="shared" si="214"/>
        <v>#N/A</v>
      </c>
    </row>
    <row r="308" spans="1:34" ht="15.5">
      <c r="A308" s="1216" t="b">
        <f t="shared" si="193"/>
        <v>1</v>
      </c>
      <c r="B308" s="1217" t="b">
        <f t="shared" si="206"/>
        <v>1</v>
      </c>
      <c r="C308" s="1218" t="str">
        <f t="shared" si="207"/>
        <v>Dólares</v>
      </c>
      <c r="D308" s="46"/>
      <c r="E308" s="836"/>
      <c r="F308" s="50"/>
      <c r="G308" s="50" t="str">
        <f t="shared" si="194"/>
        <v xml:space="preserve"> </v>
      </c>
      <c r="H308" s="45">
        <v>0</v>
      </c>
      <c r="I308" s="49" t="str">
        <f>IFERROR(VLOOKUP(G308,Proveedores!B:C,2,0)," ")</f>
        <v xml:space="preserve"> </v>
      </c>
      <c r="J308" s="838">
        <v>0</v>
      </c>
      <c r="K308" s="1124"/>
      <c r="L308" s="1266">
        <f t="shared" si="195"/>
        <v>0</v>
      </c>
      <c r="M308" s="1267">
        <f t="shared" si="196"/>
        <v>0</v>
      </c>
      <c r="N308" s="1268">
        <f t="shared" si="215"/>
        <v>0</v>
      </c>
      <c r="O308" s="836" t="str">
        <f>IFERROR(VLOOKUP(G308,Proveedores!B:D,3,0)," ")</f>
        <v xml:space="preserve"> </v>
      </c>
      <c r="P308" s="836"/>
      <c r="Q308" s="1127" t="e">
        <f t="shared" si="197"/>
        <v>#N/A</v>
      </c>
      <c r="R308" s="1127" t="b">
        <f t="shared" si="208"/>
        <v>0</v>
      </c>
      <c r="S308" s="1127" t="e">
        <f t="shared" si="198"/>
        <v>#N/A</v>
      </c>
      <c r="T308" s="1127" t="b">
        <f t="shared" si="209"/>
        <v>0</v>
      </c>
      <c r="U308" s="1127" t="e">
        <f t="shared" si="199"/>
        <v>#N/A</v>
      </c>
      <c r="V308" s="1127" t="e">
        <f t="shared" si="210"/>
        <v>#N/A</v>
      </c>
      <c r="W308" s="1127" t="e">
        <f>IF(F308="Offiho",J308,IF(_xlfn.XLOOKUP(F308,Proveedores!A$2:A$50,Proveedores!E$2:E$50,"")="Nacional",(J308/0.5)+(V308*H308),((J308/0.3/0.5)+(V308*H308))))</f>
        <v>#N/A</v>
      </c>
      <c r="X308" s="1127" t="e">
        <f t="shared" si="200"/>
        <v>#N/A</v>
      </c>
      <c r="Y308" s="1126" t="b">
        <f t="shared" si="201"/>
        <v>0</v>
      </c>
      <c r="Z308" s="43">
        <v>0</v>
      </c>
      <c r="AA308" s="1219" t="e">
        <f t="shared" si="211"/>
        <v>#N/A</v>
      </c>
      <c r="AB308" s="1219" t="e">
        <f t="shared" si="212"/>
        <v>#N/A</v>
      </c>
      <c r="AC308" s="1219" t="e">
        <f t="shared" si="202"/>
        <v>#N/A</v>
      </c>
      <c r="AD308" s="1126" t="e">
        <f t="shared" si="213"/>
        <v>#N/A</v>
      </c>
      <c r="AE308" s="1217" t="e">
        <f t="shared" si="203"/>
        <v>#N/A</v>
      </c>
      <c r="AF308" s="1220" t="e">
        <f t="shared" si="204"/>
        <v>#N/A</v>
      </c>
      <c r="AG308" s="1176" t="e">
        <f t="shared" si="205"/>
        <v>#N/A</v>
      </c>
      <c r="AH308" s="1221" t="e">
        <f t="shared" si="214"/>
        <v>#N/A</v>
      </c>
    </row>
    <row r="309" spans="1:34" ht="15.5">
      <c r="A309" s="1216" t="b">
        <f t="shared" si="193"/>
        <v>1</v>
      </c>
      <c r="B309" s="1217" t="b">
        <f t="shared" si="206"/>
        <v>1</v>
      </c>
      <c r="C309" s="1218" t="str">
        <f t="shared" si="207"/>
        <v>Dólares</v>
      </c>
      <c r="D309" s="46"/>
      <c r="E309" s="836"/>
      <c r="F309" s="50"/>
      <c r="G309" s="50" t="str">
        <f t="shared" si="194"/>
        <v xml:space="preserve"> </v>
      </c>
      <c r="H309" s="45">
        <v>0</v>
      </c>
      <c r="I309" s="49" t="str">
        <f>IFERROR(VLOOKUP(G309,Proveedores!B:C,2,0)," ")</f>
        <v xml:space="preserve"> </v>
      </c>
      <c r="J309" s="838">
        <v>0</v>
      </c>
      <c r="K309" s="1124"/>
      <c r="L309" s="1266">
        <f t="shared" si="195"/>
        <v>0</v>
      </c>
      <c r="M309" s="1267">
        <f t="shared" si="196"/>
        <v>0</v>
      </c>
      <c r="N309" s="1268">
        <f t="shared" si="215"/>
        <v>0</v>
      </c>
      <c r="O309" s="836" t="str">
        <f>IFERROR(VLOOKUP(G309,Proveedores!B:D,3,0)," ")</f>
        <v xml:space="preserve"> </v>
      </c>
      <c r="P309" s="836"/>
      <c r="Q309" s="1127" t="e">
        <f t="shared" si="197"/>
        <v>#N/A</v>
      </c>
      <c r="R309" s="1127" t="b">
        <f t="shared" si="208"/>
        <v>0</v>
      </c>
      <c r="S309" s="1127" t="e">
        <f t="shared" si="198"/>
        <v>#N/A</v>
      </c>
      <c r="T309" s="1127" t="b">
        <f t="shared" si="209"/>
        <v>0</v>
      </c>
      <c r="U309" s="1127" t="e">
        <f t="shared" si="199"/>
        <v>#N/A</v>
      </c>
      <c r="V309" s="1127" t="e">
        <f t="shared" si="210"/>
        <v>#N/A</v>
      </c>
      <c r="W309" s="1127" t="e">
        <f>IF(F309="Offiho",J309,IF(_xlfn.XLOOKUP(F309,Proveedores!A$2:A$50,Proveedores!E$2:E$50,"")="Nacional",(J309/0.5)+(V309*H309),((J309/0.3/0.5)+(V309*H309))))</f>
        <v>#N/A</v>
      </c>
      <c r="X309" s="1127" t="e">
        <f t="shared" si="200"/>
        <v>#N/A</v>
      </c>
      <c r="Y309" s="1126" t="b">
        <f t="shared" si="201"/>
        <v>0</v>
      </c>
      <c r="Z309" s="43">
        <v>0</v>
      </c>
      <c r="AA309" s="1219" t="e">
        <f t="shared" si="211"/>
        <v>#N/A</v>
      </c>
      <c r="AB309" s="1219" t="e">
        <f t="shared" si="212"/>
        <v>#N/A</v>
      </c>
      <c r="AC309" s="1219" t="e">
        <f t="shared" si="202"/>
        <v>#N/A</v>
      </c>
      <c r="AD309" s="1126" t="e">
        <f t="shared" si="213"/>
        <v>#N/A</v>
      </c>
      <c r="AE309" s="1217" t="e">
        <f t="shared" si="203"/>
        <v>#N/A</v>
      </c>
      <c r="AF309" s="1220" t="e">
        <f t="shared" si="204"/>
        <v>#N/A</v>
      </c>
      <c r="AG309" s="1176" t="e">
        <f t="shared" si="205"/>
        <v>#N/A</v>
      </c>
      <c r="AH309" s="1221" t="e">
        <f t="shared" si="214"/>
        <v>#N/A</v>
      </c>
    </row>
    <row r="310" spans="1:34" ht="15.5">
      <c r="A310" s="1216" t="b">
        <f t="shared" si="193"/>
        <v>1</v>
      </c>
      <c r="B310" s="1217" t="b">
        <f t="shared" si="206"/>
        <v>1</v>
      </c>
      <c r="C310" s="1218" t="str">
        <f t="shared" si="207"/>
        <v>Dólares</v>
      </c>
      <c r="D310" s="46"/>
      <c r="E310" s="836"/>
      <c r="F310" s="50"/>
      <c r="G310" s="50" t="str">
        <f t="shared" si="194"/>
        <v xml:space="preserve"> </v>
      </c>
      <c r="H310" s="45">
        <v>0</v>
      </c>
      <c r="I310" s="49" t="str">
        <f>IFERROR(VLOOKUP(G310,Proveedores!B:C,2,0)," ")</f>
        <v xml:space="preserve"> </v>
      </c>
      <c r="J310" s="838">
        <v>0</v>
      </c>
      <c r="K310" s="1124"/>
      <c r="L310" s="1266">
        <f t="shared" si="195"/>
        <v>0</v>
      </c>
      <c r="M310" s="1267">
        <f t="shared" si="196"/>
        <v>0</v>
      </c>
      <c r="N310" s="1268">
        <f t="shared" si="215"/>
        <v>0</v>
      </c>
      <c r="O310" s="836" t="str">
        <f>IFERROR(VLOOKUP(G310,Proveedores!B:D,3,0)," ")</f>
        <v xml:space="preserve"> </v>
      </c>
      <c r="P310" s="836"/>
      <c r="Q310" s="1127" t="e">
        <f t="shared" si="197"/>
        <v>#N/A</v>
      </c>
      <c r="R310" s="1127" t="b">
        <f t="shared" si="208"/>
        <v>0</v>
      </c>
      <c r="S310" s="1127" t="e">
        <f t="shared" si="198"/>
        <v>#N/A</v>
      </c>
      <c r="T310" s="1127" t="b">
        <f t="shared" si="209"/>
        <v>0</v>
      </c>
      <c r="U310" s="1127" t="e">
        <f t="shared" si="199"/>
        <v>#N/A</v>
      </c>
      <c r="V310" s="1127" t="e">
        <f t="shared" si="210"/>
        <v>#N/A</v>
      </c>
      <c r="W310" s="1127" t="e">
        <f>IF(F310="Offiho",J310,IF(_xlfn.XLOOKUP(F310,Proveedores!A$2:A$50,Proveedores!E$2:E$50,"")="Nacional",(J310/0.5)+(V310*H310),((J310/0.3/0.5)+(V310*H310))))</f>
        <v>#N/A</v>
      </c>
      <c r="X310" s="1127" t="e">
        <f t="shared" si="200"/>
        <v>#N/A</v>
      </c>
      <c r="Y310" s="1126" t="b">
        <f t="shared" si="201"/>
        <v>0</v>
      </c>
      <c r="Z310" s="43">
        <v>0</v>
      </c>
      <c r="AA310" s="1219" t="e">
        <f t="shared" si="211"/>
        <v>#N/A</v>
      </c>
      <c r="AB310" s="1219" t="e">
        <f t="shared" si="212"/>
        <v>#N/A</v>
      </c>
      <c r="AC310" s="1219" t="e">
        <f t="shared" si="202"/>
        <v>#N/A</v>
      </c>
      <c r="AD310" s="1126" t="e">
        <f t="shared" si="213"/>
        <v>#N/A</v>
      </c>
      <c r="AE310" s="1217" t="e">
        <f t="shared" si="203"/>
        <v>#N/A</v>
      </c>
      <c r="AF310" s="1220" t="e">
        <f t="shared" si="204"/>
        <v>#N/A</v>
      </c>
      <c r="AG310" s="1176" t="e">
        <f t="shared" si="205"/>
        <v>#N/A</v>
      </c>
      <c r="AH310" s="1221" t="e">
        <f t="shared" si="214"/>
        <v>#N/A</v>
      </c>
    </row>
    <row r="311" spans="1:34" ht="15.5">
      <c r="A311" s="1216" t="b">
        <f t="shared" si="193"/>
        <v>1</v>
      </c>
      <c r="B311" s="1217" t="b">
        <f t="shared" si="206"/>
        <v>1</v>
      </c>
      <c r="C311" s="1218" t="str">
        <f t="shared" si="207"/>
        <v>Dólares</v>
      </c>
      <c r="D311" s="47"/>
      <c r="E311" s="836"/>
      <c r="F311" s="50"/>
      <c r="G311" s="50" t="str">
        <f t="shared" si="194"/>
        <v xml:space="preserve"> </v>
      </c>
      <c r="H311" s="45">
        <v>0</v>
      </c>
      <c r="I311" s="49" t="str">
        <f>IFERROR(VLOOKUP(G311,Proveedores!B:C,2,0)," ")</f>
        <v xml:space="preserve"> </v>
      </c>
      <c r="J311" s="838">
        <v>0</v>
      </c>
      <c r="K311" s="1124"/>
      <c r="L311" s="1266">
        <f t="shared" si="195"/>
        <v>0</v>
      </c>
      <c r="M311" s="1267">
        <f t="shared" si="196"/>
        <v>0</v>
      </c>
      <c r="N311" s="1268">
        <f t="shared" si="215"/>
        <v>0</v>
      </c>
      <c r="O311" s="836" t="str">
        <f>IFERROR(VLOOKUP(G311,Proveedores!B:D,3,0)," ")</f>
        <v xml:space="preserve"> </v>
      </c>
      <c r="P311" s="836"/>
      <c r="Q311" s="1127" t="e">
        <f t="shared" si="197"/>
        <v>#N/A</v>
      </c>
      <c r="R311" s="1127" t="b">
        <f t="shared" si="208"/>
        <v>0</v>
      </c>
      <c r="S311" s="1127" t="e">
        <f t="shared" si="198"/>
        <v>#N/A</v>
      </c>
      <c r="T311" s="1127" t="b">
        <f t="shared" si="209"/>
        <v>0</v>
      </c>
      <c r="U311" s="1127" t="e">
        <f t="shared" si="199"/>
        <v>#N/A</v>
      </c>
      <c r="V311" s="1127" t="e">
        <f t="shared" si="210"/>
        <v>#N/A</v>
      </c>
      <c r="W311" s="1127" t="e">
        <f>IF(F311="Offiho",J311,IF(_xlfn.XLOOKUP(F311,Proveedores!A$2:A$50,Proveedores!E$2:E$50,"")="Nacional",(J311/0.5)+(V311*H311),((J311/0.3/0.5)+(V311*H311))))</f>
        <v>#N/A</v>
      </c>
      <c r="X311" s="1127" t="e">
        <f t="shared" si="200"/>
        <v>#N/A</v>
      </c>
      <c r="Y311" s="1126" t="b">
        <f t="shared" si="201"/>
        <v>0</v>
      </c>
      <c r="Z311" s="43">
        <v>0</v>
      </c>
      <c r="AA311" s="1219" t="e">
        <f t="shared" si="211"/>
        <v>#N/A</v>
      </c>
      <c r="AB311" s="1219" t="e">
        <f t="shared" si="212"/>
        <v>#N/A</v>
      </c>
      <c r="AC311" s="1219" t="e">
        <f t="shared" si="202"/>
        <v>#N/A</v>
      </c>
      <c r="AD311" s="1126" t="e">
        <f t="shared" si="213"/>
        <v>#N/A</v>
      </c>
      <c r="AE311" s="1217" t="e">
        <f t="shared" si="203"/>
        <v>#N/A</v>
      </c>
      <c r="AF311" s="1220" t="e">
        <f t="shared" si="204"/>
        <v>#N/A</v>
      </c>
      <c r="AG311" s="1176" t="e">
        <f t="shared" si="205"/>
        <v>#N/A</v>
      </c>
      <c r="AH311" s="1221" t="e">
        <f t="shared" si="214"/>
        <v>#N/A</v>
      </c>
    </row>
    <row r="312" spans="1:34" ht="15.5">
      <c r="A312" s="1216" t="b">
        <f t="shared" si="193"/>
        <v>1</v>
      </c>
      <c r="B312" s="1217" t="b">
        <f t="shared" si="206"/>
        <v>1</v>
      </c>
      <c r="C312" s="1218" t="str">
        <f t="shared" si="207"/>
        <v>Dólares</v>
      </c>
      <c r="D312" s="48"/>
      <c r="E312" s="836"/>
      <c r="F312" s="50"/>
      <c r="G312" s="50" t="str">
        <f t="shared" si="194"/>
        <v xml:space="preserve"> </v>
      </c>
      <c r="H312" s="45">
        <v>0</v>
      </c>
      <c r="I312" s="49" t="str">
        <f>IFERROR(VLOOKUP(G312,Proveedores!B:C,2,0)," ")</f>
        <v xml:space="preserve"> </v>
      </c>
      <c r="J312" s="838">
        <v>0</v>
      </c>
      <c r="K312" s="1124"/>
      <c r="L312" s="1266">
        <f t="shared" si="195"/>
        <v>0</v>
      </c>
      <c r="M312" s="1267">
        <f t="shared" si="196"/>
        <v>0</v>
      </c>
      <c r="N312" s="1268">
        <f t="shared" si="215"/>
        <v>0</v>
      </c>
      <c r="O312" s="836" t="str">
        <f>IFERROR(VLOOKUP(G312,Proveedores!B:D,3,0)," ")</f>
        <v xml:space="preserve"> </v>
      </c>
      <c r="P312" s="836"/>
      <c r="Q312" s="1127" t="e">
        <f t="shared" si="197"/>
        <v>#N/A</v>
      </c>
      <c r="R312" s="1127" t="b">
        <f t="shared" si="208"/>
        <v>0</v>
      </c>
      <c r="S312" s="1127" t="e">
        <f t="shared" si="198"/>
        <v>#N/A</v>
      </c>
      <c r="T312" s="1127" t="b">
        <f t="shared" si="209"/>
        <v>0</v>
      </c>
      <c r="U312" s="1127" t="e">
        <f t="shared" si="199"/>
        <v>#N/A</v>
      </c>
      <c r="V312" s="1127" t="e">
        <f t="shared" si="210"/>
        <v>#N/A</v>
      </c>
      <c r="W312" s="1127" t="e">
        <f>IF(F312="Offiho",J312,IF(_xlfn.XLOOKUP(F312,Proveedores!A$2:A$50,Proveedores!E$2:E$50,"")="Nacional",(J312/0.5)+(V312*H312),((J312/0.3/0.5)+(V312*H312))))</f>
        <v>#N/A</v>
      </c>
      <c r="X312" s="1127" t="e">
        <f t="shared" si="200"/>
        <v>#N/A</v>
      </c>
      <c r="Y312" s="1126" t="b">
        <f t="shared" si="201"/>
        <v>0</v>
      </c>
      <c r="Z312" s="43">
        <v>0</v>
      </c>
      <c r="AA312" s="1219" t="e">
        <f t="shared" si="211"/>
        <v>#N/A</v>
      </c>
      <c r="AB312" s="1219" t="e">
        <f t="shared" si="212"/>
        <v>#N/A</v>
      </c>
      <c r="AC312" s="1219" t="e">
        <f t="shared" si="202"/>
        <v>#N/A</v>
      </c>
      <c r="AD312" s="1126" t="e">
        <f t="shared" si="213"/>
        <v>#N/A</v>
      </c>
      <c r="AE312" s="1217" t="e">
        <f t="shared" si="203"/>
        <v>#N/A</v>
      </c>
      <c r="AF312" s="1220" t="e">
        <f t="shared" si="204"/>
        <v>#N/A</v>
      </c>
      <c r="AG312" s="1176" t="e">
        <f t="shared" si="205"/>
        <v>#N/A</v>
      </c>
      <c r="AH312" s="1221" t="e">
        <f t="shared" si="214"/>
        <v>#N/A</v>
      </c>
    </row>
    <row r="313" spans="1:34" ht="15.5">
      <c r="A313" s="1216" t="b">
        <f t="shared" si="193"/>
        <v>1</v>
      </c>
      <c r="B313" s="1217" t="b">
        <f t="shared" si="206"/>
        <v>1</v>
      </c>
      <c r="C313" s="1218" t="str">
        <f t="shared" si="207"/>
        <v>Dólares</v>
      </c>
      <c r="D313" s="48"/>
      <c r="E313" s="836"/>
      <c r="F313" s="50"/>
      <c r="G313" s="50" t="str">
        <f t="shared" si="194"/>
        <v xml:space="preserve"> </v>
      </c>
      <c r="H313" s="45">
        <v>0</v>
      </c>
      <c r="I313" s="49" t="str">
        <f>IFERROR(VLOOKUP(G313,Proveedores!B:C,2,0)," ")</f>
        <v xml:space="preserve"> </v>
      </c>
      <c r="J313" s="838">
        <v>0</v>
      </c>
      <c r="K313" s="1124"/>
      <c r="L313" s="1266">
        <f t="shared" si="195"/>
        <v>0</v>
      </c>
      <c r="M313" s="1267">
        <f t="shared" si="196"/>
        <v>0</v>
      </c>
      <c r="N313" s="1268">
        <f t="shared" si="215"/>
        <v>0</v>
      </c>
      <c r="O313" s="836" t="str">
        <f>IFERROR(VLOOKUP(G313,Proveedores!B:D,3,0)," ")</f>
        <v xml:space="preserve"> </v>
      </c>
      <c r="P313" s="836"/>
      <c r="Q313" s="1127" t="e">
        <f t="shared" si="197"/>
        <v>#N/A</v>
      </c>
      <c r="R313" s="1127" t="b">
        <f t="shared" si="208"/>
        <v>0</v>
      </c>
      <c r="S313" s="1127" t="e">
        <f t="shared" si="198"/>
        <v>#N/A</v>
      </c>
      <c r="T313" s="1127" t="b">
        <f t="shared" si="209"/>
        <v>0</v>
      </c>
      <c r="U313" s="1127" t="e">
        <f t="shared" si="199"/>
        <v>#N/A</v>
      </c>
      <c r="V313" s="1127" t="e">
        <f t="shared" si="210"/>
        <v>#N/A</v>
      </c>
      <c r="W313" s="1127" t="e">
        <f>IF(F313="Offiho",J313,IF(_xlfn.XLOOKUP(F313,Proveedores!A$2:A$50,Proveedores!E$2:E$50,"")="Nacional",(J313/0.5)+(V313*H313),((J313/0.3/0.5)+(V313*H313))))</f>
        <v>#N/A</v>
      </c>
      <c r="X313" s="1127" t="e">
        <f t="shared" si="200"/>
        <v>#N/A</v>
      </c>
      <c r="Y313" s="1126" t="b">
        <f t="shared" si="201"/>
        <v>0</v>
      </c>
      <c r="Z313" s="43">
        <v>0</v>
      </c>
      <c r="AA313" s="1219" t="e">
        <f t="shared" si="211"/>
        <v>#N/A</v>
      </c>
      <c r="AB313" s="1219" t="e">
        <f t="shared" si="212"/>
        <v>#N/A</v>
      </c>
      <c r="AC313" s="1219" t="e">
        <f t="shared" si="202"/>
        <v>#N/A</v>
      </c>
      <c r="AD313" s="1126" t="e">
        <f t="shared" si="213"/>
        <v>#N/A</v>
      </c>
      <c r="AE313" s="1217" t="e">
        <f t="shared" si="203"/>
        <v>#N/A</v>
      </c>
      <c r="AF313" s="1220" t="e">
        <f t="shared" si="204"/>
        <v>#N/A</v>
      </c>
      <c r="AG313" s="1176" t="e">
        <f t="shared" si="205"/>
        <v>#N/A</v>
      </c>
      <c r="AH313" s="1221" t="e">
        <f t="shared" si="214"/>
        <v>#N/A</v>
      </c>
    </row>
    <row r="314" spans="1:34" ht="15.5">
      <c r="A314" s="1216" t="b">
        <f t="shared" si="193"/>
        <v>1</v>
      </c>
      <c r="B314" s="1217" t="b">
        <f t="shared" si="206"/>
        <v>1</v>
      </c>
      <c r="C314" s="1218" t="str">
        <f t="shared" si="207"/>
        <v>Dólares</v>
      </c>
      <c r="D314" s="48"/>
      <c r="E314" s="836"/>
      <c r="F314" s="50"/>
      <c r="G314" s="50" t="str">
        <f t="shared" si="194"/>
        <v xml:space="preserve"> </v>
      </c>
      <c r="H314" s="45">
        <v>0</v>
      </c>
      <c r="I314" s="49" t="str">
        <f>IFERROR(VLOOKUP(G314,Proveedores!B:C,2,0)," ")</f>
        <v xml:space="preserve"> </v>
      </c>
      <c r="J314" s="838">
        <v>0</v>
      </c>
      <c r="K314" s="1124"/>
      <c r="L314" s="1266">
        <f t="shared" si="195"/>
        <v>0</v>
      </c>
      <c r="M314" s="1267">
        <f t="shared" si="196"/>
        <v>0</v>
      </c>
      <c r="N314" s="1268">
        <f t="shared" si="215"/>
        <v>0</v>
      </c>
      <c r="O314" s="836" t="str">
        <f>IFERROR(VLOOKUP(G314,Proveedores!B:D,3,0)," ")</f>
        <v xml:space="preserve"> </v>
      </c>
      <c r="P314" s="836"/>
      <c r="Q314" s="1127" t="e">
        <f t="shared" si="197"/>
        <v>#N/A</v>
      </c>
      <c r="R314" s="1127" t="b">
        <f t="shared" si="208"/>
        <v>0</v>
      </c>
      <c r="S314" s="1127" t="e">
        <f t="shared" si="198"/>
        <v>#N/A</v>
      </c>
      <c r="T314" s="1127" t="b">
        <f t="shared" si="209"/>
        <v>0</v>
      </c>
      <c r="U314" s="1127" t="e">
        <f t="shared" si="199"/>
        <v>#N/A</v>
      </c>
      <c r="V314" s="1127" t="e">
        <f t="shared" si="210"/>
        <v>#N/A</v>
      </c>
      <c r="W314" s="1127" t="e">
        <f>IF(F314="Offiho",J314,IF(_xlfn.XLOOKUP(F314,Proveedores!A$2:A$50,Proveedores!E$2:E$50,"")="Nacional",(J314/0.5)+(V314*H314),((J314/0.3/0.5)+(V314*H314))))</f>
        <v>#N/A</v>
      </c>
      <c r="X314" s="1127" t="e">
        <f t="shared" si="200"/>
        <v>#N/A</v>
      </c>
      <c r="Y314" s="1126" t="b">
        <f t="shared" si="201"/>
        <v>0</v>
      </c>
      <c r="Z314" s="43">
        <v>0</v>
      </c>
      <c r="AA314" s="1219" t="e">
        <f t="shared" si="211"/>
        <v>#N/A</v>
      </c>
      <c r="AB314" s="1219" t="e">
        <f t="shared" si="212"/>
        <v>#N/A</v>
      </c>
      <c r="AC314" s="1219" t="e">
        <f t="shared" si="202"/>
        <v>#N/A</v>
      </c>
      <c r="AD314" s="1126" t="e">
        <f t="shared" si="213"/>
        <v>#N/A</v>
      </c>
      <c r="AE314" s="1217" t="e">
        <f t="shared" si="203"/>
        <v>#N/A</v>
      </c>
      <c r="AF314" s="1220" t="e">
        <f t="shared" si="204"/>
        <v>#N/A</v>
      </c>
      <c r="AG314" s="1176" t="e">
        <f t="shared" si="205"/>
        <v>#N/A</v>
      </c>
      <c r="AH314" s="1221" t="e">
        <f t="shared" si="214"/>
        <v>#N/A</v>
      </c>
    </row>
    <row r="315" spans="1:34" ht="15.5">
      <c r="A315" s="1216" t="b">
        <f t="shared" si="193"/>
        <v>1</v>
      </c>
      <c r="B315" s="1217" t="b">
        <f t="shared" si="206"/>
        <v>1</v>
      </c>
      <c r="C315" s="1218" t="str">
        <f t="shared" si="207"/>
        <v>Dólares</v>
      </c>
      <c r="D315" s="48"/>
      <c r="E315" s="836"/>
      <c r="F315" s="50"/>
      <c r="G315" s="50" t="str">
        <f t="shared" si="194"/>
        <v xml:space="preserve"> </v>
      </c>
      <c r="H315" s="45">
        <v>0</v>
      </c>
      <c r="I315" s="49" t="str">
        <f>IFERROR(VLOOKUP(G315,Proveedores!B:C,2,0)," ")</f>
        <v xml:space="preserve"> </v>
      </c>
      <c r="J315" s="838">
        <v>0</v>
      </c>
      <c r="K315" s="1124"/>
      <c r="L315" s="1266">
        <f t="shared" si="195"/>
        <v>0</v>
      </c>
      <c r="M315" s="1267">
        <f t="shared" si="196"/>
        <v>0</v>
      </c>
      <c r="N315" s="1268">
        <f t="shared" si="215"/>
        <v>0</v>
      </c>
      <c r="O315" s="836" t="str">
        <f>IFERROR(VLOOKUP(G315,Proveedores!B:D,3,0)," ")</f>
        <v xml:space="preserve"> </v>
      </c>
      <c r="P315" s="836"/>
      <c r="Q315" s="1127" t="e">
        <f t="shared" si="197"/>
        <v>#N/A</v>
      </c>
      <c r="R315" s="1127" t="b">
        <f t="shared" si="208"/>
        <v>0</v>
      </c>
      <c r="S315" s="1127" t="e">
        <f t="shared" si="198"/>
        <v>#N/A</v>
      </c>
      <c r="T315" s="1127" t="b">
        <f t="shared" si="209"/>
        <v>0</v>
      </c>
      <c r="U315" s="1127" t="e">
        <f t="shared" si="199"/>
        <v>#N/A</v>
      </c>
      <c r="V315" s="1127" t="e">
        <f t="shared" si="210"/>
        <v>#N/A</v>
      </c>
      <c r="W315" s="1127" t="e">
        <f>IF(F315="Offiho",J315,IF(_xlfn.XLOOKUP(F315,Proveedores!A$2:A$50,Proveedores!E$2:E$50,"")="Nacional",(J315/0.5)+(V315*H315),((J315/0.3/0.5)+(V315*H315))))</f>
        <v>#N/A</v>
      </c>
      <c r="X315" s="1127" t="e">
        <f t="shared" si="200"/>
        <v>#N/A</v>
      </c>
      <c r="Y315" s="1126" t="b">
        <f t="shared" si="201"/>
        <v>0</v>
      </c>
      <c r="Z315" s="43">
        <v>0</v>
      </c>
      <c r="AA315" s="1219" t="e">
        <f t="shared" si="211"/>
        <v>#N/A</v>
      </c>
      <c r="AB315" s="1219" t="e">
        <f t="shared" si="212"/>
        <v>#N/A</v>
      </c>
      <c r="AC315" s="1219" t="e">
        <f t="shared" si="202"/>
        <v>#N/A</v>
      </c>
      <c r="AD315" s="1126" t="e">
        <f t="shared" si="213"/>
        <v>#N/A</v>
      </c>
      <c r="AE315" s="1217" t="e">
        <f t="shared" si="203"/>
        <v>#N/A</v>
      </c>
      <c r="AF315" s="1220" t="e">
        <f t="shared" si="204"/>
        <v>#N/A</v>
      </c>
      <c r="AG315" s="1176" t="e">
        <f t="shared" si="205"/>
        <v>#N/A</v>
      </c>
      <c r="AH315" s="1221" t="e">
        <f t="shared" si="214"/>
        <v>#N/A</v>
      </c>
    </row>
    <row r="316" spans="1:34" ht="15.5">
      <c r="A316" s="1216" t="b">
        <f t="shared" si="193"/>
        <v>1</v>
      </c>
      <c r="B316" s="1217" t="b">
        <f t="shared" si="206"/>
        <v>1</v>
      </c>
      <c r="C316" s="1218" t="str">
        <f t="shared" si="207"/>
        <v>Dólares</v>
      </c>
      <c r="D316" s="47"/>
      <c r="E316" s="836"/>
      <c r="F316" s="50"/>
      <c r="G316" s="50" t="str">
        <f t="shared" si="194"/>
        <v xml:space="preserve"> </v>
      </c>
      <c r="H316" s="45">
        <v>0</v>
      </c>
      <c r="I316" s="49" t="str">
        <f>IFERROR(VLOOKUP(G316,Proveedores!B:C,2,0)," ")</f>
        <v xml:space="preserve"> </v>
      </c>
      <c r="J316" s="838">
        <v>0</v>
      </c>
      <c r="K316" s="1124"/>
      <c r="L316" s="1266">
        <f t="shared" si="195"/>
        <v>0</v>
      </c>
      <c r="M316" s="1267">
        <f t="shared" si="196"/>
        <v>0</v>
      </c>
      <c r="N316" s="1268">
        <f t="shared" si="215"/>
        <v>0</v>
      </c>
      <c r="O316" s="836" t="str">
        <f>IFERROR(VLOOKUP(G316,Proveedores!B:D,3,0)," ")</f>
        <v xml:space="preserve"> </v>
      </c>
      <c r="P316" s="836"/>
      <c r="Q316" s="1127" t="e">
        <f t="shared" si="197"/>
        <v>#N/A</v>
      </c>
      <c r="R316" s="1127" t="b">
        <f t="shared" si="208"/>
        <v>0</v>
      </c>
      <c r="S316" s="1127" t="e">
        <f t="shared" si="198"/>
        <v>#N/A</v>
      </c>
      <c r="T316" s="1127" t="b">
        <f t="shared" si="209"/>
        <v>0</v>
      </c>
      <c r="U316" s="1127" t="e">
        <f t="shared" si="199"/>
        <v>#N/A</v>
      </c>
      <c r="V316" s="1127" t="e">
        <f t="shared" si="210"/>
        <v>#N/A</v>
      </c>
      <c r="W316" s="1127" t="e">
        <f>IF(F316="Offiho",J316,IF(_xlfn.XLOOKUP(F316,Proveedores!A$2:A$50,Proveedores!E$2:E$50,"")="Nacional",(J316/0.5)+(V316*H316),((J316/0.3/0.5)+(V316*H316))))</f>
        <v>#N/A</v>
      </c>
      <c r="X316" s="1127" t="e">
        <f t="shared" si="200"/>
        <v>#N/A</v>
      </c>
      <c r="Y316" s="1126" t="b">
        <f t="shared" si="201"/>
        <v>0</v>
      </c>
      <c r="Z316" s="43">
        <v>0</v>
      </c>
      <c r="AA316" s="1219" t="e">
        <f t="shared" si="211"/>
        <v>#N/A</v>
      </c>
      <c r="AB316" s="1219" t="e">
        <f t="shared" si="212"/>
        <v>#N/A</v>
      </c>
      <c r="AC316" s="1219" t="e">
        <f t="shared" si="202"/>
        <v>#N/A</v>
      </c>
      <c r="AD316" s="1126" t="e">
        <f t="shared" si="213"/>
        <v>#N/A</v>
      </c>
      <c r="AE316" s="1217" t="e">
        <f t="shared" si="203"/>
        <v>#N/A</v>
      </c>
      <c r="AF316" s="1220" t="e">
        <f t="shared" si="204"/>
        <v>#N/A</v>
      </c>
      <c r="AG316" s="1176" t="e">
        <f t="shared" si="205"/>
        <v>#N/A</v>
      </c>
      <c r="AH316" s="1221" t="e">
        <f t="shared" si="214"/>
        <v>#N/A</v>
      </c>
    </row>
    <row r="317" spans="1:34" ht="15.5">
      <c r="A317" s="1216" t="b">
        <f t="shared" si="193"/>
        <v>1</v>
      </c>
      <c r="B317" s="1217" t="b">
        <f t="shared" si="206"/>
        <v>1</v>
      </c>
      <c r="C317" s="1218" t="str">
        <f t="shared" si="207"/>
        <v>Dólares</v>
      </c>
      <c r="D317" s="47"/>
      <c r="E317" s="836"/>
      <c r="F317" s="50"/>
      <c r="G317" s="50" t="str">
        <f t="shared" si="194"/>
        <v xml:space="preserve"> </v>
      </c>
      <c r="H317" s="45">
        <v>0</v>
      </c>
      <c r="I317" s="49" t="str">
        <f>IFERROR(VLOOKUP(G317,Proveedores!B:C,2,0)," ")</f>
        <v xml:space="preserve"> </v>
      </c>
      <c r="J317" s="838">
        <v>0</v>
      </c>
      <c r="K317" s="1124"/>
      <c r="L317" s="1266">
        <f t="shared" si="195"/>
        <v>0</v>
      </c>
      <c r="M317" s="1267">
        <f t="shared" si="196"/>
        <v>0</v>
      </c>
      <c r="N317" s="1268">
        <f t="shared" si="215"/>
        <v>0</v>
      </c>
      <c r="O317" s="836" t="str">
        <f>IFERROR(VLOOKUP(G317,Proveedores!B:D,3,0)," ")</f>
        <v xml:space="preserve"> </v>
      </c>
      <c r="P317" s="836"/>
      <c r="Q317" s="1127" t="e">
        <f t="shared" si="197"/>
        <v>#N/A</v>
      </c>
      <c r="R317" s="1127" t="b">
        <f t="shared" si="208"/>
        <v>0</v>
      </c>
      <c r="S317" s="1127" t="e">
        <f t="shared" si="198"/>
        <v>#N/A</v>
      </c>
      <c r="T317" s="1127" t="b">
        <f t="shared" si="209"/>
        <v>0</v>
      </c>
      <c r="U317" s="1127" t="e">
        <f t="shared" si="199"/>
        <v>#N/A</v>
      </c>
      <c r="V317" s="1127" t="e">
        <f t="shared" si="210"/>
        <v>#N/A</v>
      </c>
      <c r="W317" s="1127" t="e">
        <f>IF(F317="Offiho",J317,IF(_xlfn.XLOOKUP(F317,Proveedores!A$2:A$50,Proveedores!E$2:E$50,"")="Nacional",(J317/0.5)+(V317*H317),((J317/0.3/0.5)+(V317*H317))))</f>
        <v>#N/A</v>
      </c>
      <c r="X317" s="1127" t="e">
        <f t="shared" si="200"/>
        <v>#N/A</v>
      </c>
      <c r="Y317" s="1126" t="b">
        <f t="shared" si="201"/>
        <v>0</v>
      </c>
      <c r="Z317" s="43">
        <v>0</v>
      </c>
      <c r="AA317" s="1219" t="e">
        <f t="shared" si="211"/>
        <v>#N/A</v>
      </c>
      <c r="AB317" s="1219" t="e">
        <f t="shared" si="212"/>
        <v>#N/A</v>
      </c>
      <c r="AC317" s="1219" t="e">
        <f t="shared" si="202"/>
        <v>#N/A</v>
      </c>
      <c r="AD317" s="1126" t="e">
        <f t="shared" si="213"/>
        <v>#N/A</v>
      </c>
      <c r="AE317" s="1217" t="e">
        <f t="shared" si="203"/>
        <v>#N/A</v>
      </c>
      <c r="AF317" s="1220" t="e">
        <f t="shared" si="204"/>
        <v>#N/A</v>
      </c>
      <c r="AG317" s="1176" t="e">
        <f t="shared" si="205"/>
        <v>#N/A</v>
      </c>
      <c r="AH317" s="1221" t="e">
        <f t="shared" si="214"/>
        <v>#N/A</v>
      </c>
    </row>
    <row r="318" spans="1:34" ht="15.5">
      <c r="A318" s="1216" t="b">
        <f t="shared" si="193"/>
        <v>1</v>
      </c>
      <c r="B318" s="1217" t="b">
        <f t="shared" si="206"/>
        <v>1</v>
      </c>
      <c r="C318" s="1218" t="str">
        <f t="shared" si="207"/>
        <v>Dólares</v>
      </c>
      <c r="D318" s="47"/>
      <c r="E318" s="836"/>
      <c r="F318" s="50"/>
      <c r="G318" s="50" t="str">
        <f t="shared" si="194"/>
        <v xml:space="preserve"> </v>
      </c>
      <c r="H318" s="45">
        <v>0</v>
      </c>
      <c r="I318" s="49" t="str">
        <f>IFERROR(VLOOKUP(G318,Proveedores!B:C,2,0)," ")</f>
        <v xml:space="preserve"> </v>
      </c>
      <c r="J318" s="838">
        <v>0</v>
      </c>
      <c r="K318" s="1124"/>
      <c r="L318" s="1266">
        <f t="shared" si="195"/>
        <v>0</v>
      </c>
      <c r="M318" s="1267">
        <f t="shared" si="196"/>
        <v>0</v>
      </c>
      <c r="N318" s="1268">
        <f t="shared" si="215"/>
        <v>0</v>
      </c>
      <c r="O318" s="836" t="str">
        <f>IFERROR(VLOOKUP(G318,Proveedores!B:D,3,0)," ")</f>
        <v xml:space="preserve"> </v>
      </c>
      <c r="P318" s="836"/>
      <c r="Q318" s="1127" t="e">
        <f t="shared" si="197"/>
        <v>#N/A</v>
      </c>
      <c r="R318" s="1127" t="b">
        <f t="shared" si="208"/>
        <v>0</v>
      </c>
      <c r="S318" s="1127" t="e">
        <f t="shared" si="198"/>
        <v>#N/A</v>
      </c>
      <c r="T318" s="1127" t="b">
        <f t="shared" si="209"/>
        <v>0</v>
      </c>
      <c r="U318" s="1127" t="e">
        <f t="shared" si="199"/>
        <v>#N/A</v>
      </c>
      <c r="V318" s="1127" t="e">
        <f t="shared" si="210"/>
        <v>#N/A</v>
      </c>
      <c r="W318" s="1127" t="e">
        <f>IF(F318="Offiho",J318,IF(_xlfn.XLOOKUP(F318,Proveedores!A$2:A$50,Proveedores!E$2:E$50,"")="Nacional",(J318/0.5)+(V318*H318),((J318/0.3/0.5)+(V318*H318))))</f>
        <v>#N/A</v>
      </c>
      <c r="X318" s="1127" t="e">
        <f t="shared" si="200"/>
        <v>#N/A</v>
      </c>
      <c r="Y318" s="1126" t="b">
        <f t="shared" si="201"/>
        <v>0</v>
      </c>
      <c r="Z318" s="43">
        <v>0</v>
      </c>
      <c r="AA318" s="1219" t="e">
        <f t="shared" si="211"/>
        <v>#N/A</v>
      </c>
      <c r="AB318" s="1219" t="e">
        <f t="shared" si="212"/>
        <v>#N/A</v>
      </c>
      <c r="AC318" s="1219" t="e">
        <f t="shared" si="202"/>
        <v>#N/A</v>
      </c>
      <c r="AD318" s="1126" t="e">
        <f t="shared" si="213"/>
        <v>#N/A</v>
      </c>
      <c r="AE318" s="1217" t="e">
        <f t="shared" si="203"/>
        <v>#N/A</v>
      </c>
      <c r="AF318" s="1220" t="e">
        <f t="shared" si="204"/>
        <v>#N/A</v>
      </c>
      <c r="AG318" s="1176" t="e">
        <f t="shared" si="205"/>
        <v>#N/A</v>
      </c>
      <c r="AH318" s="1221" t="e">
        <f t="shared" si="214"/>
        <v>#N/A</v>
      </c>
    </row>
    <row r="319" spans="1:34" ht="15.5">
      <c r="A319" s="1216" t="b">
        <f t="shared" si="193"/>
        <v>1</v>
      </c>
      <c r="B319" s="1217" t="b">
        <f t="shared" si="206"/>
        <v>1</v>
      </c>
      <c r="C319" s="1218" t="str">
        <f t="shared" si="207"/>
        <v>Dólares</v>
      </c>
      <c r="D319" s="48"/>
      <c r="E319" s="836"/>
      <c r="F319" s="50"/>
      <c r="G319" s="50" t="str">
        <f t="shared" si="194"/>
        <v xml:space="preserve"> </v>
      </c>
      <c r="H319" s="45">
        <v>0</v>
      </c>
      <c r="I319" s="49" t="str">
        <f>IFERROR(VLOOKUP(G319,Proveedores!B:C,2,0)," ")</f>
        <v xml:space="preserve"> </v>
      </c>
      <c r="J319" s="838">
        <v>0</v>
      </c>
      <c r="K319" s="1124"/>
      <c r="L319" s="1266">
        <f t="shared" si="195"/>
        <v>0</v>
      </c>
      <c r="M319" s="1267">
        <f t="shared" si="196"/>
        <v>0</v>
      </c>
      <c r="N319" s="1268">
        <f t="shared" si="215"/>
        <v>0</v>
      </c>
      <c r="O319" s="836" t="str">
        <f>IFERROR(VLOOKUP(G319,Proveedores!B:D,3,0)," ")</f>
        <v xml:space="preserve"> </v>
      </c>
      <c r="P319" s="836"/>
      <c r="Q319" s="1127" t="e">
        <f t="shared" si="197"/>
        <v>#N/A</v>
      </c>
      <c r="R319" s="1127" t="b">
        <f t="shared" si="208"/>
        <v>0</v>
      </c>
      <c r="S319" s="1127" t="e">
        <f t="shared" si="198"/>
        <v>#N/A</v>
      </c>
      <c r="T319" s="1127" t="b">
        <f t="shared" si="209"/>
        <v>0</v>
      </c>
      <c r="U319" s="1127" t="e">
        <f t="shared" si="199"/>
        <v>#N/A</v>
      </c>
      <c r="V319" s="1127" t="e">
        <f t="shared" si="210"/>
        <v>#N/A</v>
      </c>
      <c r="W319" s="1127" t="e">
        <f>IF(F319="Offiho",J319,IF(_xlfn.XLOOKUP(F319,Proveedores!A$2:A$50,Proveedores!E$2:E$50,"")="Nacional",(J319/0.5)+(V319*H319),((J319/0.3/0.5)+(V319*H319))))</f>
        <v>#N/A</v>
      </c>
      <c r="X319" s="1127" t="e">
        <f t="shared" si="200"/>
        <v>#N/A</v>
      </c>
      <c r="Y319" s="1126" t="b">
        <f t="shared" si="201"/>
        <v>0</v>
      </c>
      <c r="Z319" s="43">
        <v>0</v>
      </c>
      <c r="AA319" s="1219" t="e">
        <f t="shared" si="211"/>
        <v>#N/A</v>
      </c>
      <c r="AB319" s="1219" t="e">
        <f t="shared" si="212"/>
        <v>#N/A</v>
      </c>
      <c r="AC319" s="1219" t="e">
        <f t="shared" si="202"/>
        <v>#N/A</v>
      </c>
      <c r="AD319" s="1126" t="e">
        <f t="shared" si="213"/>
        <v>#N/A</v>
      </c>
      <c r="AE319" s="1217" t="e">
        <f t="shared" si="203"/>
        <v>#N/A</v>
      </c>
      <c r="AF319" s="1220" t="e">
        <f t="shared" si="204"/>
        <v>#N/A</v>
      </c>
      <c r="AG319" s="1176" t="e">
        <f t="shared" si="205"/>
        <v>#N/A</v>
      </c>
      <c r="AH319" s="1221" t="e">
        <f t="shared" si="214"/>
        <v>#N/A</v>
      </c>
    </row>
    <row r="320" spans="1:34" ht="15.5">
      <c r="A320" s="1216" t="b">
        <f t="shared" si="193"/>
        <v>1</v>
      </c>
      <c r="B320" s="1217" t="b">
        <f t="shared" si="206"/>
        <v>1</v>
      </c>
      <c r="C320" s="1218" t="str">
        <f t="shared" si="207"/>
        <v>Dólares</v>
      </c>
      <c r="D320" s="48"/>
      <c r="E320" s="836"/>
      <c r="F320" s="50"/>
      <c r="G320" s="50" t="str">
        <f t="shared" si="194"/>
        <v xml:space="preserve"> </v>
      </c>
      <c r="H320" s="45">
        <v>0</v>
      </c>
      <c r="I320" s="49" t="str">
        <f>IFERROR(VLOOKUP(G320,Proveedores!B:C,2,0)," ")</f>
        <v xml:space="preserve"> </v>
      </c>
      <c r="J320" s="838">
        <v>0</v>
      </c>
      <c r="K320" s="1124"/>
      <c r="L320" s="1266">
        <f t="shared" si="195"/>
        <v>0</v>
      </c>
      <c r="M320" s="1267">
        <f t="shared" si="196"/>
        <v>0</v>
      </c>
      <c r="N320" s="1268">
        <f t="shared" si="215"/>
        <v>0</v>
      </c>
      <c r="O320" s="836" t="str">
        <f>IFERROR(VLOOKUP(G320,Proveedores!B:D,3,0)," ")</f>
        <v xml:space="preserve"> </v>
      </c>
      <c r="P320" s="836"/>
      <c r="Q320" s="1127" t="e">
        <f t="shared" si="197"/>
        <v>#N/A</v>
      </c>
      <c r="R320" s="1127" t="b">
        <f t="shared" si="208"/>
        <v>0</v>
      </c>
      <c r="S320" s="1127" t="e">
        <f t="shared" si="198"/>
        <v>#N/A</v>
      </c>
      <c r="T320" s="1127" t="b">
        <f t="shared" si="209"/>
        <v>0</v>
      </c>
      <c r="U320" s="1127" t="e">
        <f t="shared" si="199"/>
        <v>#N/A</v>
      </c>
      <c r="V320" s="1127" t="e">
        <f t="shared" si="210"/>
        <v>#N/A</v>
      </c>
      <c r="W320" s="1127" t="e">
        <f>IF(F320="Offiho",J320,IF(_xlfn.XLOOKUP(F320,Proveedores!A$2:A$50,Proveedores!E$2:E$50,"")="Nacional",(J320/0.5)+(V320*H320),((J320/0.3/0.5)+(V320*H320))))</f>
        <v>#N/A</v>
      </c>
      <c r="X320" s="1127" t="e">
        <f t="shared" si="200"/>
        <v>#N/A</v>
      </c>
      <c r="Y320" s="1126" t="b">
        <f t="shared" si="201"/>
        <v>0</v>
      </c>
      <c r="Z320" s="43">
        <v>0</v>
      </c>
      <c r="AA320" s="1219" t="e">
        <f t="shared" si="211"/>
        <v>#N/A</v>
      </c>
      <c r="AB320" s="1219" t="e">
        <f t="shared" si="212"/>
        <v>#N/A</v>
      </c>
      <c r="AC320" s="1219" t="e">
        <f t="shared" si="202"/>
        <v>#N/A</v>
      </c>
      <c r="AD320" s="1126" t="e">
        <f t="shared" si="213"/>
        <v>#N/A</v>
      </c>
      <c r="AE320" s="1217" t="e">
        <f t="shared" si="203"/>
        <v>#N/A</v>
      </c>
      <c r="AF320" s="1220" t="e">
        <f t="shared" si="204"/>
        <v>#N/A</v>
      </c>
      <c r="AG320" s="1176" t="e">
        <f t="shared" si="205"/>
        <v>#N/A</v>
      </c>
      <c r="AH320" s="1221" t="e">
        <f t="shared" si="214"/>
        <v>#N/A</v>
      </c>
    </row>
    <row r="321" spans="1:34" ht="15.5">
      <c r="A321" s="1216" t="b">
        <f t="shared" si="193"/>
        <v>1</v>
      </c>
      <c r="B321" s="1217" t="b">
        <f t="shared" si="206"/>
        <v>1</v>
      </c>
      <c r="C321" s="1218" t="str">
        <f t="shared" si="207"/>
        <v>Dólares</v>
      </c>
      <c r="D321" s="47"/>
      <c r="E321" s="836"/>
      <c r="F321" s="50"/>
      <c r="G321" s="50" t="str">
        <f t="shared" si="194"/>
        <v xml:space="preserve"> </v>
      </c>
      <c r="H321" s="45">
        <v>0</v>
      </c>
      <c r="I321" s="49" t="str">
        <f>IFERROR(VLOOKUP(G321,Proveedores!B:C,2,0)," ")</f>
        <v xml:space="preserve"> </v>
      </c>
      <c r="J321" s="838">
        <v>0</v>
      </c>
      <c r="K321" s="1124"/>
      <c r="L321" s="1266">
        <f t="shared" si="195"/>
        <v>0</v>
      </c>
      <c r="M321" s="1267">
        <f t="shared" si="196"/>
        <v>0</v>
      </c>
      <c r="N321" s="1268">
        <f t="shared" si="215"/>
        <v>0</v>
      </c>
      <c r="O321" s="836" t="str">
        <f>IFERROR(VLOOKUP(G321,Proveedores!B:D,3,0)," ")</f>
        <v xml:space="preserve"> </v>
      </c>
      <c r="P321" s="836"/>
      <c r="Q321" s="1127" t="e">
        <f t="shared" si="197"/>
        <v>#N/A</v>
      </c>
      <c r="R321" s="1127" t="b">
        <f t="shared" si="208"/>
        <v>0</v>
      </c>
      <c r="S321" s="1127" t="e">
        <f t="shared" si="198"/>
        <v>#N/A</v>
      </c>
      <c r="T321" s="1127" t="b">
        <f t="shared" si="209"/>
        <v>0</v>
      </c>
      <c r="U321" s="1127" t="e">
        <f t="shared" si="199"/>
        <v>#N/A</v>
      </c>
      <c r="V321" s="1127" t="e">
        <f t="shared" si="210"/>
        <v>#N/A</v>
      </c>
      <c r="W321" s="1127" t="e">
        <f>IF(F321="Offiho",J321,IF(_xlfn.XLOOKUP(F321,Proveedores!A$2:A$50,Proveedores!E$2:E$50,"")="Nacional",(J321/0.5)+(V321*H321),((J321/0.3/0.5)+(V321*H321))))</f>
        <v>#N/A</v>
      </c>
      <c r="X321" s="1127" t="e">
        <f t="shared" si="200"/>
        <v>#N/A</v>
      </c>
      <c r="Y321" s="1126" t="b">
        <f t="shared" si="201"/>
        <v>0</v>
      </c>
      <c r="Z321" s="43">
        <v>0</v>
      </c>
      <c r="AA321" s="1219" t="e">
        <f t="shared" si="211"/>
        <v>#N/A</v>
      </c>
      <c r="AB321" s="1219" t="e">
        <f t="shared" si="212"/>
        <v>#N/A</v>
      </c>
      <c r="AC321" s="1219" t="e">
        <f t="shared" si="202"/>
        <v>#N/A</v>
      </c>
      <c r="AD321" s="1126" t="e">
        <f t="shared" si="213"/>
        <v>#N/A</v>
      </c>
      <c r="AE321" s="1217" t="e">
        <f t="shared" si="203"/>
        <v>#N/A</v>
      </c>
      <c r="AF321" s="1220" t="e">
        <f t="shared" si="204"/>
        <v>#N/A</v>
      </c>
      <c r="AG321" s="1176" t="e">
        <f t="shared" si="205"/>
        <v>#N/A</v>
      </c>
      <c r="AH321" s="1221" t="e">
        <f t="shared" si="214"/>
        <v>#N/A</v>
      </c>
    </row>
    <row r="322" spans="1:34" ht="15.5">
      <c r="A322" s="1216" t="b">
        <f t="shared" si="193"/>
        <v>1</v>
      </c>
      <c r="B322" s="1217" t="b">
        <f t="shared" si="206"/>
        <v>1</v>
      </c>
      <c r="C322" s="1218" t="str">
        <f t="shared" si="207"/>
        <v>Dólares</v>
      </c>
      <c r="D322" s="47"/>
      <c r="E322" s="836"/>
      <c r="F322" s="50"/>
      <c r="G322" s="50" t="str">
        <f t="shared" si="194"/>
        <v xml:space="preserve"> </v>
      </c>
      <c r="H322" s="45">
        <v>0</v>
      </c>
      <c r="I322" s="49" t="str">
        <f>IFERROR(VLOOKUP(G322,Proveedores!B:C,2,0)," ")</f>
        <v xml:space="preserve"> </v>
      </c>
      <c r="J322" s="838">
        <v>0</v>
      </c>
      <c r="K322" s="1124"/>
      <c r="L322" s="1266">
        <f t="shared" si="195"/>
        <v>0</v>
      </c>
      <c r="M322" s="1267">
        <f t="shared" si="196"/>
        <v>0</v>
      </c>
      <c r="N322" s="1268">
        <f t="shared" si="215"/>
        <v>0</v>
      </c>
      <c r="O322" s="836" t="str">
        <f>IFERROR(VLOOKUP(G322,Proveedores!B:D,3,0)," ")</f>
        <v xml:space="preserve"> </v>
      </c>
      <c r="P322" s="836"/>
      <c r="Q322" s="1127" t="e">
        <f t="shared" si="197"/>
        <v>#N/A</v>
      </c>
      <c r="R322" s="1127" t="b">
        <f t="shared" si="208"/>
        <v>0</v>
      </c>
      <c r="S322" s="1127" t="e">
        <f t="shared" si="198"/>
        <v>#N/A</v>
      </c>
      <c r="T322" s="1127" t="b">
        <f t="shared" si="209"/>
        <v>0</v>
      </c>
      <c r="U322" s="1127" t="e">
        <f t="shared" si="199"/>
        <v>#N/A</v>
      </c>
      <c r="V322" s="1127" t="e">
        <f t="shared" si="210"/>
        <v>#N/A</v>
      </c>
      <c r="W322" s="1127" t="e">
        <f>IF(F322="Offiho",J322,IF(_xlfn.XLOOKUP(F322,Proveedores!A$2:A$50,Proveedores!E$2:E$50,"")="Nacional",(J322/0.5)+(V322*H322),((J322/0.3/0.5)+(V322*H322))))</f>
        <v>#N/A</v>
      </c>
      <c r="X322" s="1127" t="e">
        <f t="shared" si="200"/>
        <v>#N/A</v>
      </c>
      <c r="Y322" s="1126" t="b">
        <f t="shared" si="201"/>
        <v>0</v>
      </c>
      <c r="Z322" s="43">
        <v>0</v>
      </c>
      <c r="AA322" s="1219" t="e">
        <f t="shared" si="211"/>
        <v>#N/A</v>
      </c>
      <c r="AB322" s="1219" t="e">
        <f t="shared" si="212"/>
        <v>#N/A</v>
      </c>
      <c r="AC322" s="1219" t="e">
        <f t="shared" si="202"/>
        <v>#N/A</v>
      </c>
      <c r="AD322" s="1126" t="e">
        <f t="shared" si="213"/>
        <v>#N/A</v>
      </c>
      <c r="AE322" s="1217" t="e">
        <f t="shared" si="203"/>
        <v>#N/A</v>
      </c>
      <c r="AF322" s="1220" t="e">
        <f t="shared" si="204"/>
        <v>#N/A</v>
      </c>
      <c r="AG322" s="1176" t="e">
        <f t="shared" si="205"/>
        <v>#N/A</v>
      </c>
      <c r="AH322" s="1221" t="e">
        <f t="shared" si="214"/>
        <v>#N/A</v>
      </c>
    </row>
    <row r="323" spans="1:34" ht="15.5">
      <c r="A323" s="1216" t="b">
        <f t="shared" si="193"/>
        <v>1</v>
      </c>
      <c r="B323" s="1217" t="b">
        <f t="shared" si="206"/>
        <v>1</v>
      </c>
      <c r="C323" s="1218" t="str">
        <f t="shared" si="207"/>
        <v>Dólares</v>
      </c>
      <c r="D323" s="47"/>
      <c r="E323" s="836"/>
      <c r="F323" s="50"/>
      <c r="G323" s="50" t="str">
        <f t="shared" si="194"/>
        <v xml:space="preserve"> </v>
      </c>
      <c r="H323" s="45">
        <v>0</v>
      </c>
      <c r="I323" s="49" t="str">
        <f>IFERROR(VLOOKUP(G323,Proveedores!B:C,2,0)," ")</f>
        <v xml:space="preserve"> </v>
      </c>
      <c r="J323" s="838">
        <v>0</v>
      </c>
      <c r="K323" s="1124"/>
      <c r="L323" s="1266">
        <f t="shared" si="195"/>
        <v>0</v>
      </c>
      <c r="M323" s="1267">
        <f t="shared" si="196"/>
        <v>0</v>
      </c>
      <c r="N323" s="1268">
        <f t="shared" si="215"/>
        <v>0</v>
      </c>
      <c r="O323" s="836" t="str">
        <f>IFERROR(VLOOKUP(G323,Proveedores!B:D,3,0)," ")</f>
        <v xml:space="preserve"> </v>
      </c>
      <c r="P323" s="836"/>
      <c r="Q323" s="1127" t="e">
        <f t="shared" si="197"/>
        <v>#N/A</v>
      </c>
      <c r="R323" s="1127" t="b">
        <f t="shared" si="208"/>
        <v>0</v>
      </c>
      <c r="S323" s="1127" t="e">
        <f t="shared" si="198"/>
        <v>#N/A</v>
      </c>
      <c r="T323" s="1127" t="b">
        <f t="shared" si="209"/>
        <v>0</v>
      </c>
      <c r="U323" s="1127" t="e">
        <f t="shared" si="199"/>
        <v>#N/A</v>
      </c>
      <c r="V323" s="1127" t="e">
        <f t="shared" si="210"/>
        <v>#N/A</v>
      </c>
      <c r="W323" s="1127" t="e">
        <f>IF(F323="Offiho",J323,IF(_xlfn.XLOOKUP(F323,Proveedores!A$2:A$50,Proveedores!E$2:E$50,"")="Nacional",(J323/0.5)+(V323*H323),((J323/0.3/0.5)+(V323*H323))))</f>
        <v>#N/A</v>
      </c>
      <c r="X323" s="1127" t="e">
        <f t="shared" si="200"/>
        <v>#N/A</v>
      </c>
      <c r="Y323" s="1126" t="b">
        <f t="shared" si="201"/>
        <v>0</v>
      </c>
      <c r="Z323" s="43">
        <v>0</v>
      </c>
      <c r="AA323" s="1219" t="e">
        <f t="shared" si="211"/>
        <v>#N/A</v>
      </c>
      <c r="AB323" s="1219" t="e">
        <f t="shared" si="212"/>
        <v>#N/A</v>
      </c>
      <c r="AC323" s="1219" t="e">
        <f t="shared" si="202"/>
        <v>#N/A</v>
      </c>
      <c r="AD323" s="1126" t="e">
        <f t="shared" si="213"/>
        <v>#N/A</v>
      </c>
      <c r="AE323" s="1217" t="e">
        <f t="shared" si="203"/>
        <v>#N/A</v>
      </c>
      <c r="AF323" s="1220" t="e">
        <f t="shared" si="204"/>
        <v>#N/A</v>
      </c>
      <c r="AG323" s="1176" t="e">
        <f t="shared" si="205"/>
        <v>#N/A</v>
      </c>
      <c r="AH323" s="1221" t="e">
        <f t="shared" si="214"/>
        <v>#N/A</v>
      </c>
    </row>
    <row r="324" spans="1:34" ht="15.5">
      <c r="A324" s="1216" t="b">
        <f t="shared" si="193"/>
        <v>1</v>
      </c>
      <c r="B324" s="1217" t="b">
        <f t="shared" si="206"/>
        <v>1</v>
      </c>
      <c r="C324" s="1218" t="str">
        <f t="shared" si="207"/>
        <v>Dólares</v>
      </c>
      <c r="D324" s="47"/>
      <c r="E324" s="836"/>
      <c r="F324" s="50"/>
      <c r="G324" s="50" t="str">
        <f t="shared" si="194"/>
        <v xml:space="preserve"> </v>
      </c>
      <c r="H324" s="45">
        <v>0</v>
      </c>
      <c r="I324" s="49" t="str">
        <f>IFERROR(VLOOKUP(G324,Proveedores!B:C,2,0)," ")</f>
        <v xml:space="preserve"> </v>
      </c>
      <c r="J324" s="838">
        <v>0</v>
      </c>
      <c r="K324" s="1124"/>
      <c r="L324" s="1266">
        <f t="shared" si="195"/>
        <v>0</v>
      </c>
      <c r="M324" s="1267">
        <f t="shared" si="196"/>
        <v>0</v>
      </c>
      <c r="N324" s="1268">
        <f t="shared" si="215"/>
        <v>0</v>
      </c>
      <c r="O324" s="836" t="str">
        <f>IFERROR(VLOOKUP(G324,Proveedores!B:D,3,0)," ")</f>
        <v xml:space="preserve"> </v>
      </c>
      <c r="P324" s="836"/>
      <c r="Q324" s="1127" t="e">
        <f t="shared" si="197"/>
        <v>#N/A</v>
      </c>
      <c r="R324" s="1127" t="b">
        <f t="shared" si="208"/>
        <v>0</v>
      </c>
      <c r="S324" s="1127" t="e">
        <f t="shared" si="198"/>
        <v>#N/A</v>
      </c>
      <c r="T324" s="1127" t="b">
        <f t="shared" si="209"/>
        <v>0</v>
      </c>
      <c r="U324" s="1127" t="e">
        <f t="shared" si="199"/>
        <v>#N/A</v>
      </c>
      <c r="V324" s="1127" t="e">
        <f t="shared" si="210"/>
        <v>#N/A</v>
      </c>
      <c r="W324" s="1127" t="e">
        <f>IF(F324="Offiho",J324,IF(_xlfn.XLOOKUP(F324,Proveedores!A$2:A$50,Proveedores!E$2:E$50,"")="Nacional",(J324/0.5)+(V324*H324),((J324/0.3/0.5)+(V324*H324))))</f>
        <v>#N/A</v>
      </c>
      <c r="X324" s="1127" t="e">
        <f t="shared" si="200"/>
        <v>#N/A</v>
      </c>
      <c r="Y324" s="1126" t="b">
        <f t="shared" si="201"/>
        <v>0</v>
      </c>
      <c r="Z324" s="43">
        <v>0</v>
      </c>
      <c r="AA324" s="1219" t="e">
        <f t="shared" si="211"/>
        <v>#N/A</v>
      </c>
      <c r="AB324" s="1219" t="e">
        <f t="shared" si="212"/>
        <v>#N/A</v>
      </c>
      <c r="AC324" s="1219" t="e">
        <f t="shared" si="202"/>
        <v>#N/A</v>
      </c>
      <c r="AD324" s="1126" t="e">
        <f t="shared" si="213"/>
        <v>#N/A</v>
      </c>
      <c r="AE324" s="1217" t="e">
        <f t="shared" si="203"/>
        <v>#N/A</v>
      </c>
      <c r="AF324" s="1220" t="e">
        <f t="shared" si="204"/>
        <v>#N/A</v>
      </c>
      <c r="AG324" s="1176" t="e">
        <f t="shared" si="205"/>
        <v>#N/A</v>
      </c>
      <c r="AH324" s="1221" t="e">
        <f t="shared" si="214"/>
        <v>#N/A</v>
      </c>
    </row>
    <row r="325" spans="1:34" ht="15.5">
      <c r="A325" s="1216" t="b">
        <f t="shared" si="193"/>
        <v>1</v>
      </c>
      <c r="B325" s="1217" t="b">
        <f t="shared" si="206"/>
        <v>1</v>
      </c>
      <c r="C325" s="1218" t="str">
        <f t="shared" si="207"/>
        <v>Dólares</v>
      </c>
      <c r="D325" s="47"/>
      <c r="E325" s="836"/>
      <c r="F325" s="50"/>
      <c r="G325" s="50" t="str">
        <f t="shared" si="194"/>
        <v xml:space="preserve"> </v>
      </c>
      <c r="H325" s="45">
        <v>0</v>
      </c>
      <c r="I325" s="49" t="str">
        <f>IFERROR(VLOOKUP(G325,Proveedores!B:C,2,0)," ")</f>
        <v xml:space="preserve"> </v>
      </c>
      <c r="J325" s="838">
        <v>0</v>
      </c>
      <c r="K325" s="1124"/>
      <c r="L325" s="1266">
        <f t="shared" si="195"/>
        <v>0</v>
      </c>
      <c r="M325" s="1267">
        <f t="shared" si="196"/>
        <v>0</v>
      </c>
      <c r="N325" s="1268">
        <f t="shared" si="215"/>
        <v>0</v>
      </c>
      <c r="O325" s="836" t="str">
        <f>IFERROR(VLOOKUP(G325,Proveedores!B:D,3,0)," ")</f>
        <v xml:space="preserve"> </v>
      </c>
      <c r="P325" s="836"/>
      <c r="Q325" s="1127" t="e">
        <f t="shared" si="197"/>
        <v>#N/A</v>
      </c>
      <c r="R325" s="1127" t="b">
        <f t="shared" si="208"/>
        <v>0</v>
      </c>
      <c r="S325" s="1127" t="e">
        <f t="shared" si="198"/>
        <v>#N/A</v>
      </c>
      <c r="T325" s="1127" t="b">
        <f t="shared" si="209"/>
        <v>0</v>
      </c>
      <c r="U325" s="1127" t="e">
        <f t="shared" si="199"/>
        <v>#N/A</v>
      </c>
      <c r="V325" s="1127" t="e">
        <f t="shared" si="210"/>
        <v>#N/A</v>
      </c>
      <c r="W325" s="1127" t="e">
        <f>IF(F325="Offiho",J325,IF(_xlfn.XLOOKUP(F325,Proveedores!A$2:A$50,Proveedores!E$2:E$50,"")="Nacional",(J325/0.5)+(V325*H325),((J325/0.3/0.5)+(V325*H325))))</f>
        <v>#N/A</v>
      </c>
      <c r="X325" s="1127" t="e">
        <f t="shared" si="200"/>
        <v>#N/A</v>
      </c>
      <c r="Y325" s="1126" t="b">
        <f t="shared" si="201"/>
        <v>0</v>
      </c>
      <c r="Z325" s="43">
        <v>0</v>
      </c>
      <c r="AA325" s="1219" t="e">
        <f t="shared" si="211"/>
        <v>#N/A</v>
      </c>
      <c r="AB325" s="1219" t="e">
        <f t="shared" si="212"/>
        <v>#N/A</v>
      </c>
      <c r="AC325" s="1219" t="e">
        <f t="shared" si="202"/>
        <v>#N/A</v>
      </c>
      <c r="AD325" s="1126" t="e">
        <f t="shared" si="213"/>
        <v>#N/A</v>
      </c>
      <c r="AE325" s="1217" t="e">
        <f t="shared" si="203"/>
        <v>#N/A</v>
      </c>
      <c r="AF325" s="1220" t="e">
        <f t="shared" si="204"/>
        <v>#N/A</v>
      </c>
      <c r="AG325" s="1176" t="e">
        <f t="shared" si="205"/>
        <v>#N/A</v>
      </c>
      <c r="AH325" s="1221" t="e">
        <f t="shared" si="214"/>
        <v>#N/A</v>
      </c>
    </row>
    <row r="326" spans="1:34" ht="15.5">
      <c r="A326" s="1216" t="b">
        <f t="shared" si="193"/>
        <v>1</v>
      </c>
      <c r="B326" s="1217" t="b">
        <f t="shared" si="206"/>
        <v>1</v>
      </c>
      <c r="C326" s="1218" t="str">
        <f t="shared" si="207"/>
        <v>Dólares</v>
      </c>
      <c r="D326" s="47"/>
      <c r="E326" s="836"/>
      <c r="F326" s="50"/>
      <c r="G326" s="50" t="str">
        <f t="shared" si="194"/>
        <v xml:space="preserve"> </v>
      </c>
      <c r="H326" s="45">
        <v>0</v>
      </c>
      <c r="I326" s="49" t="str">
        <f>IFERROR(VLOOKUP(G326,Proveedores!B:C,2,0)," ")</f>
        <v xml:space="preserve"> </v>
      </c>
      <c r="J326" s="838">
        <v>0</v>
      </c>
      <c r="K326" s="1124"/>
      <c r="L326" s="1266">
        <f t="shared" si="195"/>
        <v>0</v>
      </c>
      <c r="M326" s="1267">
        <f t="shared" si="196"/>
        <v>0</v>
      </c>
      <c r="N326" s="1268">
        <f t="shared" si="215"/>
        <v>0</v>
      </c>
      <c r="O326" s="836" t="str">
        <f>IFERROR(VLOOKUP(G326,Proveedores!B:D,3,0)," ")</f>
        <v xml:space="preserve"> </v>
      </c>
      <c r="P326" s="836"/>
      <c r="Q326" s="1127" t="e">
        <f t="shared" si="197"/>
        <v>#N/A</v>
      </c>
      <c r="R326" s="1127" t="b">
        <f t="shared" si="208"/>
        <v>0</v>
      </c>
      <c r="S326" s="1127" t="e">
        <f t="shared" si="198"/>
        <v>#N/A</v>
      </c>
      <c r="T326" s="1127" t="b">
        <f t="shared" si="209"/>
        <v>0</v>
      </c>
      <c r="U326" s="1127" t="e">
        <f t="shared" si="199"/>
        <v>#N/A</v>
      </c>
      <c r="V326" s="1127" t="e">
        <f t="shared" si="210"/>
        <v>#N/A</v>
      </c>
      <c r="W326" s="1127" t="e">
        <f>IF(F326="Offiho",J326,IF(_xlfn.XLOOKUP(F326,Proveedores!A$2:A$50,Proveedores!E$2:E$50,"")="Nacional",(J326/0.5)+(V326*H326),((J326/0.3/0.5)+(V326*H326))))</f>
        <v>#N/A</v>
      </c>
      <c r="X326" s="1127" t="e">
        <f t="shared" si="200"/>
        <v>#N/A</v>
      </c>
      <c r="Y326" s="1126" t="b">
        <f t="shared" si="201"/>
        <v>0</v>
      </c>
      <c r="Z326" s="43">
        <v>0</v>
      </c>
      <c r="AA326" s="1219" t="e">
        <f t="shared" si="211"/>
        <v>#N/A</v>
      </c>
      <c r="AB326" s="1219" t="e">
        <f t="shared" si="212"/>
        <v>#N/A</v>
      </c>
      <c r="AC326" s="1219" t="e">
        <f t="shared" si="202"/>
        <v>#N/A</v>
      </c>
      <c r="AD326" s="1126" t="str">
        <f t="shared" si="213"/>
        <v>NA</v>
      </c>
      <c r="AE326" s="1217" t="e">
        <f t="shared" si="203"/>
        <v>#N/A</v>
      </c>
      <c r="AF326" s="1220" t="e">
        <f t="shared" si="204"/>
        <v>#N/A</v>
      </c>
      <c r="AG326" s="1176" t="e">
        <f t="shared" si="205"/>
        <v>#N/A</v>
      </c>
      <c r="AH326" s="1221" t="e">
        <f t="shared" si="214"/>
        <v>#N/A</v>
      </c>
    </row>
    <row r="327" spans="1:34" ht="24" customHeight="1">
      <c r="A327" s="1422" t="s">
        <v>132</v>
      </c>
      <c r="B327" s="1422"/>
      <c r="C327" s="1422"/>
      <c r="D327" s="1422"/>
      <c r="E327" s="1422"/>
      <c r="F327" s="1422"/>
      <c r="G327" s="1228"/>
      <c r="H327" s="1229" cm="1">
        <f t="array" ref="H327">SUM(IFERROR(H294:H326,0))</f>
        <v>0</v>
      </c>
      <c r="I327" s="1228"/>
      <c r="J327" s="1230"/>
      <c r="K327" s="1231"/>
      <c r="L327" s="1229" cm="1">
        <f t="array" ref="L327">SUM(IFERROR(L294:L326,0))</f>
        <v>0</v>
      </c>
      <c r="M327" s="1235"/>
      <c r="N327" s="1232" cm="1">
        <f t="array" ref="N327">SUM(IFERROR(N294:N326,0))</f>
        <v>0</v>
      </c>
      <c r="O327" s="1233"/>
      <c r="P327" s="1233"/>
      <c r="Q327" s="1233"/>
      <c r="R327" s="1233"/>
      <c r="S327" s="1233"/>
      <c r="T327" s="1233"/>
      <c r="U327" s="1233"/>
      <c r="V327" s="1233"/>
      <c r="W327" s="1231"/>
      <c r="X327" s="1232" cm="1">
        <f t="array" ref="X327">SUM(IFERROR(X294:X326,0))</f>
        <v>0</v>
      </c>
      <c r="Y327" s="1233" t="s">
        <v>116</v>
      </c>
      <c r="Z327" s="1233"/>
      <c r="AA327" s="1233"/>
      <c r="AB327" s="1233"/>
      <c r="AC327" s="1232" cm="1">
        <f t="array" ref="AC327">SUM(IFERROR(AC294:AC326,0))</f>
        <v>0</v>
      </c>
      <c r="AD327" s="1232"/>
      <c r="AE327" s="1232"/>
      <c r="AF327" s="1232" cm="1">
        <f t="array" ref="AF327">SUM(IFERROR(AF294:AF326,0))</f>
        <v>0</v>
      </c>
      <c r="AG327" s="1177">
        <f>IFERROR(1-(N327/AC327),0)</f>
        <v>0</v>
      </c>
      <c r="AH327"/>
    </row>
    <row r="328" spans="1:34" ht="26" customHeight="1">
      <c r="A328" s="1419" t="s">
        <v>133</v>
      </c>
      <c r="B328" s="1419"/>
      <c r="C328" s="1419"/>
      <c r="D328" s="1419"/>
      <c r="E328" s="1419"/>
      <c r="F328" s="1419"/>
      <c r="G328" s="1419"/>
      <c r="H328" s="1419"/>
      <c r="I328" s="1419"/>
      <c r="J328" s="1420"/>
      <c r="K328" s="1214"/>
      <c r="L328" s="1214"/>
      <c r="M328" s="1236"/>
      <c r="N328" s="1214"/>
      <c r="O328" s="1213"/>
      <c r="P328" s="1213"/>
      <c r="Q328" s="1213"/>
      <c r="R328" s="1213"/>
      <c r="S328" s="1213"/>
      <c r="T328" s="1213"/>
      <c r="U328" s="1213"/>
      <c r="V328" s="1213"/>
      <c r="W328" s="1178"/>
      <c r="X328" s="1178"/>
      <c r="Y328" s="1178"/>
      <c r="Z328" s="1213"/>
      <c r="AA328" s="1213"/>
      <c r="AB328" s="1213"/>
      <c r="AC328" s="1213"/>
      <c r="AD328" s="1213"/>
      <c r="AE328" s="1213"/>
      <c r="AF328" s="1213"/>
      <c r="AG328" s="1215"/>
      <c r="AH328"/>
    </row>
    <row r="329" spans="1:34" ht="15.5">
      <c r="A329" s="1216" t="b">
        <f t="shared" ref="A329:A361" si="216">$A$13</f>
        <v>1</v>
      </c>
      <c r="B329" s="1217" t="b">
        <f>A329</f>
        <v>1</v>
      </c>
      <c r="C329" s="1218" t="str">
        <f>$C$13</f>
        <v>Dólares</v>
      </c>
      <c r="D329" s="44"/>
      <c r="E329" s="836"/>
      <c r="F329" s="50"/>
      <c r="G329" s="50" t="str">
        <f t="shared" ref="G329:G361" si="217">IFERROR(VLOOKUP(F329,Tabla_Proveedores_1,2,0)," ")</f>
        <v xml:space="preserve"> </v>
      </c>
      <c r="H329" s="45">
        <v>0</v>
      </c>
      <c r="I329" s="49" t="str">
        <f>IFERROR(VLOOKUP(G329,Proveedores!B:C,2,0)," ")</f>
        <v xml:space="preserve"> </v>
      </c>
      <c r="J329" s="838">
        <v>0</v>
      </c>
      <c r="K329" s="1124"/>
      <c r="L329" s="1266">
        <f t="shared" ref="L329:L361" si="218">K329*H329</f>
        <v>0</v>
      </c>
      <c r="M329" s="1267">
        <f t="shared" ref="M329:M361" si="219">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Brasil"),J329,IFERROR(IF(K888&lt;=$AO$578,J329*2.14,IF(K888&lt;=$AN$579,J329*1.8,IF(K888&gt;$AN$580,J329*1.5))),J329))*1.1)</f>
        <v>0</v>
      </c>
      <c r="N329" s="1268">
        <f>M329*H329</f>
        <v>0</v>
      </c>
      <c r="O329" s="836" t="str">
        <f>IFERROR(VLOOKUP(G329,Proveedores!B:D,3,0)," ")</f>
        <v xml:space="preserve"> </v>
      </c>
      <c r="P329" s="836"/>
      <c r="Q329" s="1127" t="e">
        <f t="shared" ref="Q329:Q361" si="220">VLOOKUP(E329,Tabla_Fletes,3,FALSE)</f>
        <v>#N/A</v>
      </c>
      <c r="R329" s="1127" t="b">
        <f>IF(P329="Centro",Q329,IF(P329="Norte",Q329*1.6,IF(P329="Occidente",Q329*1.2,IF(P329="Sur",Q329*2))))</f>
        <v>0</v>
      </c>
      <c r="S329" s="1127" t="e">
        <f t="shared" ref="S329:S361" si="221">VLOOKUP(E329,Tabla_Instalacion,2,FALSE)</f>
        <v>#N/A</v>
      </c>
      <c r="T329" s="1127" t="b">
        <f>IF(P329="Centro",S329,IF(P329="Norte",S329*1.1,IF(P329="Occidente",S329*1.1,IF(P329="Sur",S329*1.1))))</f>
        <v>0</v>
      </c>
      <c r="U329" s="1127" t="e">
        <f t="shared" ref="U329:U361" si="222">IF(F329="Offiho",0,Q329+S329)</f>
        <v>#N/A</v>
      </c>
      <c r="V329" s="1127" t="e">
        <f>IF(K329=0,U329/$H$573,U329*(K329/L329))*H329</f>
        <v>#N/A</v>
      </c>
      <c r="W329" s="1127" t="e">
        <f>IF(F329="Offiho",J329,IF(_xlfn.XLOOKUP(F329,Proveedores!A$2:A$50,Proveedores!E$2:E$50,"")="Nacional",(J329/0.5)+(V329*H329),((J329/0.3/0.5)+(V329*H329))))</f>
        <v>#N/A</v>
      </c>
      <c r="X329" s="1127" t="e">
        <f t="shared" ref="X329:X361" si="223">W329*H329</f>
        <v>#N/A</v>
      </c>
      <c r="Y329" s="1126" t="b">
        <f t="shared" ref="Y329:Y361" si="224">IF(F329="Sunon Inc",$AJ$577,IF(F329="Alma - Exterior",$AJ$578,IF(F329="Yabo - Hotelería",$AJ$579,IF(F329="OSJ - Medical",$AJ$580,IF(F329="Seezo - Home",$AJ$581,IF(F329="A&amp;D - Home",$AJ$582,IF(F329="Encore Alfombras Hoteleria Asia",$AJ$583,IF(F329="Zhong Xian - Leds",$AJ$584,IF(F329="Tarkett Europa",$AJ$585,IF(F329="2tec2",$AJ$586,IF(F329="Balsan Europa",$AJ$587,IF(F329="Armstrong Pisos USA",$AJ$588,IF(F329="Tarkett USA",$AJ$589,IF(F329="Tarkett Brasil",$AJ$590,IF(F329="Tarkett MX",$AJ$591,IF(F329="Jome",$AJ$592,IF(F329="Offiho",$AJ$593,IF(F329="Lumbro",$AJ$594,IF(F329="Sunon Mty",$AJ$595,IF(F329="Conceptos Sofas",$AJ$596,IF(F329="Lauco Sofas",$AJ$597,IF(F329="CR Global - Mesas Ajustables",$AJ$598,IF(F329="Vandesk",$AJ$599,IF(F329="Mamparas Tela",$AJ$600,IF(F329="Mampara Cristales",$AJ$601,IF(F329="Herrajes",$AJ$602,IF(F329="MetalWork",$AJ$603,IF(F329="Requiez",$AJ$604,IF(F329="Labenze",$AJ$605,IF(F329="Infinity",$AJ$606,IF(F329="Proveedor Externo",$AJ$607)))))))))))))))))))))))))))))))</f>
        <v>0</v>
      </c>
      <c r="Z329" s="43">
        <v>0</v>
      </c>
      <c r="AA329" s="1219" t="e">
        <f>W329*Z329</f>
        <v>#N/A</v>
      </c>
      <c r="AB329" s="1219" t="e">
        <f>IF(Z329&gt;Y329,"ERROR",(W329-AA329))</f>
        <v>#N/A</v>
      </c>
      <c r="AC329" s="1219" t="e">
        <f t="shared" ref="AC329:AC361" si="225">AB329*H329</f>
        <v>#N/A</v>
      </c>
      <c r="AD329" s="1126" t="e">
        <f>IF(A330=TRUE,MAX(0,1-(AE329/W329)),"NA")</f>
        <v>#N/A</v>
      </c>
      <c r="AE329" s="1217" t="e">
        <f t="shared" ref="AE329:AE361" si="226">IF(A328=FALSE,"NO APLICA",AB329*1.2)</f>
        <v>#N/A</v>
      </c>
      <c r="AF329" s="1220" t="e">
        <f t="shared" ref="AF329:AF361" si="227">AE329*H329</f>
        <v>#N/A</v>
      </c>
      <c r="AG329" s="1176" t="e">
        <f t="shared" ref="AG329:AG361" si="228">(AC329-N329)/AC329</f>
        <v>#N/A</v>
      </c>
      <c r="AH329" s="1221" t="e">
        <f>IF(AG329&lt;30%,"ERROR","OK")</f>
        <v>#N/A</v>
      </c>
    </row>
    <row r="330" spans="1:34" ht="15.5">
      <c r="A330" s="1216" t="b">
        <f t="shared" si="216"/>
        <v>1</v>
      </c>
      <c r="B330" s="1217" t="b">
        <f t="shared" ref="B330:B361" si="229">A330</f>
        <v>1</v>
      </c>
      <c r="C330" s="1218" t="str">
        <f t="shared" ref="C330:C361" si="230">$C$13</f>
        <v>Dólares</v>
      </c>
      <c r="D330" s="46"/>
      <c r="E330" s="836"/>
      <c r="F330" s="50"/>
      <c r="G330" s="50" t="str">
        <f t="shared" si="217"/>
        <v xml:space="preserve"> </v>
      </c>
      <c r="H330" s="45">
        <v>0</v>
      </c>
      <c r="I330" s="49" t="str">
        <f>IFERROR(VLOOKUP(G330,Proveedores!B:C,2,0)," ")</f>
        <v xml:space="preserve"> </v>
      </c>
      <c r="J330" s="838">
        <v>0</v>
      </c>
      <c r="K330" s="1124"/>
      <c r="L330" s="1266">
        <f t="shared" si="218"/>
        <v>0</v>
      </c>
      <c r="M330" s="1267">
        <f t="shared" si="219"/>
        <v>0</v>
      </c>
      <c r="N330" s="1268">
        <f>M330*H330</f>
        <v>0</v>
      </c>
      <c r="O330" s="836" t="str">
        <f>IFERROR(VLOOKUP(G330,Proveedores!B:D,3,0)," ")</f>
        <v xml:space="preserve"> </v>
      </c>
      <c r="P330" s="836"/>
      <c r="Q330" s="1127" t="e">
        <f t="shared" si="220"/>
        <v>#N/A</v>
      </c>
      <c r="R330" s="1127" t="b">
        <f t="shared" ref="R330:R361" si="231">IF(P330="Centro",Q330,IF(P330="Norte",Q330*1.6,IF(P330="Occidente",Q330*1.2,IF(P330="Sur",Q330*2))))</f>
        <v>0</v>
      </c>
      <c r="S330" s="1127" t="e">
        <f t="shared" si="221"/>
        <v>#N/A</v>
      </c>
      <c r="T330" s="1127" t="b">
        <f t="shared" ref="T330:T361" si="232">IF(P330="Centro",S330,IF(P330="Norte",S330*1.1,IF(P330="Occidente",S330*1.1,IF(P330="Sur",S330*1.1))))</f>
        <v>0</v>
      </c>
      <c r="U330" s="1127" t="e">
        <f t="shared" si="222"/>
        <v>#N/A</v>
      </c>
      <c r="V330" s="1127" t="e">
        <f t="shared" ref="V330:V361" si="233">IF(K330=0,U330/$H$573,U330*(K330/L330))*H330</f>
        <v>#N/A</v>
      </c>
      <c r="W330" s="1127" t="e">
        <f>IF(F330="Offiho",J330,IF(_xlfn.XLOOKUP(F330,Proveedores!A$2:A$50,Proveedores!E$2:E$50,"")="Nacional",(J330/0.5)+(V330*H330),((J330/0.3/0.5)+(V330*H330))))</f>
        <v>#N/A</v>
      </c>
      <c r="X330" s="1127" t="e">
        <f t="shared" si="223"/>
        <v>#N/A</v>
      </c>
      <c r="Y330" s="1126" t="b">
        <f t="shared" si="224"/>
        <v>0</v>
      </c>
      <c r="Z330" s="43">
        <v>0</v>
      </c>
      <c r="AA330" s="1219" t="e">
        <f t="shared" ref="AA330:AA361" si="234">W330*Z330</f>
        <v>#N/A</v>
      </c>
      <c r="AB330" s="1219" t="e">
        <f t="shared" ref="AB330:AB361" si="235">IF(Z330&gt;Y330,"ERROR",(W330-AA330))</f>
        <v>#N/A</v>
      </c>
      <c r="AC330" s="1219" t="e">
        <f t="shared" si="225"/>
        <v>#N/A</v>
      </c>
      <c r="AD330" s="1126" t="e">
        <f t="shared" ref="AD330:AD361" si="236">IF(A331=TRUE,MAX(0,1-(AE330/W330)),"NA")</f>
        <v>#N/A</v>
      </c>
      <c r="AE330" s="1217" t="e">
        <f t="shared" si="226"/>
        <v>#N/A</v>
      </c>
      <c r="AF330" s="1220" t="e">
        <f t="shared" si="227"/>
        <v>#N/A</v>
      </c>
      <c r="AG330" s="1176" t="e">
        <f t="shared" si="228"/>
        <v>#N/A</v>
      </c>
      <c r="AH330" s="1221" t="e">
        <f t="shared" ref="AH330:AH361" si="237">IF(AG330&lt;30%,"ERROR","OK")</f>
        <v>#N/A</v>
      </c>
    </row>
    <row r="331" spans="1:34" ht="15.5">
      <c r="A331" s="1216" t="b">
        <f t="shared" si="216"/>
        <v>1</v>
      </c>
      <c r="B331" s="1217" t="b">
        <f t="shared" si="229"/>
        <v>1</v>
      </c>
      <c r="C331" s="1218" t="str">
        <f t="shared" si="230"/>
        <v>Dólares</v>
      </c>
      <c r="D331" s="46"/>
      <c r="E331" s="836"/>
      <c r="F331" s="50"/>
      <c r="G331" s="50" t="str">
        <f t="shared" si="217"/>
        <v xml:space="preserve"> </v>
      </c>
      <c r="H331" s="45">
        <v>0</v>
      </c>
      <c r="I331" s="49" t="str">
        <f>IFERROR(VLOOKUP(G331,Proveedores!B:C,2,0)," ")</f>
        <v xml:space="preserve"> </v>
      </c>
      <c r="J331" s="838">
        <v>0</v>
      </c>
      <c r="K331" s="1124"/>
      <c r="L331" s="1266">
        <f t="shared" si="218"/>
        <v>0</v>
      </c>
      <c r="M331" s="1267">
        <f t="shared" si="219"/>
        <v>0</v>
      </c>
      <c r="N331" s="1268">
        <f>(M331*H331)</f>
        <v>0</v>
      </c>
      <c r="O331" s="836" t="str">
        <f>IFERROR(VLOOKUP(G331,Proveedores!B:D,3,0)," ")</f>
        <v xml:space="preserve"> </v>
      </c>
      <c r="P331" s="836"/>
      <c r="Q331" s="1127" t="e">
        <f t="shared" si="220"/>
        <v>#N/A</v>
      </c>
      <c r="R331" s="1127" t="b">
        <f t="shared" si="231"/>
        <v>0</v>
      </c>
      <c r="S331" s="1127" t="e">
        <f t="shared" si="221"/>
        <v>#N/A</v>
      </c>
      <c r="T331" s="1127" t="b">
        <f t="shared" si="232"/>
        <v>0</v>
      </c>
      <c r="U331" s="1127" t="e">
        <f t="shared" si="222"/>
        <v>#N/A</v>
      </c>
      <c r="V331" s="1127" t="e">
        <f t="shared" si="233"/>
        <v>#N/A</v>
      </c>
      <c r="W331" s="1127" t="e">
        <f>IF(F331="Offiho",J331,IF(_xlfn.XLOOKUP(F331,Proveedores!A$2:A$50,Proveedores!E$2:E$50,"")="Nacional",(J331/0.5)+(V331*H331),((J331/0.3/0.5)+(V331*H331))))</f>
        <v>#N/A</v>
      </c>
      <c r="X331" s="1127" t="e">
        <f t="shared" si="223"/>
        <v>#N/A</v>
      </c>
      <c r="Y331" s="1126" t="b">
        <f t="shared" si="224"/>
        <v>0</v>
      </c>
      <c r="Z331" s="43">
        <v>0</v>
      </c>
      <c r="AA331" s="1219" t="e">
        <f t="shared" si="234"/>
        <v>#N/A</v>
      </c>
      <c r="AB331" s="1219" t="e">
        <f t="shared" si="235"/>
        <v>#N/A</v>
      </c>
      <c r="AC331" s="1219" t="e">
        <f t="shared" si="225"/>
        <v>#N/A</v>
      </c>
      <c r="AD331" s="1126" t="e">
        <f t="shared" si="236"/>
        <v>#N/A</v>
      </c>
      <c r="AE331" s="1217" t="e">
        <f t="shared" si="226"/>
        <v>#N/A</v>
      </c>
      <c r="AF331" s="1220" t="e">
        <f t="shared" si="227"/>
        <v>#N/A</v>
      </c>
      <c r="AG331" s="1176" t="e">
        <f t="shared" si="228"/>
        <v>#N/A</v>
      </c>
      <c r="AH331" s="1221" t="e">
        <f t="shared" si="237"/>
        <v>#N/A</v>
      </c>
    </row>
    <row r="332" spans="1:34" ht="15.5">
      <c r="A332" s="1216" t="b">
        <f t="shared" si="216"/>
        <v>1</v>
      </c>
      <c r="B332" s="1217" t="b">
        <f t="shared" si="229"/>
        <v>1</v>
      </c>
      <c r="C332" s="1218" t="str">
        <f t="shared" si="230"/>
        <v>Dólares</v>
      </c>
      <c r="D332" s="46"/>
      <c r="E332" s="836"/>
      <c r="F332" s="50"/>
      <c r="G332" s="50" t="str">
        <f t="shared" si="217"/>
        <v xml:space="preserve"> </v>
      </c>
      <c r="H332" s="45">
        <v>0</v>
      </c>
      <c r="I332" s="49" t="str">
        <f>IFERROR(VLOOKUP(G332,Proveedores!B:C,2,0)," ")</f>
        <v xml:space="preserve"> </v>
      </c>
      <c r="J332" s="838">
        <v>0</v>
      </c>
      <c r="K332" s="1124"/>
      <c r="L332" s="1266">
        <f t="shared" si="218"/>
        <v>0</v>
      </c>
      <c r="M332" s="1267">
        <f t="shared" si="219"/>
        <v>0</v>
      </c>
      <c r="N332" s="1268">
        <f t="shared" ref="N332:N361" si="238">M332*H332</f>
        <v>0</v>
      </c>
      <c r="O332" s="836" t="str">
        <f>IFERROR(VLOOKUP(G332,Proveedores!B:D,3,0)," ")</f>
        <v xml:space="preserve"> </v>
      </c>
      <c r="P332" s="836"/>
      <c r="Q332" s="1127" t="e">
        <f t="shared" si="220"/>
        <v>#N/A</v>
      </c>
      <c r="R332" s="1127" t="b">
        <f t="shared" si="231"/>
        <v>0</v>
      </c>
      <c r="S332" s="1127" t="e">
        <f t="shared" si="221"/>
        <v>#N/A</v>
      </c>
      <c r="T332" s="1127" t="b">
        <f t="shared" si="232"/>
        <v>0</v>
      </c>
      <c r="U332" s="1127" t="e">
        <f t="shared" si="222"/>
        <v>#N/A</v>
      </c>
      <c r="V332" s="1127" t="e">
        <f t="shared" si="233"/>
        <v>#N/A</v>
      </c>
      <c r="W332" s="1127" t="e">
        <f>IF(F332="Offiho",J332,IF(_xlfn.XLOOKUP(F332,Proveedores!A$2:A$50,Proveedores!E$2:E$50,"")="Nacional",(J332/0.5)+(V332*H332),((J332/0.3/0.5)+(V332*H332))))</f>
        <v>#N/A</v>
      </c>
      <c r="X332" s="1127" t="e">
        <f t="shared" si="223"/>
        <v>#N/A</v>
      </c>
      <c r="Y332" s="1126" t="b">
        <f t="shared" si="224"/>
        <v>0</v>
      </c>
      <c r="Z332" s="43">
        <v>0</v>
      </c>
      <c r="AA332" s="1219" t="e">
        <f t="shared" si="234"/>
        <v>#N/A</v>
      </c>
      <c r="AB332" s="1219" t="e">
        <f t="shared" si="235"/>
        <v>#N/A</v>
      </c>
      <c r="AC332" s="1219" t="e">
        <f t="shared" si="225"/>
        <v>#N/A</v>
      </c>
      <c r="AD332" s="1126" t="e">
        <f t="shared" si="236"/>
        <v>#N/A</v>
      </c>
      <c r="AE332" s="1217" t="e">
        <f t="shared" si="226"/>
        <v>#N/A</v>
      </c>
      <c r="AF332" s="1220" t="e">
        <f t="shared" si="227"/>
        <v>#N/A</v>
      </c>
      <c r="AG332" s="1176" t="e">
        <f t="shared" si="228"/>
        <v>#N/A</v>
      </c>
      <c r="AH332" s="1221" t="e">
        <f t="shared" si="237"/>
        <v>#N/A</v>
      </c>
    </row>
    <row r="333" spans="1:34" ht="15.5">
      <c r="A333" s="1216" t="b">
        <f t="shared" si="216"/>
        <v>1</v>
      </c>
      <c r="B333" s="1217" t="b">
        <f t="shared" si="229"/>
        <v>1</v>
      </c>
      <c r="C333" s="1218" t="str">
        <f t="shared" si="230"/>
        <v>Dólares</v>
      </c>
      <c r="D333" s="46"/>
      <c r="E333" s="836"/>
      <c r="F333" s="50"/>
      <c r="G333" s="50" t="str">
        <f t="shared" si="217"/>
        <v xml:space="preserve"> </v>
      </c>
      <c r="H333" s="45">
        <v>0</v>
      </c>
      <c r="I333" s="49" t="str">
        <f>IFERROR(VLOOKUP(G333,Proveedores!B:C,2,0)," ")</f>
        <v xml:space="preserve"> </v>
      </c>
      <c r="J333" s="838">
        <v>0</v>
      </c>
      <c r="K333" s="1124"/>
      <c r="L333" s="1266">
        <f t="shared" si="218"/>
        <v>0</v>
      </c>
      <c r="M333" s="1267">
        <f t="shared" si="219"/>
        <v>0</v>
      </c>
      <c r="N333" s="1268">
        <f t="shared" si="238"/>
        <v>0</v>
      </c>
      <c r="O333" s="836" t="str">
        <f>IFERROR(VLOOKUP(G333,Proveedores!B:D,3,0)," ")</f>
        <v xml:space="preserve"> </v>
      </c>
      <c r="P333" s="836"/>
      <c r="Q333" s="1127" t="e">
        <f t="shared" si="220"/>
        <v>#N/A</v>
      </c>
      <c r="R333" s="1127" t="b">
        <f t="shared" si="231"/>
        <v>0</v>
      </c>
      <c r="S333" s="1127" t="e">
        <f t="shared" si="221"/>
        <v>#N/A</v>
      </c>
      <c r="T333" s="1127" t="b">
        <f t="shared" si="232"/>
        <v>0</v>
      </c>
      <c r="U333" s="1127" t="e">
        <f t="shared" si="222"/>
        <v>#N/A</v>
      </c>
      <c r="V333" s="1127" t="e">
        <f t="shared" si="233"/>
        <v>#N/A</v>
      </c>
      <c r="W333" s="1127" t="e">
        <f>IF(F333="Offiho",J333,IF(_xlfn.XLOOKUP(F333,Proveedores!A$2:A$50,Proveedores!E$2:E$50,"")="Nacional",(J333/0.5)+(V333*H333),((J333/0.3/0.5)+(V333*H333))))</f>
        <v>#N/A</v>
      </c>
      <c r="X333" s="1127" t="e">
        <f t="shared" si="223"/>
        <v>#N/A</v>
      </c>
      <c r="Y333" s="1126" t="b">
        <f t="shared" si="224"/>
        <v>0</v>
      </c>
      <c r="Z333" s="43">
        <v>0</v>
      </c>
      <c r="AA333" s="1219" t="e">
        <f t="shared" si="234"/>
        <v>#N/A</v>
      </c>
      <c r="AB333" s="1219" t="e">
        <f t="shared" si="235"/>
        <v>#N/A</v>
      </c>
      <c r="AC333" s="1219" t="e">
        <f t="shared" si="225"/>
        <v>#N/A</v>
      </c>
      <c r="AD333" s="1126" t="e">
        <f t="shared" si="236"/>
        <v>#N/A</v>
      </c>
      <c r="AE333" s="1217" t="e">
        <f t="shared" si="226"/>
        <v>#N/A</v>
      </c>
      <c r="AF333" s="1220" t="e">
        <f t="shared" si="227"/>
        <v>#N/A</v>
      </c>
      <c r="AG333" s="1176" t="e">
        <f t="shared" si="228"/>
        <v>#N/A</v>
      </c>
      <c r="AH333" s="1221" t="e">
        <f t="shared" si="237"/>
        <v>#N/A</v>
      </c>
    </row>
    <row r="334" spans="1:34" ht="15.5">
      <c r="A334" s="1216" t="b">
        <f t="shared" si="216"/>
        <v>1</v>
      </c>
      <c r="B334" s="1217" t="b">
        <f t="shared" si="229"/>
        <v>1</v>
      </c>
      <c r="C334" s="1218" t="str">
        <f t="shared" si="230"/>
        <v>Dólares</v>
      </c>
      <c r="D334" s="46"/>
      <c r="E334" s="836"/>
      <c r="F334" s="50"/>
      <c r="G334" s="50" t="str">
        <f t="shared" si="217"/>
        <v xml:space="preserve"> </v>
      </c>
      <c r="H334" s="45">
        <v>0</v>
      </c>
      <c r="I334" s="49" t="str">
        <f>IFERROR(VLOOKUP(G334,Proveedores!B:C,2,0)," ")</f>
        <v xml:space="preserve"> </v>
      </c>
      <c r="J334" s="838">
        <v>0</v>
      </c>
      <c r="K334" s="1124"/>
      <c r="L334" s="1266">
        <f t="shared" si="218"/>
        <v>0</v>
      </c>
      <c r="M334" s="1267">
        <f t="shared" si="219"/>
        <v>0</v>
      </c>
      <c r="N334" s="1268">
        <f t="shared" si="238"/>
        <v>0</v>
      </c>
      <c r="O334" s="836" t="str">
        <f>IFERROR(VLOOKUP(G334,Proveedores!B:D,3,0)," ")</f>
        <v xml:space="preserve"> </v>
      </c>
      <c r="P334" s="836"/>
      <c r="Q334" s="1127" t="e">
        <f t="shared" si="220"/>
        <v>#N/A</v>
      </c>
      <c r="R334" s="1127" t="b">
        <f t="shared" si="231"/>
        <v>0</v>
      </c>
      <c r="S334" s="1127" t="e">
        <f t="shared" si="221"/>
        <v>#N/A</v>
      </c>
      <c r="T334" s="1127" t="b">
        <f t="shared" si="232"/>
        <v>0</v>
      </c>
      <c r="U334" s="1127" t="e">
        <f t="shared" si="222"/>
        <v>#N/A</v>
      </c>
      <c r="V334" s="1127" t="e">
        <f t="shared" si="233"/>
        <v>#N/A</v>
      </c>
      <c r="W334" s="1127" t="e">
        <f>IF(F334="Offiho",J334,IF(_xlfn.XLOOKUP(F334,Proveedores!A$2:A$50,Proveedores!E$2:E$50,"")="Nacional",(J334/0.5)+(V334*H334),((J334/0.3/0.5)+(V334*H334))))</f>
        <v>#N/A</v>
      </c>
      <c r="X334" s="1127" t="e">
        <f t="shared" si="223"/>
        <v>#N/A</v>
      </c>
      <c r="Y334" s="1126" t="b">
        <f t="shared" si="224"/>
        <v>0</v>
      </c>
      <c r="Z334" s="43">
        <v>0</v>
      </c>
      <c r="AA334" s="1219" t="e">
        <f t="shared" si="234"/>
        <v>#N/A</v>
      </c>
      <c r="AB334" s="1219" t="e">
        <f t="shared" si="235"/>
        <v>#N/A</v>
      </c>
      <c r="AC334" s="1219" t="e">
        <f t="shared" si="225"/>
        <v>#N/A</v>
      </c>
      <c r="AD334" s="1126" t="e">
        <f t="shared" si="236"/>
        <v>#N/A</v>
      </c>
      <c r="AE334" s="1217" t="e">
        <f t="shared" si="226"/>
        <v>#N/A</v>
      </c>
      <c r="AF334" s="1220" t="e">
        <f t="shared" si="227"/>
        <v>#N/A</v>
      </c>
      <c r="AG334" s="1176" t="e">
        <f t="shared" si="228"/>
        <v>#N/A</v>
      </c>
      <c r="AH334" s="1221" t="e">
        <f t="shared" si="237"/>
        <v>#N/A</v>
      </c>
    </row>
    <row r="335" spans="1:34" ht="15.5">
      <c r="A335" s="1216" t="b">
        <f t="shared" si="216"/>
        <v>1</v>
      </c>
      <c r="B335" s="1217" t="b">
        <f t="shared" si="229"/>
        <v>1</v>
      </c>
      <c r="C335" s="1218" t="str">
        <f t="shared" si="230"/>
        <v>Dólares</v>
      </c>
      <c r="D335" s="44"/>
      <c r="E335" s="836"/>
      <c r="F335" s="50"/>
      <c r="G335" s="50" t="str">
        <f t="shared" si="217"/>
        <v xml:space="preserve"> </v>
      </c>
      <c r="H335" s="45">
        <v>0</v>
      </c>
      <c r="I335" s="49" t="str">
        <f>IFERROR(VLOOKUP(G335,Proveedores!B:C,2,0)," ")</f>
        <v xml:space="preserve"> </v>
      </c>
      <c r="J335" s="838">
        <v>0</v>
      </c>
      <c r="K335" s="1124"/>
      <c r="L335" s="1266">
        <f t="shared" si="218"/>
        <v>0</v>
      </c>
      <c r="M335" s="1267">
        <f t="shared" si="219"/>
        <v>0</v>
      </c>
      <c r="N335" s="1268">
        <f t="shared" si="238"/>
        <v>0</v>
      </c>
      <c r="O335" s="836" t="str">
        <f>IFERROR(VLOOKUP(G335,Proveedores!B:D,3,0)," ")</f>
        <v xml:space="preserve"> </v>
      </c>
      <c r="P335" s="836"/>
      <c r="Q335" s="1127" t="e">
        <f t="shared" si="220"/>
        <v>#N/A</v>
      </c>
      <c r="R335" s="1127" t="b">
        <f t="shared" si="231"/>
        <v>0</v>
      </c>
      <c r="S335" s="1127" t="e">
        <f t="shared" si="221"/>
        <v>#N/A</v>
      </c>
      <c r="T335" s="1127" t="b">
        <f t="shared" si="232"/>
        <v>0</v>
      </c>
      <c r="U335" s="1127" t="e">
        <f t="shared" si="222"/>
        <v>#N/A</v>
      </c>
      <c r="V335" s="1127" t="e">
        <f t="shared" si="233"/>
        <v>#N/A</v>
      </c>
      <c r="W335" s="1127" t="e">
        <f>IF(F335="Offiho",J335,IF(_xlfn.XLOOKUP(F335,Proveedores!A$2:A$50,Proveedores!E$2:E$50,"")="Nacional",(J335/0.5)+(V335*H335),((J335/0.3/0.5)+(V335*H335))))</f>
        <v>#N/A</v>
      </c>
      <c r="X335" s="1127" t="e">
        <f t="shared" si="223"/>
        <v>#N/A</v>
      </c>
      <c r="Y335" s="1126" t="b">
        <f t="shared" si="224"/>
        <v>0</v>
      </c>
      <c r="Z335" s="43">
        <v>0</v>
      </c>
      <c r="AA335" s="1219" t="e">
        <f t="shared" si="234"/>
        <v>#N/A</v>
      </c>
      <c r="AB335" s="1219" t="e">
        <f t="shared" si="235"/>
        <v>#N/A</v>
      </c>
      <c r="AC335" s="1219" t="e">
        <f t="shared" si="225"/>
        <v>#N/A</v>
      </c>
      <c r="AD335" s="1126" t="e">
        <f t="shared" si="236"/>
        <v>#N/A</v>
      </c>
      <c r="AE335" s="1217" t="e">
        <f t="shared" si="226"/>
        <v>#N/A</v>
      </c>
      <c r="AF335" s="1220" t="e">
        <f t="shared" si="227"/>
        <v>#N/A</v>
      </c>
      <c r="AG335" s="1176" t="e">
        <f t="shared" si="228"/>
        <v>#N/A</v>
      </c>
      <c r="AH335" s="1221" t="e">
        <f t="shared" si="237"/>
        <v>#N/A</v>
      </c>
    </row>
    <row r="336" spans="1:34" ht="15.5">
      <c r="A336" s="1216" t="b">
        <f t="shared" si="216"/>
        <v>1</v>
      </c>
      <c r="B336" s="1217" t="b">
        <f t="shared" si="229"/>
        <v>1</v>
      </c>
      <c r="C336" s="1218" t="str">
        <f t="shared" si="230"/>
        <v>Dólares</v>
      </c>
      <c r="D336" s="44"/>
      <c r="E336" s="836"/>
      <c r="F336" s="50"/>
      <c r="G336" s="50" t="str">
        <f t="shared" si="217"/>
        <v xml:space="preserve"> </v>
      </c>
      <c r="H336" s="45">
        <v>0</v>
      </c>
      <c r="I336" s="49" t="str">
        <f>IFERROR(VLOOKUP(G336,Proveedores!B:C,2,0)," ")</f>
        <v xml:space="preserve"> </v>
      </c>
      <c r="J336" s="838">
        <v>0</v>
      </c>
      <c r="K336" s="1124"/>
      <c r="L336" s="1266">
        <f t="shared" si="218"/>
        <v>0</v>
      </c>
      <c r="M336" s="1267">
        <f t="shared" si="219"/>
        <v>0</v>
      </c>
      <c r="N336" s="1268">
        <f t="shared" si="238"/>
        <v>0</v>
      </c>
      <c r="O336" s="836" t="str">
        <f>IFERROR(VLOOKUP(G336,Proveedores!B:D,3,0)," ")</f>
        <v xml:space="preserve"> </v>
      </c>
      <c r="P336" s="836"/>
      <c r="Q336" s="1127" t="e">
        <f t="shared" si="220"/>
        <v>#N/A</v>
      </c>
      <c r="R336" s="1127" t="b">
        <f t="shared" si="231"/>
        <v>0</v>
      </c>
      <c r="S336" s="1127" t="e">
        <f t="shared" si="221"/>
        <v>#N/A</v>
      </c>
      <c r="T336" s="1127" t="b">
        <f t="shared" si="232"/>
        <v>0</v>
      </c>
      <c r="U336" s="1127" t="e">
        <f t="shared" si="222"/>
        <v>#N/A</v>
      </c>
      <c r="V336" s="1127" t="e">
        <f t="shared" si="233"/>
        <v>#N/A</v>
      </c>
      <c r="W336" s="1127" t="e">
        <f>IF(F336="Offiho",J336,IF(_xlfn.XLOOKUP(F336,Proveedores!A$2:A$50,Proveedores!E$2:E$50,"")="Nacional",(J336/0.5)+(V336*H336),((J336/0.3/0.5)+(V336*H336))))</f>
        <v>#N/A</v>
      </c>
      <c r="X336" s="1127" t="e">
        <f t="shared" si="223"/>
        <v>#N/A</v>
      </c>
      <c r="Y336" s="1126" t="b">
        <f t="shared" si="224"/>
        <v>0</v>
      </c>
      <c r="Z336" s="43">
        <v>0</v>
      </c>
      <c r="AA336" s="1219" t="e">
        <f t="shared" si="234"/>
        <v>#N/A</v>
      </c>
      <c r="AB336" s="1219" t="e">
        <f t="shared" si="235"/>
        <v>#N/A</v>
      </c>
      <c r="AC336" s="1219" t="e">
        <f t="shared" si="225"/>
        <v>#N/A</v>
      </c>
      <c r="AD336" s="1126" t="e">
        <f t="shared" si="236"/>
        <v>#N/A</v>
      </c>
      <c r="AE336" s="1217" t="e">
        <f t="shared" si="226"/>
        <v>#N/A</v>
      </c>
      <c r="AF336" s="1220" t="e">
        <f t="shared" si="227"/>
        <v>#N/A</v>
      </c>
      <c r="AG336" s="1176" t="e">
        <f t="shared" si="228"/>
        <v>#N/A</v>
      </c>
      <c r="AH336" s="1221" t="e">
        <f t="shared" si="237"/>
        <v>#N/A</v>
      </c>
    </row>
    <row r="337" spans="1:34" ht="15.5">
      <c r="A337" s="1216" t="b">
        <f t="shared" si="216"/>
        <v>1</v>
      </c>
      <c r="B337" s="1217" t="b">
        <f t="shared" si="229"/>
        <v>1</v>
      </c>
      <c r="C337" s="1218" t="str">
        <f t="shared" si="230"/>
        <v>Dólares</v>
      </c>
      <c r="D337" s="44"/>
      <c r="E337" s="836"/>
      <c r="F337" s="50"/>
      <c r="G337" s="50" t="str">
        <f t="shared" si="217"/>
        <v xml:space="preserve"> </v>
      </c>
      <c r="H337" s="45">
        <v>0</v>
      </c>
      <c r="I337" s="49" t="str">
        <f>IFERROR(VLOOKUP(G337,Proveedores!B:C,2,0)," ")</f>
        <v xml:space="preserve"> </v>
      </c>
      <c r="J337" s="838">
        <v>0</v>
      </c>
      <c r="K337" s="1124"/>
      <c r="L337" s="1266">
        <f t="shared" si="218"/>
        <v>0</v>
      </c>
      <c r="M337" s="1267">
        <f t="shared" si="219"/>
        <v>0</v>
      </c>
      <c r="N337" s="1268">
        <f t="shared" si="238"/>
        <v>0</v>
      </c>
      <c r="O337" s="836" t="str">
        <f>IFERROR(VLOOKUP(G337,Proveedores!B:D,3,0)," ")</f>
        <v xml:space="preserve"> </v>
      </c>
      <c r="P337" s="836"/>
      <c r="Q337" s="1127" t="e">
        <f t="shared" si="220"/>
        <v>#N/A</v>
      </c>
      <c r="R337" s="1127" t="b">
        <f t="shared" si="231"/>
        <v>0</v>
      </c>
      <c r="S337" s="1127" t="e">
        <f t="shared" si="221"/>
        <v>#N/A</v>
      </c>
      <c r="T337" s="1127" t="b">
        <f t="shared" si="232"/>
        <v>0</v>
      </c>
      <c r="U337" s="1127" t="e">
        <f t="shared" si="222"/>
        <v>#N/A</v>
      </c>
      <c r="V337" s="1127" t="e">
        <f t="shared" si="233"/>
        <v>#N/A</v>
      </c>
      <c r="W337" s="1127" t="e">
        <f>IF(F337="Offiho",J337,IF(_xlfn.XLOOKUP(F337,Proveedores!A$2:A$50,Proveedores!E$2:E$50,"")="Nacional",(J337/0.5)+(V337*H337),((J337/0.3/0.5)+(V337*H337))))</f>
        <v>#N/A</v>
      </c>
      <c r="X337" s="1127" t="e">
        <f t="shared" si="223"/>
        <v>#N/A</v>
      </c>
      <c r="Y337" s="1126" t="b">
        <f t="shared" si="224"/>
        <v>0</v>
      </c>
      <c r="Z337" s="43">
        <v>0</v>
      </c>
      <c r="AA337" s="1219" t="e">
        <f t="shared" si="234"/>
        <v>#N/A</v>
      </c>
      <c r="AB337" s="1219" t="e">
        <f t="shared" si="235"/>
        <v>#N/A</v>
      </c>
      <c r="AC337" s="1219" t="e">
        <f t="shared" si="225"/>
        <v>#N/A</v>
      </c>
      <c r="AD337" s="1126" t="e">
        <f t="shared" si="236"/>
        <v>#N/A</v>
      </c>
      <c r="AE337" s="1217" t="e">
        <f t="shared" si="226"/>
        <v>#N/A</v>
      </c>
      <c r="AF337" s="1220" t="e">
        <f t="shared" si="227"/>
        <v>#N/A</v>
      </c>
      <c r="AG337" s="1176" t="e">
        <f t="shared" si="228"/>
        <v>#N/A</v>
      </c>
      <c r="AH337" s="1221" t="e">
        <f t="shared" si="237"/>
        <v>#N/A</v>
      </c>
    </row>
    <row r="338" spans="1:34" ht="15.5">
      <c r="A338" s="1216" t="b">
        <f t="shared" si="216"/>
        <v>1</v>
      </c>
      <c r="B338" s="1217" t="b">
        <f t="shared" si="229"/>
        <v>1</v>
      </c>
      <c r="C338" s="1218" t="str">
        <f t="shared" si="230"/>
        <v>Dólares</v>
      </c>
      <c r="D338" s="44"/>
      <c r="E338" s="836"/>
      <c r="F338" s="50"/>
      <c r="G338" s="50" t="str">
        <f t="shared" si="217"/>
        <v xml:space="preserve"> </v>
      </c>
      <c r="H338" s="45">
        <v>0</v>
      </c>
      <c r="I338" s="49" t="str">
        <f>IFERROR(VLOOKUP(G338,Proveedores!B:C,2,0)," ")</f>
        <v xml:space="preserve"> </v>
      </c>
      <c r="J338" s="838">
        <v>0</v>
      </c>
      <c r="K338" s="1124"/>
      <c r="L338" s="1266">
        <f t="shared" si="218"/>
        <v>0</v>
      </c>
      <c r="M338" s="1267">
        <f t="shared" si="219"/>
        <v>0</v>
      </c>
      <c r="N338" s="1268">
        <f t="shared" si="238"/>
        <v>0</v>
      </c>
      <c r="O338" s="836" t="str">
        <f>IFERROR(VLOOKUP(G338,Proveedores!B:D,3,0)," ")</f>
        <v xml:space="preserve"> </v>
      </c>
      <c r="P338" s="836"/>
      <c r="Q338" s="1127" t="e">
        <f t="shared" si="220"/>
        <v>#N/A</v>
      </c>
      <c r="R338" s="1127" t="b">
        <f t="shared" si="231"/>
        <v>0</v>
      </c>
      <c r="S338" s="1127" t="e">
        <f t="shared" si="221"/>
        <v>#N/A</v>
      </c>
      <c r="T338" s="1127" t="b">
        <f t="shared" si="232"/>
        <v>0</v>
      </c>
      <c r="U338" s="1127" t="e">
        <f t="shared" si="222"/>
        <v>#N/A</v>
      </c>
      <c r="V338" s="1127" t="e">
        <f t="shared" si="233"/>
        <v>#N/A</v>
      </c>
      <c r="W338" s="1127" t="e">
        <f>IF(F338="Offiho",J338,IF(_xlfn.XLOOKUP(F338,Proveedores!A$2:A$50,Proveedores!E$2:E$50,"")="Nacional",(J338/0.5)+(V338*H338),((J338/0.3/0.5)+(V338*H338))))</f>
        <v>#N/A</v>
      </c>
      <c r="X338" s="1127" t="e">
        <f t="shared" si="223"/>
        <v>#N/A</v>
      </c>
      <c r="Y338" s="1126" t="b">
        <f t="shared" si="224"/>
        <v>0</v>
      </c>
      <c r="Z338" s="43">
        <v>0</v>
      </c>
      <c r="AA338" s="1219" t="e">
        <f t="shared" si="234"/>
        <v>#N/A</v>
      </c>
      <c r="AB338" s="1219" t="e">
        <f t="shared" si="235"/>
        <v>#N/A</v>
      </c>
      <c r="AC338" s="1219" t="e">
        <f t="shared" si="225"/>
        <v>#N/A</v>
      </c>
      <c r="AD338" s="1126" t="e">
        <f t="shared" si="236"/>
        <v>#N/A</v>
      </c>
      <c r="AE338" s="1217" t="e">
        <f t="shared" si="226"/>
        <v>#N/A</v>
      </c>
      <c r="AF338" s="1220" t="e">
        <f t="shared" si="227"/>
        <v>#N/A</v>
      </c>
      <c r="AG338" s="1176" t="e">
        <f t="shared" si="228"/>
        <v>#N/A</v>
      </c>
      <c r="AH338" s="1221" t="e">
        <f t="shared" si="237"/>
        <v>#N/A</v>
      </c>
    </row>
    <row r="339" spans="1:34" ht="15.5">
      <c r="A339" s="1216" t="b">
        <f t="shared" si="216"/>
        <v>1</v>
      </c>
      <c r="B339" s="1217" t="b">
        <f t="shared" si="229"/>
        <v>1</v>
      </c>
      <c r="C339" s="1218" t="str">
        <f t="shared" si="230"/>
        <v>Dólares</v>
      </c>
      <c r="D339" s="46"/>
      <c r="E339" s="836"/>
      <c r="F339" s="50"/>
      <c r="G339" s="50" t="str">
        <f t="shared" si="217"/>
        <v xml:space="preserve"> </v>
      </c>
      <c r="H339" s="45">
        <v>0</v>
      </c>
      <c r="I339" s="49" t="str">
        <f>IFERROR(VLOOKUP(G339,Proveedores!B:C,2,0)," ")</f>
        <v xml:space="preserve"> </v>
      </c>
      <c r="J339" s="838">
        <v>0</v>
      </c>
      <c r="K339" s="1124"/>
      <c r="L339" s="1266">
        <f t="shared" si="218"/>
        <v>0</v>
      </c>
      <c r="M339" s="1267">
        <f t="shared" si="219"/>
        <v>0</v>
      </c>
      <c r="N339" s="1268">
        <f t="shared" si="238"/>
        <v>0</v>
      </c>
      <c r="O339" s="836" t="str">
        <f>IFERROR(VLOOKUP(G339,Proveedores!B:D,3,0)," ")</f>
        <v xml:space="preserve"> </v>
      </c>
      <c r="P339" s="836"/>
      <c r="Q339" s="1127" t="e">
        <f t="shared" si="220"/>
        <v>#N/A</v>
      </c>
      <c r="R339" s="1127" t="b">
        <f t="shared" si="231"/>
        <v>0</v>
      </c>
      <c r="S339" s="1127" t="e">
        <f t="shared" si="221"/>
        <v>#N/A</v>
      </c>
      <c r="T339" s="1127" t="b">
        <f t="shared" si="232"/>
        <v>0</v>
      </c>
      <c r="U339" s="1127" t="e">
        <f t="shared" si="222"/>
        <v>#N/A</v>
      </c>
      <c r="V339" s="1127" t="e">
        <f t="shared" si="233"/>
        <v>#N/A</v>
      </c>
      <c r="W339" s="1127" t="e">
        <f>IF(F339="Offiho",J339,IF(_xlfn.XLOOKUP(F339,Proveedores!A$2:A$50,Proveedores!E$2:E$50,"")="Nacional",(J339/0.5)+(V339*H339),((J339/0.3/0.5)+(V339*H339))))</f>
        <v>#N/A</v>
      </c>
      <c r="X339" s="1127" t="e">
        <f t="shared" si="223"/>
        <v>#N/A</v>
      </c>
      <c r="Y339" s="1126" t="b">
        <f t="shared" si="224"/>
        <v>0</v>
      </c>
      <c r="Z339" s="43">
        <v>0</v>
      </c>
      <c r="AA339" s="1219" t="e">
        <f t="shared" si="234"/>
        <v>#N/A</v>
      </c>
      <c r="AB339" s="1219" t="e">
        <f t="shared" si="235"/>
        <v>#N/A</v>
      </c>
      <c r="AC339" s="1219" t="e">
        <f t="shared" si="225"/>
        <v>#N/A</v>
      </c>
      <c r="AD339" s="1126" t="e">
        <f t="shared" si="236"/>
        <v>#N/A</v>
      </c>
      <c r="AE339" s="1217" t="e">
        <f t="shared" si="226"/>
        <v>#N/A</v>
      </c>
      <c r="AF339" s="1220" t="e">
        <f t="shared" si="227"/>
        <v>#N/A</v>
      </c>
      <c r="AG339" s="1176" t="e">
        <f t="shared" si="228"/>
        <v>#N/A</v>
      </c>
      <c r="AH339" s="1221" t="e">
        <f t="shared" si="237"/>
        <v>#N/A</v>
      </c>
    </row>
    <row r="340" spans="1:34" ht="15.5">
      <c r="A340" s="1216" t="b">
        <f t="shared" si="216"/>
        <v>1</v>
      </c>
      <c r="B340" s="1217" t="b">
        <f t="shared" si="229"/>
        <v>1</v>
      </c>
      <c r="C340" s="1218" t="str">
        <f t="shared" si="230"/>
        <v>Dólares</v>
      </c>
      <c r="D340" s="46"/>
      <c r="E340" s="836"/>
      <c r="F340" s="50"/>
      <c r="G340" s="50" t="str">
        <f t="shared" si="217"/>
        <v xml:space="preserve"> </v>
      </c>
      <c r="H340" s="45">
        <v>0</v>
      </c>
      <c r="I340" s="49" t="str">
        <f>IFERROR(VLOOKUP(G340,Proveedores!B:C,2,0)," ")</f>
        <v xml:space="preserve"> </v>
      </c>
      <c r="J340" s="838">
        <v>0</v>
      </c>
      <c r="K340" s="1124"/>
      <c r="L340" s="1266">
        <f t="shared" si="218"/>
        <v>0</v>
      </c>
      <c r="M340" s="1267">
        <f t="shared" si="219"/>
        <v>0</v>
      </c>
      <c r="N340" s="1268">
        <f t="shared" si="238"/>
        <v>0</v>
      </c>
      <c r="O340" s="836" t="str">
        <f>IFERROR(VLOOKUP(G340,Proveedores!B:D,3,0)," ")</f>
        <v xml:space="preserve"> </v>
      </c>
      <c r="P340" s="836"/>
      <c r="Q340" s="1127" t="e">
        <f t="shared" si="220"/>
        <v>#N/A</v>
      </c>
      <c r="R340" s="1127" t="b">
        <f t="shared" si="231"/>
        <v>0</v>
      </c>
      <c r="S340" s="1127" t="e">
        <f t="shared" si="221"/>
        <v>#N/A</v>
      </c>
      <c r="T340" s="1127" t="b">
        <f t="shared" si="232"/>
        <v>0</v>
      </c>
      <c r="U340" s="1127" t="e">
        <f t="shared" si="222"/>
        <v>#N/A</v>
      </c>
      <c r="V340" s="1127" t="e">
        <f t="shared" si="233"/>
        <v>#N/A</v>
      </c>
      <c r="W340" s="1127" t="e">
        <f>IF(F340="Offiho",J340,IF(_xlfn.XLOOKUP(F340,Proveedores!A$2:A$50,Proveedores!E$2:E$50,"")="Nacional",(J340/0.5)+(V340*H340),((J340/0.3/0.5)+(V340*H340))))</f>
        <v>#N/A</v>
      </c>
      <c r="X340" s="1127" t="e">
        <f t="shared" si="223"/>
        <v>#N/A</v>
      </c>
      <c r="Y340" s="1126" t="b">
        <f t="shared" si="224"/>
        <v>0</v>
      </c>
      <c r="Z340" s="43">
        <v>0</v>
      </c>
      <c r="AA340" s="1219" t="e">
        <f t="shared" si="234"/>
        <v>#N/A</v>
      </c>
      <c r="AB340" s="1219" t="e">
        <f t="shared" si="235"/>
        <v>#N/A</v>
      </c>
      <c r="AC340" s="1219" t="e">
        <f t="shared" si="225"/>
        <v>#N/A</v>
      </c>
      <c r="AD340" s="1126" t="e">
        <f t="shared" si="236"/>
        <v>#N/A</v>
      </c>
      <c r="AE340" s="1217" t="e">
        <f t="shared" si="226"/>
        <v>#N/A</v>
      </c>
      <c r="AF340" s="1220" t="e">
        <f t="shared" si="227"/>
        <v>#N/A</v>
      </c>
      <c r="AG340" s="1176" t="e">
        <f t="shared" si="228"/>
        <v>#N/A</v>
      </c>
      <c r="AH340" s="1221" t="e">
        <f t="shared" si="237"/>
        <v>#N/A</v>
      </c>
    </row>
    <row r="341" spans="1:34" ht="15.5">
      <c r="A341" s="1216" t="b">
        <f t="shared" si="216"/>
        <v>1</v>
      </c>
      <c r="B341" s="1217" t="b">
        <f t="shared" si="229"/>
        <v>1</v>
      </c>
      <c r="C341" s="1218" t="str">
        <f t="shared" si="230"/>
        <v>Dólares</v>
      </c>
      <c r="D341" s="46"/>
      <c r="E341" s="836"/>
      <c r="F341" s="50"/>
      <c r="G341" s="50" t="str">
        <f t="shared" si="217"/>
        <v xml:space="preserve"> </v>
      </c>
      <c r="H341" s="45">
        <v>0</v>
      </c>
      <c r="I341" s="49" t="str">
        <f>IFERROR(VLOOKUP(G341,Proveedores!B:C,2,0)," ")</f>
        <v xml:space="preserve"> </v>
      </c>
      <c r="J341" s="838">
        <v>0</v>
      </c>
      <c r="K341" s="1124"/>
      <c r="L341" s="1266">
        <f t="shared" si="218"/>
        <v>0</v>
      </c>
      <c r="M341" s="1267">
        <f t="shared" si="219"/>
        <v>0</v>
      </c>
      <c r="N341" s="1268">
        <f t="shared" si="238"/>
        <v>0</v>
      </c>
      <c r="O341" s="836" t="str">
        <f>IFERROR(VLOOKUP(G341,Proveedores!B:D,3,0)," ")</f>
        <v xml:space="preserve"> </v>
      </c>
      <c r="P341" s="836"/>
      <c r="Q341" s="1127" t="e">
        <f t="shared" si="220"/>
        <v>#N/A</v>
      </c>
      <c r="R341" s="1127" t="b">
        <f t="shared" si="231"/>
        <v>0</v>
      </c>
      <c r="S341" s="1127" t="e">
        <f t="shared" si="221"/>
        <v>#N/A</v>
      </c>
      <c r="T341" s="1127" t="b">
        <f t="shared" si="232"/>
        <v>0</v>
      </c>
      <c r="U341" s="1127" t="e">
        <f t="shared" si="222"/>
        <v>#N/A</v>
      </c>
      <c r="V341" s="1127" t="e">
        <f t="shared" si="233"/>
        <v>#N/A</v>
      </c>
      <c r="W341" s="1127" t="e">
        <f>IF(F341="Offiho",J341,IF(_xlfn.XLOOKUP(F341,Proveedores!A$2:A$50,Proveedores!E$2:E$50,"")="Nacional",(J341/0.5)+(V341*H341),((J341/0.3/0.5)+(V341*H341))))</f>
        <v>#N/A</v>
      </c>
      <c r="X341" s="1127" t="e">
        <f t="shared" si="223"/>
        <v>#N/A</v>
      </c>
      <c r="Y341" s="1126" t="b">
        <f t="shared" si="224"/>
        <v>0</v>
      </c>
      <c r="Z341" s="43">
        <v>0</v>
      </c>
      <c r="AA341" s="1219" t="e">
        <f t="shared" si="234"/>
        <v>#N/A</v>
      </c>
      <c r="AB341" s="1219" t="e">
        <f t="shared" si="235"/>
        <v>#N/A</v>
      </c>
      <c r="AC341" s="1219" t="e">
        <f t="shared" si="225"/>
        <v>#N/A</v>
      </c>
      <c r="AD341" s="1126" t="e">
        <f t="shared" si="236"/>
        <v>#N/A</v>
      </c>
      <c r="AE341" s="1217" t="e">
        <f t="shared" si="226"/>
        <v>#N/A</v>
      </c>
      <c r="AF341" s="1220" t="e">
        <f t="shared" si="227"/>
        <v>#N/A</v>
      </c>
      <c r="AG341" s="1176" t="e">
        <f t="shared" si="228"/>
        <v>#N/A</v>
      </c>
      <c r="AH341" s="1221" t="e">
        <f t="shared" si="237"/>
        <v>#N/A</v>
      </c>
    </row>
    <row r="342" spans="1:34" ht="15.5">
      <c r="A342" s="1216" t="b">
        <f t="shared" si="216"/>
        <v>1</v>
      </c>
      <c r="B342" s="1217" t="b">
        <f t="shared" si="229"/>
        <v>1</v>
      </c>
      <c r="C342" s="1218" t="str">
        <f t="shared" si="230"/>
        <v>Dólares</v>
      </c>
      <c r="D342" s="46"/>
      <c r="E342" s="836"/>
      <c r="F342" s="50"/>
      <c r="G342" s="50" t="str">
        <f t="shared" si="217"/>
        <v xml:space="preserve"> </v>
      </c>
      <c r="H342" s="45">
        <v>0</v>
      </c>
      <c r="I342" s="49" t="str">
        <f>IFERROR(VLOOKUP(G342,Proveedores!B:C,2,0)," ")</f>
        <v xml:space="preserve"> </v>
      </c>
      <c r="J342" s="838">
        <v>0</v>
      </c>
      <c r="K342" s="1124"/>
      <c r="L342" s="1266">
        <f t="shared" si="218"/>
        <v>0</v>
      </c>
      <c r="M342" s="1267">
        <f t="shared" si="219"/>
        <v>0</v>
      </c>
      <c r="N342" s="1268">
        <f t="shared" si="238"/>
        <v>0</v>
      </c>
      <c r="O342" s="836" t="str">
        <f>IFERROR(VLOOKUP(G342,Proveedores!B:D,3,0)," ")</f>
        <v xml:space="preserve"> </v>
      </c>
      <c r="P342" s="836"/>
      <c r="Q342" s="1127" t="e">
        <f t="shared" si="220"/>
        <v>#N/A</v>
      </c>
      <c r="R342" s="1127" t="b">
        <f t="shared" si="231"/>
        <v>0</v>
      </c>
      <c r="S342" s="1127" t="e">
        <f t="shared" si="221"/>
        <v>#N/A</v>
      </c>
      <c r="T342" s="1127" t="b">
        <f t="shared" si="232"/>
        <v>0</v>
      </c>
      <c r="U342" s="1127" t="e">
        <f t="shared" si="222"/>
        <v>#N/A</v>
      </c>
      <c r="V342" s="1127" t="e">
        <f t="shared" si="233"/>
        <v>#N/A</v>
      </c>
      <c r="W342" s="1127" t="e">
        <f>IF(F342="Offiho",J342,IF(_xlfn.XLOOKUP(F342,Proveedores!A$2:A$50,Proveedores!E$2:E$50,"")="Nacional",(J342/0.5)+(V342*H342),((J342/0.3/0.5)+(V342*H342))))</f>
        <v>#N/A</v>
      </c>
      <c r="X342" s="1127" t="e">
        <f t="shared" si="223"/>
        <v>#N/A</v>
      </c>
      <c r="Y342" s="1126" t="b">
        <f t="shared" si="224"/>
        <v>0</v>
      </c>
      <c r="Z342" s="43">
        <v>0</v>
      </c>
      <c r="AA342" s="1219" t="e">
        <f t="shared" si="234"/>
        <v>#N/A</v>
      </c>
      <c r="AB342" s="1219" t="e">
        <f t="shared" si="235"/>
        <v>#N/A</v>
      </c>
      <c r="AC342" s="1219" t="e">
        <f t="shared" si="225"/>
        <v>#N/A</v>
      </c>
      <c r="AD342" s="1126" t="e">
        <f t="shared" si="236"/>
        <v>#N/A</v>
      </c>
      <c r="AE342" s="1217" t="e">
        <f t="shared" si="226"/>
        <v>#N/A</v>
      </c>
      <c r="AF342" s="1220" t="e">
        <f t="shared" si="227"/>
        <v>#N/A</v>
      </c>
      <c r="AG342" s="1176" t="e">
        <f t="shared" si="228"/>
        <v>#N/A</v>
      </c>
      <c r="AH342" s="1221" t="e">
        <f t="shared" si="237"/>
        <v>#N/A</v>
      </c>
    </row>
    <row r="343" spans="1:34" ht="15.5">
      <c r="A343" s="1216" t="b">
        <f t="shared" si="216"/>
        <v>1</v>
      </c>
      <c r="B343" s="1217" t="b">
        <f t="shared" si="229"/>
        <v>1</v>
      </c>
      <c r="C343" s="1218" t="str">
        <f t="shared" si="230"/>
        <v>Dólares</v>
      </c>
      <c r="D343" s="46"/>
      <c r="E343" s="836"/>
      <c r="F343" s="50"/>
      <c r="G343" s="50" t="str">
        <f t="shared" si="217"/>
        <v xml:space="preserve"> </v>
      </c>
      <c r="H343" s="45">
        <v>0</v>
      </c>
      <c r="I343" s="49" t="str">
        <f>IFERROR(VLOOKUP(G343,Proveedores!B:C,2,0)," ")</f>
        <v xml:space="preserve"> </v>
      </c>
      <c r="J343" s="838">
        <v>0</v>
      </c>
      <c r="K343" s="1124"/>
      <c r="L343" s="1266">
        <f t="shared" si="218"/>
        <v>0</v>
      </c>
      <c r="M343" s="1267">
        <f t="shared" si="219"/>
        <v>0</v>
      </c>
      <c r="N343" s="1268">
        <f t="shared" si="238"/>
        <v>0</v>
      </c>
      <c r="O343" s="836" t="str">
        <f>IFERROR(VLOOKUP(G343,Proveedores!B:D,3,0)," ")</f>
        <v xml:space="preserve"> </v>
      </c>
      <c r="P343" s="836"/>
      <c r="Q343" s="1127" t="e">
        <f t="shared" si="220"/>
        <v>#N/A</v>
      </c>
      <c r="R343" s="1127" t="b">
        <f t="shared" si="231"/>
        <v>0</v>
      </c>
      <c r="S343" s="1127" t="e">
        <f t="shared" si="221"/>
        <v>#N/A</v>
      </c>
      <c r="T343" s="1127" t="b">
        <f t="shared" si="232"/>
        <v>0</v>
      </c>
      <c r="U343" s="1127" t="e">
        <f t="shared" si="222"/>
        <v>#N/A</v>
      </c>
      <c r="V343" s="1127" t="e">
        <f t="shared" si="233"/>
        <v>#N/A</v>
      </c>
      <c r="W343" s="1127" t="e">
        <f>IF(F343="Offiho",J343,IF(_xlfn.XLOOKUP(F343,Proveedores!A$2:A$50,Proveedores!E$2:E$50,"")="Nacional",(J343/0.5)+(V343*H343),((J343/0.3/0.5)+(V343*H343))))</f>
        <v>#N/A</v>
      </c>
      <c r="X343" s="1127" t="e">
        <f t="shared" si="223"/>
        <v>#N/A</v>
      </c>
      <c r="Y343" s="1126" t="b">
        <f t="shared" si="224"/>
        <v>0</v>
      </c>
      <c r="Z343" s="43">
        <v>0</v>
      </c>
      <c r="AA343" s="1219" t="e">
        <f t="shared" si="234"/>
        <v>#N/A</v>
      </c>
      <c r="AB343" s="1219" t="e">
        <f t="shared" si="235"/>
        <v>#N/A</v>
      </c>
      <c r="AC343" s="1219" t="e">
        <f t="shared" si="225"/>
        <v>#N/A</v>
      </c>
      <c r="AD343" s="1126" t="e">
        <f t="shared" si="236"/>
        <v>#N/A</v>
      </c>
      <c r="AE343" s="1217" t="e">
        <f t="shared" si="226"/>
        <v>#N/A</v>
      </c>
      <c r="AF343" s="1220" t="e">
        <f t="shared" si="227"/>
        <v>#N/A</v>
      </c>
      <c r="AG343" s="1176" t="e">
        <f t="shared" si="228"/>
        <v>#N/A</v>
      </c>
      <c r="AH343" s="1221" t="e">
        <f t="shared" si="237"/>
        <v>#N/A</v>
      </c>
    </row>
    <row r="344" spans="1:34" ht="15.5">
      <c r="A344" s="1216" t="b">
        <f t="shared" si="216"/>
        <v>1</v>
      </c>
      <c r="B344" s="1217" t="b">
        <f t="shared" si="229"/>
        <v>1</v>
      </c>
      <c r="C344" s="1218" t="str">
        <f t="shared" si="230"/>
        <v>Dólares</v>
      </c>
      <c r="D344" s="46"/>
      <c r="E344" s="836"/>
      <c r="F344" s="50"/>
      <c r="G344" s="50" t="str">
        <f t="shared" si="217"/>
        <v xml:space="preserve"> </v>
      </c>
      <c r="H344" s="45">
        <v>0</v>
      </c>
      <c r="I344" s="49" t="str">
        <f>IFERROR(VLOOKUP(G344,Proveedores!B:C,2,0)," ")</f>
        <v xml:space="preserve"> </v>
      </c>
      <c r="J344" s="838">
        <v>0</v>
      </c>
      <c r="K344" s="1124"/>
      <c r="L344" s="1266">
        <f t="shared" si="218"/>
        <v>0</v>
      </c>
      <c r="M344" s="1267">
        <f t="shared" si="219"/>
        <v>0</v>
      </c>
      <c r="N344" s="1268">
        <f t="shared" si="238"/>
        <v>0</v>
      </c>
      <c r="O344" s="836" t="str">
        <f>IFERROR(VLOOKUP(G344,Proveedores!B:D,3,0)," ")</f>
        <v xml:space="preserve"> </v>
      </c>
      <c r="P344" s="836"/>
      <c r="Q344" s="1127" t="e">
        <f t="shared" si="220"/>
        <v>#N/A</v>
      </c>
      <c r="R344" s="1127" t="b">
        <f t="shared" si="231"/>
        <v>0</v>
      </c>
      <c r="S344" s="1127" t="e">
        <f t="shared" si="221"/>
        <v>#N/A</v>
      </c>
      <c r="T344" s="1127" t="b">
        <f t="shared" si="232"/>
        <v>0</v>
      </c>
      <c r="U344" s="1127" t="e">
        <f t="shared" si="222"/>
        <v>#N/A</v>
      </c>
      <c r="V344" s="1127" t="e">
        <f t="shared" si="233"/>
        <v>#N/A</v>
      </c>
      <c r="W344" s="1127" t="e">
        <f>IF(F344="Offiho",J344,IF(_xlfn.XLOOKUP(F344,Proveedores!A$2:A$50,Proveedores!E$2:E$50,"")="Nacional",(J344/0.5)+(V344*H344),((J344/0.3/0.5)+(V344*H344))))</f>
        <v>#N/A</v>
      </c>
      <c r="X344" s="1127" t="e">
        <f t="shared" si="223"/>
        <v>#N/A</v>
      </c>
      <c r="Y344" s="1126" t="b">
        <f t="shared" si="224"/>
        <v>0</v>
      </c>
      <c r="Z344" s="43">
        <v>0</v>
      </c>
      <c r="AA344" s="1219" t="e">
        <f t="shared" si="234"/>
        <v>#N/A</v>
      </c>
      <c r="AB344" s="1219" t="e">
        <f t="shared" si="235"/>
        <v>#N/A</v>
      </c>
      <c r="AC344" s="1219" t="e">
        <f t="shared" si="225"/>
        <v>#N/A</v>
      </c>
      <c r="AD344" s="1126" t="e">
        <f t="shared" si="236"/>
        <v>#N/A</v>
      </c>
      <c r="AE344" s="1217" t="e">
        <f t="shared" si="226"/>
        <v>#N/A</v>
      </c>
      <c r="AF344" s="1220" t="e">
        <f t="shared" si="227"/>
        <v>#N/A</v>
      </c>
      <c r="AG344" s="1176" t="e">
        <f t="shared" si="228"/>
        <v>#N/A</v>
      </c>
      <c r="AH344" s="1221" t="e">
        <f t="shared" si="237"/>
        <v>#N/A</v>
      </c>
    </row>
    <row r="345" spans="1:34" ht="15.5">
      <c r="A345" s="1216" t="b">
        <f t="shared" si="216"/>
        <v>1</v>
      </c>
      <c r="B345" s="1217" t="b">
        <f t="shared" si="229"/>
        <v>1</v>
      </c>
      <c r="C345" s="1218" t="str">
        <f t="shared" si="230"/>
        <v>Dólares</v>
      </c>
      <c r="D345" s="46"/>
      <c r="E345" s="836"/>
      <c r="F345" s="50"/>
      <c r="G345" s="50" t="str">
        <f t="shared" si="217"/>
        <v xml:space="preserve"> </v>
      </c>
      <c r="H345" s="45">
        <v>0</v>
      </c>
      <c r="I345" s="49" t="str">
        <f>IFERROR(VLOOKUP(G345,Proveedores!B:C,2,0)," ")</f>
        <v xml:space="preserve"> </v>
      </c>
      <c r="J345" s="838">
        <v>0</v>
      </c>
      <c r="K345" s="1124"/>
      <c r="L345" s="1266">
        <f t="shared" si="218"/>
        <v>0</v>
      </c>
      <c r="M345" s="1267">
        <f t="shared" si="219"/>
        <v>0</v>
      </c>
      <c r="N345" s="1268">
        <f t="shared" si="238"/>
        <v>0</v>
      </c>
      <c r="O345" s="836" t="str">
        <f>IFERROR(VLOOKUP(G345,Proveedores!B:D,3,0)," ")</f>
        <v xml:space="preserve"> </v>
      </c>
      <c r="P345" s="836"/>
      <c r="Q345" s="1127" t="e">
        <f t="shared" si="220"/>
        <v>#N/A</v>
      </c>
      <c r="R345" s="1127" t="b">
        <f t="shared" si="231"/>
        <v>0</v>
      </c>
      <c r="S345" s="1127" t="e">
        <f t="shared" si="221"/>
        <v>#N/A</v>
      </c>
      <c r="T345" s="1127" t="b">
        <f t="shared" si="232"/>
        <v>0</v>
      </c>
      <c r="U345" s="1127" t="e">
        <f t="shared" si="222"/>
        <v>#N/A</v>
      </c>
      <c r="V345" s="1127" t="e">
        <f t="shared" si="233"/>
        <v>#N/A</v>
      </c>
      <c r="W345" s="1127" t="e">
        <f>IF(F345="Offiho",J345,IF(_xlfn.XLOOKUP(F345,Proveedores!A$2:A$50,Proveedores!E$2:E$50,"")="Nacional",(J345/0.5)+(V345*H345),((J345/0.3/0.5)+(V345*H345))))</f>
        <v>#N/A</v>
      </c>
      <c r="X345" s="1127" t="e">
        <f t="shared" si="223"/>
        <v>#N/A</v>
      </c>
      <c r="Y345" s="1126" t="b">
        <f t="shared" si="224"/>
        <v>0</v>
      </c>
      <c r="Z345" s="43">
        <v>0</v>
      </c>
      <c r="AA345" s="1219" t="e">
        <f t="shared" si="234"/>
        <v>#N/A</v>
      </c>
      <c r="AB345" s="1219" t="e">
        <f t="shared" si="235"/>
        <v>#N/A</v>
      </c>
      <c r="AC345" s="1219" t="e">
        <f t="shared" si="225"/>
        <v>#N/A</v>
      </c>
      <c r="AD345" s="1126" t="e">
        <f t="shared" si="236"/>
        <v>#N/A</v>
      </c>
      <c r="AE345" s="1217" t="e">
        <f t="shared" si="226"/>
        <v>#N/A</v>
      </c>
      <c r="AF345" s="1220" t="e">
        <f t="shared" si="227"/>
        <v>#N/A</v>
      </c>
      <c r="AG345" s="1176" t="e">
        <f t="shared" si="228"/>
        <v>#N/A</v>
      </c>
      <c r="AH345" s="1221" t="e">
        <f t="shared" si="237"/>
        <v>#N/A</v>
      </c>
    </row>
    <row r="346" spans="1:34" ht="15.5">
      <c r="A346" s="1216" t="b">
        <f t="shared" si="216"/>
        <v>1</v>
      </c>
      <c r="B346" s="1217" t="b">
        <f t="shared" si="229"/>
        <v>1</v>
      </c>
      <c r="C346" s="1218" t="str">
        <f t="shared" si="230"/>
        <v>Dólares</v>
      </c>
      <c r="D346" s="47"/>
      <c r="E346" s="836"/>
      <c r="F346" s="50"/>
      <c r="G346" s="50" t="str">
        <f t="shared" si="217"/>
        <v xml:space="preserve"> </v>
      </c>
      <c r="H346" s="45">
        <v>0</v>
      </c>
      <c r="I346" s="49" t="str">
        <f>IFERROR(VLOOKUP(G346,Proveedores!B:C,2,0)," ")</f>
        <v xml:space="preserve"> </v>
      </c>
      <c r="J346" s="838">
        <v>0</v>
      </c>
      <c r="K346" s="1124"/>
      <c r="L346" s="1266">
        <f t="shared" si="218"/>
        <v>0</v>
      </c>
      <c r="M346" s="1267">
        <f t="shared" si="219"/>
        <v>0</v>
      </c>
      <c r="N346" s="1268">
        <f t="shared" si="238"/>
        <v>0</v>
      </c>
      <c r="O346" s="836" t="str">
        <f>IFERROR(VLOOKUP(G346,Proveedores!B:D,3,0)," ")</f>
        <v xml:space="preserve"> </v>
      </c>
      <c r="P346" s="836"/>
      <c r="Q346" s="1127" t="e">
        <f t="shared" si="220"/>
        <v>#N/A</v>
      </c>
      <c r="R346" s="1127" t="b">
        <f t="shared" si="231"/>
        <v>0</v>
      </c>
      <c r="S346" s="1127" t="e">
        <f t="shared" si="221"/>
        <v>#N/A</v>
      </c>
      <c r="T346" s="1127" t="b">
        <f t="shared" si="232"/>
        <v>0</v>
      </c>
      <c r="U346" s="1127" t="e">
        <f t="shared" si="222"/>
        <v>#N/A</v>
      </c>
      <c r="V346" s="1127" t="e">
        <f t="shared" si="233"/>
        <v>#N/A</v>
      </c>
      <c r="W346" s="1127" t="e">
        <f>IF(F346="Offiho",J346,IF(_xlfn.XLOOKUP(F346,Proveedores!A$2:A$50,Proveedores!E$2:E$50,"")="Nacional",(J346/0.5)+(V346*H346),((J346/0.3/0.5)+(V346*H346))))</f>
        <v>#N/A</v>
      </c>
      <c r="X346" s="1127" t="e">
        <f t="shared" si="223"/>
        <v>#N/A</v>
      </c>
      <c r="Y346" s="1126" t="b">
        <f t="shared" si="224"/>
        <v>0</v>
      </c>
      <c r="Z346" s="43">
        <v>0</v>
      </c>
      <c r="AA346" s="1219" t="e">
        <f t="shared" si="234"/>
        <v>#N/A</v>
      </c>
      <c r="AB346" s="1219" t="e">
        <f t="shared" si="235"/>
        <v>#N/A</v>
      </c>
      <c r="AC346" s="1219" t="e">
        <f t="shared" si="225"/>
        <v>#N/A</v>
      </c>
      <c r="AD346" s="1126" t="e">
        <f t="shared" si="236"/>
        <v>#N/A</v>
      </c>
      <c r="AE346" s="1217" t="e">
        <f t="shared" si="226"/>
        <v>#N/A</v>
      </c>
      <c r="AF346" s="1220" t="e">
        <f t="shared" si="227"/>
        <v>#N/A</v>
      </c>
      <c r="AG346" s="1176" t="e">
        <f t="shared" si="228"/>
        <v>#N/A</v>
      </c>
      <c r="AH346" s="1221" t="e">
        <f t="shared" si="237"/>
        <v>#N/A</v>
      </c>
    </row>
    <row r="347" spans="1:34" ht="15.5">
      <c r="A347" s="1216" t="b">
        <f t="shared" si="216"/>
        <v>1</v>
      </c>
      <c r="B347" s="1217" t="b">
        <f t="shared" si="229"/>
        <v>1</v>
      </c>
      <c r="C347" s="1218" t="str">
        <f t="shared" si="230"/>
        <v>Dólares</v>
      </c>
      <c r="D347" s="48"/>
      <c r="E347" s="836"/>
      <c r="F347" s="50"/>
      <c r="G347" s="50" t="str">
        <f t="shared" si="217"/>
        <v xml:space="preserve"> </v>
      </c>
      <c r="H347" s="45">
        <v>0</v>
      </c>
      <c r="I347" s="49" t="str">
        <f>IFERROR(VLOOKUP(G347,Proveedores!B:C,2,0)," ")</f>
        <v xml:space="preserve"> </v>
      </c>
      <c r="J347" s="838">
        <v>0</v>
      </c>
      <c r="K347" s="1124"/>
      <c r="L347" s="1266">
        <f t="shared" si="218"/>
        <v>0</v>
      </c>
      <c r="M347" s="1267">
        <f t="shared" si="219"/>
        <v>0</v>
      </c>
      <c r="N347" s="1268">
        <f t="shared" si="238"/>
        <v>0</v>
      </c>
      <c r="O347" s="836" t="str">
        <f>IFERROR(VLOOKUP(G347,Proveedores!B:D,3,0)," ")</f>
        <v xml:space="preserve"> </v>
      </c>
      <c r="P347" s="836"/>
      <c r="Q347" s="1127" t="e">
        <f t="shared" si="220"/>
        <v>#N/A</v>
      </c>
      <c r="R347" s="1127" t="b">
        <f t="shared" si="231"/>
        <v>0</v>
      </c>
      <c r="S347" s="1127" t="e">
        <f t="shared" si="221"/>
        <v>#N/A</v>
      </c>
      <c r="T347" s="1127" t="b">
        <f t="shared" si="232"/>
        <v>0</v>
      </c>
      <c r="U347" s="1127" t="e">
        <f t="shared" si="222"/>
        <v>#N/A</v>
      </c>
      <c r="V347" s="1127" t="e">
        <f t="shared" si="233"/>
        <v>#N/A</v>
      </c>
      <c r="W347" s="1127" t="e">
        <f>IF(F347="Offiho",J347,IF(_xlfn.XLOOKUP(F347,Proveedores!A$2:A$50,Proveedores!E$2:E$50,"")="Nacional",(J347/0.5)+(V347*H347),((J347/0.3/0.5)+(V347*H347))))</f>
        <v>#N/A</v>
      </c>
      <c r="X347" s="1127" t="e">
        <f t="shared" si="223"/>
        <v>#N/A</v>
      </c>
      <c r="Y347" s="1126" t="b">
        <f t="shared" si="224"/>
        <v>0</v>
      </c>
      <c r="Z347" s="43">
        <v>0</v>
      </c>
      <c r="AA347" s="1219" t="e">
        <f t="shared" si="234"/>
        <v>#N/A</v>
      </c>
      <c r="AB347" s="1219" t="e">
        <f t="shared" si="235"/>
        <v>#N/A</v>
      </c>
      <c r="AC347" s="1219" t="e">
        <f t="shared" si="225"/>
        <v>#N/A</v>
      </c>
      <c r="AD347" s="1126" t="e">
        <f t="shared" si="236"/>
        <v>#N/A</v>
      </c>
      <c r="AE347" s="1217" t="e">
        <f t="shared" si="226"/>
        <v>#N/A</v>
      </c>
      <c r="AF347" s="1220" t="e">
        <f t="shared" si="227"/>
        <v>#N/A</v>
      </c>
      <c r="AG347" s="1176" t="e">
        <f t="shared" si="228"/>
        <v>#N/A</v>
      </c>
      <c r="AH347" s="1221" t="e">
        <f t="shared" si="237"/>
        <v>#N/A</v>
      </c>
    </row>
    <row r="348" spans="1:34" ht="15.5">
      <c r="A348" s="1216" t="b">
        <f t="shared" si="216"/>
        <v>1</v>
      </c>
      <c r="B348" s="1217" t="b">
        <f t="shared" si="229"/>
        <v>1</v>
      </c>
      <c r="C348" s="1218" t="str">
        <f t="shared" si="230"/>
        <v>Dólares</v>
      </c>
      <c r="D348" s="48"/>
      <c r="E348" s="836"/>
      <c r="F348" s="50"/>
      <c r="G348" s="50" t="str">
        <f t="shared" si="217"/>
        <v xml:space="preserve"> </v>
      </c>
      <c r="H348" s="45">
        <v>0</v>
      </c>
      <c r="I348" s="49" t="str">
        <f>IFERROR(VLOOKUP(G348,Proveedores!B:C,2,0)," ")</f>
        <v xml:space="preserve"> </v>
      </c>
      <c r="J348" s="838">
        <v>0</v>
      </c>
      <c r="K348" s="1124"/>
      <c r="L348" s="1266">
        <f t="shared" si="218"/>
        <v>0</v>
      </c>
      <c r="M348" s="1267">
        <f t="shared" si="219"/>
        <v>0</v>
      </c>
      <c r="N348" s="1268">
        <f t="shared" si="238"/>
        <v>0</v>
      </c>
      <c r="O348" s="836" t="str">
        <f>IFERROR(VLOOKUP(G348,Proveedores!B:D,3,0)," ")</f>
        <v xml:space="preserve"> </v>
      </c>
      <c r="P348" s="836"/>
      <c r="Q348" s="1127" t="e">
        <f t="shared" si="220"/>
        <v>#N/A</v>
      </c>
      <c r="R348" s="1127" t="b">
        <f t="shared" si="231"/>
        <v>0</v>
      </c>
      <c r="S348" s="1127" t="e">
        <f t="shared" si="221"/>
        <v>#N/A</v>
      </c>
      <c r="T348" s="1127" t="b">
        <f t="shared" si="232"/>
        <v>0</v>
      </c>
      <c r="U348" s="1127" t="e">
        <f t="shared" si="222"/>
        <v>#N/A</v>
      </c>
      <c r="V348" s="1127" t="e">
        <f t="shared" si="233"/>
        <v>#N/A</v>
      </c>
      <c r="W348" s="1127" t="e">
        <f>IF(F348="Offiho",J348,IF(_xlfn.XLOOKUP(F348,Proveedores!A$2:A$50,Proveedores!E$2:E$50,"")="Nacional",(J348/0.5)+(V348*H348),((J348/0.3/0.5)+(V348*H348))))</f>
        <v>#N/A</v>
      </c>
      <c r="X348" s="1127" t="e">
        <f t="shared" si="223"/>
        <v>#N/A</v>
      </c>
      <c r="Y348" s="1126" t="b">
        <f t="shared" si="224"/>
        <v>0</v>
      </c>
      <c r="Z348" s="43">
        <v>0</v>
      </c>
      <c r="AA348" s="1219" t="e">
        <f t="shared" si="234"/>
        <v>#N/A</v>
      </c>
      <c r="AB348" s="1219" t="e">
        <f t="shared" si="235"/>
        <v>#N/A</v>
      </c>
      <c r="AC348" s="1219" t="e">
        <f t="shared" si="225"/>
        <v>#N/A</v>
      </c>
      <c r="AD348" s="1126" t="e">
        <f t="shared" si="236"/>
        <v>#N/A</v>
      </c>
      <c r="AE348" s="1217" t="e">
        <f t="shared" si="226"/>
        <v>#N/A</v>
      </c>
      <c r="AF348" s="1220" t="e">
        <f t="shared" si="227"/>
        <v>#N/A</v>
      </c>
      <c r="AG348" s="1176" t="e">
        <f t="shared" si="228"/>
        <v>#N/A</v>
      </c>
      <c r="AH348" s="1221" t="e">
        <f t="shared" si="237"/>
        <v>#N/A</v>
      </c>
    </row>
    <row r="349" spans="1:34" ht="15.5">
      <c r="A349" s="1216" t="b">
        <f t="shared" si="216"/>
        <v>1</v>
      </c>
      <c r="B349" s="1217" t="b">
        <f t="shared" si="229"/>
        <v>1</v>
      </c>
      <c r="C349" s="1218" t="str">
        <f t="shared" si="230"/>
        <v>Dólares</v>
      </c>
      <c r="D349" s="48"/>
      <c r="E349" s="836"/>
      <c r="F349" s="50"/>
      <c r="G349" s="50" t="str">
        <f t="shared" si="217"/>
        <v xml:space="preserve"> </v>
      </c>
      <c r="H349" s="45">
        <v>0</v>
      </c>
      <c r="I349" s="49" t="str">
        <f>IFERROR(VLOOKUP(G349,Proveedores!B:C,2,0)," ")</f>
        <v xml:space="preserve"> </v>
      </c>
      <c r="J349" s="838">
        <v>0</v>
      </c>
      <c r="K349" s="1124"/>
      <c r="L349" s="1266">
        <f t="shared" si="218"/>
        <v>0</v>
      </c>
      <c r="M349" s="1267">
        <f t="shared" si="219"/>
        <v>0</v>
      </c>
      <c r="N349" s="1268">
        <f t="shared" si="238"/>
        <v>0</v>
      </c>
      <c r="O349" s="836" t="str">
        <f>IFERROR(VLOOKUP(G349,Proveedores!B:D,3,0)," ")</f>
        <v xml:space="preserve"> </v>
      </c>
      <c r="P349" s="836"/>
      <c r="Q349" s="1127" t="e">
        <f t="shared" si="220"/>
        <v>#N/A</v>
      </c>
      <c r="R349" s="1127" t="b">
        <f t="shared" si="231"/>
        <v>0</v>
      </c>
      <c r="S349" s="1127" t="e">
        <f t="shared" si="221"/>
        <v>#N/A</v>
      </c>
      <c r="T349" s="1127" t="b">
        <f t="shared" si="232"/>
        <v>0</v>
      </c>
      <c r="U349" s="1127" t="e">
        <f t="shared" si="222"/>
        <v>#N/A</v>
      </c>
      <c r="V349" s="1127" t="e">
        <f t="shared" si="233"/>
        <v>#N/A</v>
      </c>
      <c r="W349" s="1127" t="e">
        <f>IF(F349="Offiho",J349,IF(_xlfn.XLOOKUP(F349,Proveedores!A$2:A$50,Proveedores!E$2:E$50,"")="Nacional",(J349/0.5)+(V349*H349),((J349/0.3/0.5)+(V349*H349))))</f>
        <v>#N/A</v>
      </c>
      <c r="X349" s="1127" t="e">
        <f t="shared" si="223"/>
        <v>#N/A</v>
      </c>
      <c r="Y349" s="1126" t="b">
        <f t="shared" si="224"/>
        <v>0</v>
      </c>
      <c r="Z349" s="43">
        <v>0</v>
      </c>
      <c r="AA349" s="1219" t="e">
        <f t="shared" si="234"/>
        <v>#N/A</v>
      </c>
      <c r="AB349" s="1219" t="e">
        <f t="shared" si="235"/>
        <v>#N/A</v>
      </c>
      <c r="AC349" s="1219" t="e">
        <f t="shared" si="225"/>
        <v>#N/A</v>
      </c>
      <c r="AD349" s="1126" t="e">
        <f t="shared" si="236"/>
        <v>#N/A</v>
      </c>
      <c r="AE349" s="1217" t="e">
        <f t="shared" si="226"/>
        <v>#N/A</v>
      </c>
      <c r="AF349" s="1220" t="e">
        <f t="shared" si="227"/>
        <v>#N/A</v>
      </c>
      <c r="AG349" s="1176" t="e">
        <f t="shared" si="228"/>
        <v>#N/A</v>
      </c>
      <c r="AH349" s="1221" t="e">
        <f t="shared" si="237"/>
        <v>#N/A</v>
      </c>
    </row>
    <row r="350" spans="1:34" ht="15.5">
      <c r="A350" s="1216" t="b">
        <f t="shared" si="216"/>
        <v>1</v>
      </c>
      <c r="B350" s="1217" t="b">
        <f t="shared" si="229"/>
        <v>1</v>
      </c>
      <c r="C350" s="1218" t="str">
        <f t="shared" si="230"/>
        <v>Dólares</v>
      </c>
      <c r="D350" s="48"/>
      <c r="E350" s="836"/>
      <c r="F350" s="50"/>
      <c r="G350" s="50" t="str">
        <f t="shared" si="217"/>
        <v xml:space="preserve"> </v>
      </c>
      <c r="H350" s="45">
        <v>0</v>
      </c>
      <c r="I350" s="49" t="str">
        <f>IFERROR(VLOOKUP(G350,Proveedores!B:C,2,0)," ")</f>
        <v xml:space="preserve"> </v>
      </c>
      <c r="J350" s="838">
        <v>0</v>
      </c>
      <c r="K350" s="1124"/>
      <c r="L350" s="1266">
        <f t="shared" si="218"/>
        <v>0</v>
      </c>
      <c r="M350" s="1267">
        <f t="shared" si="219"/>
        <v>0</v>
      </c>
      <c r="N350" s="1268">
        <f t="shared" si="238"/>
        <v>0</v>
      </c>
      <c r="O350" s="836" t="str">
        <f>IFERROR(VLOOKUP(G350,Proveedores!B:D,3,0)," ")</f>
        <v xml:space="preserve"> </v>
      </c>
      <c r="P350" s="836"/>
      <c r="Q350" s="1127" t="e">
        <f t="shared" si="220"/>
        <v>#N/A</v>
      </c>
      <c r="R350" s="1127" t="b">
        <f t="shared" si="231"/>
        <v>0</v>
      </c>
      <c r="S350" s="1127" t="e">
        <f t="shared" si="221"/>
        <v>#N/A</v>
      </c>
      <c r="T350" s="1127" t="b">
        <f t="shared" si="232"/>
        <v>0</v>
      </c>
      <c r="U350" s="1127" t="e">
        <f t="shared" si="222"/>
        <v>#N/A</v>
      </c>
      <c r="V350" s="1127" t="e">
        <f t="shared" si="233"/>
        <v>#N/A</v>
      </c>
      <c r="W350" s="1127" t="e">
        <f>IF(F350="Offiho",J350,IF(_xlfn.XLOOKUP(F350,Proveedores!A$2:A$50,Proveedores!E$2:E$50,"")="Nacional",(J350/0.5)+(V350*H350),((J350/0.3/0.5)+(V350*H350))))</f>
        <v>#N/A</v>
      </c>
      <c r="X350" s="1127" t="e">
        <f t="shared" si="223"/>
        <v>#N/A</v>
      </c>
      <c r="Y350" s="1126" t="b">
        <f t="shared" si="224"/>
        <v>0</v>
      </c>
      <c r="Z350" s="43">
        <v>0</v>
      </c>
      <c r="AA350" s="1219" t="e">
        <f t="shared" si="234"/>
        <v>#N/A</v>
      </c>
      <c r="AB350" s="1219" t="e">
        <f t="shared" si="235"/>
        <v>#N/A</v>
      </c>
      <c r="AC350" s="1219" t="e">
        <f t="shared" si="225"/>
        <v>#N/A</v>
      </c>
      <c r="AD350" s="1126" t="e">
        <f t="shared" si="236"/>
        <v>#N/A</v>
      </c>
      <c r="AE350" s="1217" t="e">
        <f t="shared" si="226"/>
        <v>#N/A</v>
      </c>
      <c r="AF350" s="1220" t="e">
        <f t="shared" si="227"/>
        <v>#N/A</v>
      </c>
      <c r="AG350" s="1176" t="e">
        <f t="shared" si="228"/>
        <v>#N/A</v>
      </c>
      <c r="AH350" s="1221" t="e">
        <f t="shared" si="237"/>
        <v>#N/A</v>
      </c>
    </row>
    <row r="351" spans="1:34" ht="15.5">
      <c r="A351" s="1216" t="b">
        <f t="shared" si="216"/>
        <v>1</v>
      </c>
      <c r="B351" s="1217" t="b">
        <f t="shared" si="229"/>
        <v>1</v>
      </c>
      <c r="C351" s="1218" t="str">
        <f t="shared" si="230"/>
        <v>Dólares</v>
      </c>
      <c r="D351" s="47"/>
      <c r="E351" s="836"/>
      <c r="F351" s="50"/>
      <c r="G351" s="50" t="str">
        <f t="shared" si="217"/>
        <v xml:space="preserve"> </v>
      </c>
      <c r="H351" s="45">
        <v>0</v>
      </c>
      <c r="I351" s="49" t="str">
        <f>IFERROR(VLOOKUP(G351,Proveedores!B:C,2,0)," ")</f>
        <v xml:space="preserve"> </v>
      </c>
      <c r="J351" s="838">
        <v>0</v>
      </c>
      <c r="K351" s="1124"/>
      <c r="L351" s="1266">
        <f t="shared" si="218"/>
        <v>0</v>
      </c>
      <c r="M351" s="1267">
        <f t="shared" si="219"/>
        <v>0</v>
      </c>
      <c r="N351" s="1268">
        <f t="shared" si="238"/>
        <v>0</v>
      </c>
      <c r="O351" s="836" t="str">
        <f>IFERROR(VLOOKUP(G351,Proveedores!B:D,3,0)," ")</f>
        <v xml:space="preserve"> </v>
      </c>
      <c r="P351" s="836"/>
      <c r="Q351" s="1127" t="e">
        <f t="shared" si="220"/>
        <v>#N/A</v>
      </c>
      <c r="R351" s="1127" t="b">
        <f t="shared" si="231"/>
        <v>0</v>
      </c>
      <c r="S351" s="1127" t="e">
        <f t="shared" si="221"/>
        <v>#N/A</v>
      </c>
      <c r="T351" s="1127" t="b">
        <f t="shared" si="232"/>
        <v>0</v>
      </c>
      <c r="U351" s="1127" t="e">
        <f t="shared" si="222"/>
        <v>#N/A</v>
      </c>
      <c r="V351" s="1127" t="e">
        <f t="shared" si="233"/>
        <v>#N/A</v>
      </c>
      <c r="W351" s="1127" t="e">
        <f>IF(F351="Offiho",J351,IF(_xlfn.XLOOKUP(F351,Proveedores!A$2:A$50,Proveedores!E$2:E$50,"")="Nacional",(J351/0.5)+(V351*H351),((J351/0.3/0.5)+(V351*H351))))</f>
        <v>#N/A</v>
      </c>
      <c r="X351" s="1127" t="e">
        <f t="shared" si="223"/>
        <v>#N/A</v>
      </c>
      <c r="Y351" s="1126" t="b">
        <f t="shared" si="224"/>
        <v>0</v>
      </c>
      <c r="Z351" s="43">
        <v>0</v>
      </c>
      <c r="AA351" s="1219" t="e">
        <f t="shared" si="234"/>
        <v>#N/A</v>
      </c>
      <c r="AB351" s="1219" t="e">
        <f t="shared" si="235"/>
        <v>#N/A</v>
      </c>
      <c r="AC351" s="1219" t="e">
        <f t="shared" si="225"/>
        <v>#N/A</v>
      </c>
      <c r="AD351" s="1126" t="e">
        <f t="shared" si="236"/>
        <v>#N/A</v>
      </c>
      <c r="AE351" s="1217" t="e">
        <f t="shared" si="226"/>
        <v>#N/A</v>
      </c>
      <c r="AF351" s="1220" t="e">
        <f t="shared" si="227"/>
        <v>#N/A</v>
      </c>
      <c r="AG351" s="1176" t="e">
        <f t="shared" si="228"/>
        <v>#N/A</v>
      </c>
      <c r="AH351" s="1221" t="e">
        <f t="shared" si="237"/>
        <v>#N/A</v>
      </c>
    </row>
    <row r="352" spans="1:34" ht="15.5">
      <c r="A352" s="1216" t="b">
        <f t="shared" si="216"/>
        <v>1</v>
      </c>
      <c r="B352" s="1217" t="b">
        <f t="shared" si="229"/>
        <v>1</v>
      </c>
      <c r="C352" s="1218" t="str">
        <f t="shared" si="230"/>
        <v>Dólares</v>
      </c>
      <c r="D352" s="47"/>
      <c r="E352" s="836"/>
      <c r="F352" s="50"/>
      <c r="G352" s="50" t="str">
        <f t="shared" si="217"/>
        <v xml:space="preserve"> </v>
      </c>
      <c r="H352" s="45">
        <v>0</v>
      </c>
      <c r="I352" s="49" t="str">
        <f>IFERROR(VLOOKUP(G352,Proveedores!B:C,2,0)," ")</f>
        <v xml:space="preserve"> </v>
      </c>
      <c r="J352" s="838">
        <v>0</v>
      </c>
      <c r="K352" s="1124"/>
      <c r="L352" s="1266">
        <f t="shared" si="218"/>
        <v>0</v>
      </c>
      <c r="M352" s="1267">
        <f t="shared" si="219"/>
        <v>0</v>
      </c>
      <c r="N352" s="1268">
        <f t="shared" si="238"/>
        <v>0</v>
      </c>
      <c r="O352" s="836" t="str">
        <f>IFERROR(VLOOKUP(G352,Proveedores!B:D,3,0)," ")</f>
        <v xml:space="preserve"> </v>
      </c>
      <c r="P352" s="836"/>
      <c r="Q352" s="1127" t="e">
        <f t="shared" si="220"/>
        <v>#N/A</v>
      </c>
      <c r="R352" s="1127" t="b">
        <f t="shared" si="231"/>
        <v>0</v>
      </c>
      <c r="S352" s="1127" t="e">
        <f t="shared" si="221"/>
        <v>#N/A</v>
      </c>
      <c r="T352" s="1127" t="b">
        <f t="shared" si="232"/>
        <v>0</v>
      </c>
      <c r="U352" s="1127" t="e">
        <f t="shared" si="222"/>
        <v>#N/A</v>
      </c>
      <c r="V352" s="1127" t="e">
        <f t="shared" si="233"/>
        <v>#N/A</v>
      </c>
      <c r="W352" s="1127" t="e">
        <f>IF(F352="Offiho",J352,IF(_xlfn.XLOOKUP(F352,Proveedores!A$2:A$50,Proveedores!E$2:E$50,"")="Nacional",(J352/0.5)+(V352*H352),((J352/0.3/0.5)+(V352*H352))))</f>
        <v>#N/A</v>
      </c>
      <c r="X352" s="1127" t="e">
        <f t="shared" si="223"/>
        <v>#N/A</v>
      </c>
      <c r="Y352" s="1126" t="b">
        <f t="shared" si="224"/>
        <v>0</v>
      </c>
      <c r="Z352" s="43">
        <v>0</v>
      </c>
      <c r="AA352" s="1219" t="e">
        <f t="shared" si="234"/>
        <v>#N/A</v>
      </c>
      <c r="AB352" s="1219" t="e">
        <f t="shared" si="235"/>
        <v>#N/A</v>
      </c>
      <c r="AC352" s="1219" t="e">
        <f t="shared" si="225"/>
        <v>#N/A</v>
      </c>
      <c r="AD352" s="1126" t="e">
        <f t="shared" si="236"/>
        <v>#N/A</v>
      </c>
      <c r="AE352" s="1217" t="e">
        <f t="shared" si="226"/>
        <v>#N/A</v>
      </c>
      <c r="AF352" s="1220" t="e">
        <f t="shared" si="227"/>
        <v>#N/A</v>
      </c>
      <c r="AG352" s="1176" t="e">
        <f t="shared" si="228"/>
        <v>#N/A</v>
      </c>
      <c r="AH352" s="1221" t="e">
        <f t="shared" si="237"/>
        <v>#N/A</v>
      </c>
    </row>
    <row r="353" spans="1:34" ht="15.5">
      <c r="A353" s="1216" t="b">
        <f t="shared" si="216"/>
        <v>1</v>
      </c>
      <c r="B353" s="1217" t="b">
        <f t="shared" si="229"/>
        <v>1</v>
      </c>
      <c r="C353" s="1218" t="str">
        <f t="shared" si="230"/>
        <v>Dólares</v>
      </c>
      <c r="D353" s="47"/>
      <c r="E353" s="836"/>
      <c r="F353" s="50"/>
      <c r="G353" s="50" t="str">
        <f t="shared" si="217"/>
        <v xml:space="preserve"> </v>
      </c>
      <c r="H353" s="45">
        <v>0</v>
      </c>
      <c r="I353" s="49" t="str">
        <f>IFERROR(VLOOKUP(G353,Proveedores!B:C,2,0)," ")</f>
        <v xml:space="preserve"> </v>
      </c>
      <c r="J353" s="838">
        <v>0</v>
      </c>
      <c r="K353" s="1124"/>
      <c r="L353" s="1266">
        <f t="shared" si="218"/>
        <v>0</v>
      </c>
      <c r="M353" s="1267">
        <f t="shared" si="219"/>
        <v>0</v>
      </c>
      <c r="N353" s="1268">
        <f t="shared" si="238"/>
        <v>0</v>
      </c>
      <c r="O353" s="836" t="str">
        <f>IFERROR(VLOOKUP(G353,Proveedores!B:D,3,0)," ")</f>
        <v xml:space="preserve"> </v>
      </c>
      <c r="P353" s="836"/>
      <c r="Q353" s="1127" t="e">
        <f t="shared" si="220"/>
        <v>#N/A</v>
      </c>
      <c r="R353" s="1127" t="b">
        <f t="shared" si="231"/>
        <v>0</v>
      </c>
      <c r="S353" s="1127" t="e">
        <f t="shared" si="221"/>
        <v>#N/A</v>
      </c>
      <c r="T353" s="1127" t="b">
        <f t="shared" si="232"/>
        <v>0</v>
      </c>
      <c r="U353" s="1127" t="e">
        <f t="shared" si="222"/>
        <v>#N/A</v>
      </c>
      <c r="V353" s="1127" t="e">
        <f t="shared" si="233"/>
        <v>#N/A</v>
      </c>
      <c r="W353" s="1127" t="e">
        <f>IF(F353="Offiho",J353,IF(_xlfn.XLOOKUP(F353,Proveedores!A$2:A$50,Proveedores!E$2:E$50,"")="Nacional",(J353/0.5)+(V353*H353),((J353/0.3/0.5)+(V353*H353))))</f>
        <v>#N/A</v>
      </c>
      <c r="X353" s="1127" t="e">
        <f t="shared" si="223"/>
        <v>#N/A</v>
      </c>
      <c r="Y353" s="1126" t="b">
        <f t="shared" si="224"/>
        <v>0</v>
      </c>
      <c r="Z353" s="43">
        <v>0</v>
      </c>
      <c r="AA353" s="1219" t="e">
        <f t="shared" si="234"/>
        <v>#N/A</v>
      </c>
      <c r="AB353" s="1219" t="e">
        <f t="shared" si="235"/>
        <v>#N/A</v>
      </c>
      <c r="AC353" s="1219" t="e">
        <f t="shared" si="225"/>
        <v>#N/A</v>
      </c>
      <c r="AD353" s="1126" t="e">
        <f t="shared" si="236"/>
        <v>#N/A</v>
      </c>
      <c r="AE353" s="1217" t="e">
        <f t="shared" si="226"/>
        <v>#N/A</v>
      </c>
      <c r="AF353" s="1220" t="e">
        <f t="shared" si="227"/>
        <v>#N/A</v>
      </c>
      <c r="AG353" s="1176" t="e">
        <f t="shared" si="228"/>
        <v>#N/A</v>
      </c>
      <c r="AH353" s="1221" t="e">
        <f t="shared" si="237"/>
        <v>#N/A</v>
      </c>
    </row>
    <row r="354" spans="1:34" ht="15.5">
      <c r="A354" s="1216" t="b">
        <f t="shared" si="216"/>
        <v>1</v>
      </c>
      <c r="B354" s="1217" t="b">
        <f t="shared" si="229"/>
        <v>1</v>
      </c>
      <c r="C354" s="1218" t="str">
        <f t="shared" si="230"/>
        <v>Dólares</v>
      </c>
      <c r="D354" s="48"/>
      <c r="E354" s="836"/>
      <c r="F354" s="50"/>
      <c r="G354" s="50" t="str">
        <f t="shared" si="217"/>
        <v xml:space="preserve"> </v>
      </c>
      <c r="H354" s="45">
        <v>0</v>
      </c>
      <c r="I354" s="49" t="str">
        <f>IFERROR(VLOOKUP(G354,Proveedores!B:C,2,0)," ")</f>
        <v xml:space="preserve"> </v>
      </c>
      <c r="J354" s="838">
        <v>0</v>
      </c>
      <c r="K354" s="1124"/>
      <c r="L354" s="1266">
        <f t="shared" si="218"/>
        <v>0</v>
      </c>
      <c r="M354" s="1267">
        <f t="shared" si="219"/>
        <v>0</v>
      </c>
      <c r="N354" s="1268">
        <f t="shared" si="238"/>
        <v>0</v>
      </c>
      <c r="O354" s="836" t="str">
        <f>IFERROR(VLOOKUP(G354,Proveedores!B:D,3,0)," ")</f>
        <v xml:space="preserve"> </v>
      </c>
      <c r="P354" s="836"/>
      <c r="Q354" s="1127" t="e">
        <f t="shared" si="220"/>
        <v>#N/A</v>
      </c>
      <c r="R354" s="1127" t="b">
        <f t="shared" si="231"/>
        <v>0</v>
      </c>
      <c r="S354" s="1127" t="e">
        <f t="shared" si="221"/>
        <v>#N/A</v>
      </c>
      <c r="T354" s="1127" t="b">
        <f t="shared" si="232"/>
        <v>0</v>
      </c>
      <c r="U354" s="1127" t="e">
        <f t="shared" si="222"/>
        <v>#N/A</v>
      </c>
      <c r="V354" s="1127" t="e">
        <f t="shared" si="233"/>
        <v>#N/A</v>
      </c>
      <c r="W354" s="1127" t="e">
        <f>IF(F354="Offiho",J354,IF(_xlfn.XLOOKUP(F354,Proveedores!A$2:A$50,Proveedores!E$2:E$50,"")="Nacional",(J354/0.5)+(V354*H354),((J354/0.3/0.5)+(V354*H354))))</f>
        <v>#N/A</v>
      </c>
      <c r="X354" s="1127" t="e">
        <f t="shared" si="223"/>
        <v>#N/A</v>
      </c>
      <c r="Y354" s="1126" t="b">
        <f t="shared" si="224"/>
        <v>0</v>
      </c>
      <c r="Z354" s="43">
        <v>0</v>
      </c>
      <c r="AA354" s="1219" t="e">
        <f t="shared" si="234"/>
        <v>#N/A</v>
      </c>
      <c r="AB354" s="1219" t="e">
        <f t="shared" si="235"/>
        <v>#N/A</v>
      </c>
      <c r="AC354" s="1219" t="e">
        <f t="shared" si="225"/>
        <v>#N/A</v>
      </c>
      <c r="AD354" s="1126" t="e">
        <f t="shared" si="236"/>
        <v>#N/A</v>
      </c>
      <c r="AE354" s="1217" t="e">
        <f t="shared" si="226"/>
        <v>#N/A</v>
      </c>
      <c r="AF354" s="1220" t="e">
        <f t="shared" si="227"/>
        <v>#N/A</v>
      </c>
      <c r="AG354" s="1176" t="e">
        <f t="shared" si="228"/>
        <v>#N/A</v>
      </c>
      <c r="AH354" s="1221" t="e">
        <f t="shared" si="237"/>
        <v>#N/A</v>
      </c>
    </row>
    <row r="355" spans="1:34" ht="15.5">
      <c r="A355" s="1216" t="b">
        <f t="shared" si="216"/>
        <v>1</v>
      </c>
      <c r="B355" s="1217" t="b">
        <f t="shared" si="229"/>
        <v>1</v>
      </c>
      <c r="C355" s="1218" t="str">
        <f t="shared" si="230"/>
        <v>Dólares</v>
      </c>
      <c r="D355" s="48"/>
      <c r="E355" s="836"/>
      <c r="F355" s="50"/>
      <c r="G355" s="50" t="str">
        <f t="shared" si="217"/>
        <v xml:space="preserve"> </v>
      </c>
      <c r="H355" s="45">
        <v>0</v>
      </c>
      <c r="I355" s="49" t="str">
        <f>IFERROR(VLOOKUP(G355,Proveedores!B:C,2,0)," ")</f>
        <v xml:space="preserve"> </v>
      </c>
      <c r="J355" s="838">
        <v>0</v>
      </c>
      <c r="K355" s="1124"/>
      <c r="L355" s="1266">
        <f t="shared" si="218"/>
        <v>0</v>
      </c>
      <c r="M355" s="1267">
        <f t="shared" si="219"/>
        <v>0</v>
      </c>
      <c r="N355" s="1268">
        <f t="shared" si="238"/>
        <v>0</v>
      </c>
      <c r="O355" s="836" t="str">
        <f>IFERROR(VLOOKUP(G355,Proveedores!B:D,3,0)," ")</f>
        <v xml:space="preserve"> </v>
      </c>
      <c r="P355" s="836"/>
      <c r="Q355" s="1127" t="e">
        <f t="shared" si="220"/>
        <v>#N/A</v>
      </c>
      <c r="R355" s="1127" t="b">
        <f t="shared" si="231"/>
        <v>0</v>
      </c>
      <c r="S355" s="1127" t="e">
        <f t="shared" si="221"/>
        <v>#N/A</v>
      </c>
      <c r="T355" s="1127" t="b">
        <f t="shared" si="232"/>
        <v>0</v>
      </c>
      <c r="U355" s="1127" t="e">
        <f t="shared" si="222"/>
        <v>#N/A</v>
      </c>
      <c r="V355" s="1127" t="e">
        <f t="shared" si="233"/>
        <v>#N/A</v>
      </c>
      <c r="W355" s="1127" t="e">
        <f>IF(F355="Offiho",J355,IF(_xlfn.XLOOKUP(F355,Proveedores!A$2:A$50,Proveedores!E$2:E$50,"")="Nacional",(J355/0.5)+(V355*H355),((J355/0.3/0.5)+(V355*H355))))</f>
        <v>#N/A</v>
      </c>
      <c r="X355" s="1127" t="e">
        <f t="shared" si="223"/>
        <v>#N/A</v>
      </c>
      <c r="Y355" s="1126" t="b">
        <f t="shared" si="224"/>
        <v>0</v>
      </c>
      <c r="Z355" s="43">
        <v>0</v>
      </c>
      <c r="AA355" s="1219" t="e">
        <f t="shared" si="234"/>
        <v>#N/A</v>
      </c>
      <c r="AB355" s="1219" t="e">
        <f t="shared" si="235"/>
        <v>#N/A</v>
      </c>
      <c r="AC355" s="1219" t="e">
        <f t="shared" si="225"/>
        <v>#N/A</v>
      </c>
      <c r="AD355" s="1126" t="e">
        <f t="shared" si="236"/>
        <v>#N/A</v>
      </c>
      <c r="AE355" s="1217" t="e">
        <f t="shared" si="226"/>
        <v>#N/A</v>
      </c>
      <c r="AF355" s="1220" t="e">
        <f t="shared" si="227"/>
        <v>#N/A</v>
      </c>
      <c r="AG355" s="1176" t="e">
        <f t="shared" si="228"/>
        <v>#N/A</v>
      </c>
      <c r="AH355" s="1221" t="e">
        <f t="shared" si="237"/>
        <v>#N/A</v>
      </c>
    </row>
    <row r="356" spans="1:34" ht="15.5">
      <c r="A356" s="1216" t="b">
        <f t="shared" si="216"/>
        <v>1</v>
      </c>
      <c r="B356" s="1217" t="b">
        <f t="shared" si="229"/>
        <v>1</v>
      </c>
      <c r="C356" s="1218" t="str">
        <f t="shared" si="230"/>
        <v>Dólares</v>
      </c>
      <c r="D356" s="47"/>
      <c r="E356" s="836"/>
      <c r="F356" s="50"/>
      <c r="G356" s="50" t="str">
        <f t="shared" si="217"/>
        <v xml:space="preserve"> </v>
      </c>
      <c r="H356" s="45">
        <v>0</v>
      </c>
      <c r="I356" s="49" t="str">
        <f>IFERROR(VLOOKUP(G356,Proveedores!B:C,2,0)," ")</f>
        <v xml:space="preserve"> </v>
      </c>
      <c r="J356" s="838">
        <v>0</v>
      </c>
      <c r="K356" s="1124"/>
      <c r="L356" s="1266">
        <f t="shared" si="218"/>
        <v>0</v>
      </c>
      <c r="M356" s="1267">
        <f t="shared" si="219"/>
        <v>0</v>
      </c>
      <c r="N356" s="1268">
        <f t="shared" si="238"/>
        <v>0</v>
      </c>
      <c r="O356" s="836" t="str">
        <f>IFERROR(VLOOKUP(G356,Proveedores!B:D,3,0)," ")</f>
        <v xml:space="preserve"> </v>
      </c>
      <c r="P356" s="836"/>
      <c r="Q356" s="1127" t="e">
        <f t="shared" si="220"/>
        <v>#N/A</v>
      </c>
      <c r="R356" s="1127" t="b">
        <f t="shared" si="231"/>
        <v>0</v>
      </c>
      <c r="S356" s="1127" t="e">
        <f t="shared" si="221"/>
        <v>#N/A</v>
      </c>
      <c r="T356" s="1127" t="b">
        <f t="shared" si="232"/>
        <v>0</v>
      </c>
      <c r="U356" s="1127" t="e">
        <f t="shared" si="222"/>
        <v>#N/A</v>
      </c>
      <c r="V356" s="1127" t="e">
        <f t="shared" si="233"/>
        <v>#N/A</v>
      </c>
      <c r="W356" s="1127" t="e">
        <f>IF(F356="Offiho",J356,IF(_xlfn.XLOOKUP(F356,Proveedores!A$2:A$50,Proveedores!E$2:E$50,"")="Nacional",(J356/0.5)+(V356*H356),((J356/0.3/0.5)+(V356*H356))))</f>
        <v>#N/A</v>
      </c>
      <c r="X356" s="1127" t="e">
        <f t="shared" si="223"/>
        <v>#N/A</v>
      </c>
      <c r="Y356" s="1126" t="b">
        <f t="shared" si="224"/>
        <v>0</v>
      </c>
      <c r="Z356" s="43">
        <v>0</v>
      </c>
      <c r="AA356" s="1219" t="e">
        <f t="shared" si="234"/>
        <v>#N/A</v>
      </c>
      <c r="AB356" s="1219" t="e">
        <f t="shared" si="235"/>
        <v>#N/A</v>
      </c>
      <c r="AC356" s="1219" t="e">
        <f t="shared" si="225"/>
        <v>#N/A</v>
      </c>
      <c r="AD356" s="1126" t="e">
        <f t="shared" si="236"/>
        <v>#N/A</v>
      </c>
      <c r="AE356" s="1217" t="e">
        <f t="shared" si="226"/>
        <v>#N/A</v>
      </c>
      <c r="AF356" s="1220" t="e">
        <f t="shared" si="227"/>
        <v>#N/A</v>
      </c>
      <c r="AG356" s="1176" t="e">
        <f t="shared" si="228"/>
        <v>#N/A</v>
      </c>
      <c r="AH356" s="1221" t="e">
        <f t="shared" si="237"/>
        <v>#N/A</v>
      </c>
    </row>
    <row r="357" spans="1:34" ht="15.5">
      <c r="A357" s="1216" t="b">
        <f t="shared" si="216"/>
        <v>1</v>
      </c>
      <c r="B357" s="1217" t="b">
        <f t="shared" si="229"/>
        <v>1</v>
      </c>
      <c r="C357" s="1218" t="str">
        <f t="shared" si="230"/>
        <v>Dólares</v>
      </c>
      <c r="D357" s="47"/>
      <c r="E357" s="836"/>
      <c r="F357" s="50"/>
      <c r="G357" s="50" t="str">
        <f t="shared" si="217"/>
        <v xml:space="preserve"> </v>
      </c>
      <c r="H357" s="45">
        <v>0</v>
      </c>
      <c r="I357" s="49" t="str">
        <f>IFERROR(VLOOKUP(G357,Proveedores!B:C,2,0)," ")</f>
        <v xml:space="preserve"> </v>
      </c>
      <c r="J357" s="838">
        <v>0</v>
      </c>
      <c r="K357" s="1124"/>
      <c r="L357" s="1266">
        <f t="shared" si="218"/>
        <v>0</v>
      </c>
      <c r="M357" s="1267">
        <f t="shared" si="219"/>
        <v>0</v>
      </c>
      <c r="N357" s="1268">
        <f t="shared" si="238"/>
        <v>0</v>
      </c>
      <c r="O357" s="836" t="str">
        <f>IFERROR(VLOOKUP(G357,Proveedores!B:D,3,0)," ")</f>
        <v xml:space="preserve"> </v>
      </c>
      <c r="P357" s="836"/>
      <c r="Q357" s="1127" t="e">
        <f t="shared" si="220"/>
        <v>#N/A</v>
      </c>
      <c r="R357" s="1127" t="b">
        <f t="shared" si="231"/>
        <v>0</v>
      </c>
      <c r="S357" s="1127" t="e">
        <f t="shared" si="221"/>
        <v>#N/A</v>
      </c>
      <c r="T357" s="1127" t="b">
        <f t="shared" si="232"/>
        <v>0</v>
      </c>
      <c r="U357" s="1127" t="e">
        <f t="shared" si="222"/>
        <v>#N/A</v>
      </c>
      <c r="V357" s="1127" t="e">
        <f t="shared" si="233"/>
        <v>#N/A</v>
      </c>
      <c r="W357" s="1127" t="e">
        <f>IF(F357="Offiho",J357,IF(_xlfn.XLOOKUP(F357,Proveedores!A$2:A$50,Proveedores!E$2:E$50,"")="Nacional",(J357/0.5)+(V357*H357),((J357/0.3/0.5)+(V357*H357))))</f>
        <v>#N/A</v>
      </c>
      <c r="X357" s="1127" t="e">
        <f t="shared" si="223"/>
        <v>#N/A</v>
      </c>
      <c r="Y357" s="1126" t="b">
        <f t="shared" si="224"/>
        <v>0</v>
      </c>
      <c r="Z357" s="43">
        <v>0</v>
      </c>
      <c r="AA357" s="1219" t="e">
        <f t="shared" si="234"/>
        <v>#N/A</v>
      </c>
      <c r="AB357" s="1219" t="e">
        <f t="shared" si="235"/>
        <v>#N/A</v>
      </c>
      <c r="AC357" s="1219" t="e">
        <f t="shared" si="225"/>
        <v>#N/A</v>
      </c>
      <c r="AD357" s="1126" t="e">
        <f t="shared" si="236"/>
        <v>#N/A</v>
      </c>
      <c r="AE357" s="1217" t="e">
        <f t="shared" si="226"/>
        <v>#N/A</v>
      </c>
      <c r="AF357" s="1220" t="e">
        <f t="shared" si="227"/>
        <v>#N/A</v>
      </c>
      <c r="AG357" s="1176" t="e">
        <f t="shared" si="228"/>
        <v>#N/A</v>
      </c>
      <c r="AH357" s="1221" t="e">
        <f t="shared" si="237"/>
        <v>#N/A</v>
      </c>
    </row>
    <row r="358" spans="1:34" ht="15.5">
      <c r="A358" s="1216" t="b">
        <f t="shared" si="216"/>
        <v>1</v>
      </c>
      <c r="B358" s="1217" t="b">
        <f t="shared" si="229"/>
        <v>1</v>
      </c>
      <c r="C358" s="1218" t="str">
        <f t="shared" si="230"/>
        <v>Dólares</v>
      </c>
      <c r="D358" s="47"/>
      <c r="E358" s="836"/>
      <c r="F358" s="50"/>
      <c r="G358" s="50" t="str">
        <f t="shared" si="217"/>
        <v xml:space="preserve"> </v>
      </c>
      <c r="H358" s="45">
        <v>0</v>
      </c>
      <c r="I358" s="49" t="str">
        <f>IFERROR(VLOOKUP(G358,Proveedores!B:C,2,0)," ")</f>
        <v xml:space="preserve"> </v>
      </c>
      <c r="J358" s="838">
        <v>0</v>
      </c>
      <c r="K358" s="1124"/>
      <c r="L358" s="1266">
        <f t="shared" si="218"/>
        <v>0</v>
      </c>
      <c r="M358" s="1267">
        <f t="shared" si="219"/>
        <v>0</v>
      </c>
      <c r="N358" s="1268">
        <f t="shared" si="238"/>
        <v>0</v>
      </c>
      <c r="O358" s="836" t="str">
        <f>IFERROR(VLOOKUP(G358,Proveedores!B:D,3,0)," ")</f>
        <v xml:space="preserve"> </v>
      </c>
      <c r="P358" s="836"/>
      <c r="Q358" s="1127" t="e">
        <f t="shared" si="220"/>
        <v>#N/A</v>
      </c>
      <c r="R358" s="1127" t="b">
        <f t="shared" si="231"/>
        <v>0</v>
      </c>
      <c r="S358" s="1127" t="e">
        <f t="shared" si="221"/>
        <v>#N/A</v>
      </c>
      <c r="T358" s="1127" t="b">
        <f t="shared" si="232"/>
        <v>0</v>
      </c>
      <c r="U358" s="1127" t="e">
        <f t="shared" si="222"/>
        <v>#N/A</v>
      </c>
      <c r="V358" s="1127" t="e">
        <f t="shared" si="233"/>
        <v>#N/A</v>
      </c>
      <c r="W358" s="1127" t="e">
        <f>IF(F358="Offiho",J358,IF(_xlfn.XLOOKUP(F358,Proveedores!A$2:A$50,Proveedores!E$2:E$50,"")="Nacional",(J358/0.5)+(V358*H358),((J358/0.3/0.5)+(V358*H358))))</f>
        <v>#N/A</v>
      </c>
      <c r="X358" s="1127" t="e">
        <f t="shared" si="223"/>
        <v>#N/A</v>
      </c>
      <c r="Y358" s="1126" t="b">
        <f t="shared" si="224"/>
        <v>0</v>
      </c>
      <c r="Z358" s="43">
        <v>0</v>
      </c>
      <c r="AA358" s="1219" t="e">
        <f t="shared" si="234"/>
        <v>#N/A</v>
      </c>
      <c r="AB358" s="1219" t="e">
        <f t="shared" si="235"/>
        <v>#N/A</v>
      </c>
      <c r="AC358" s="1219" t="e">
        <f t="shared" si="225"/>
        <v>#N/A</v>
      </c>
      <c r="AD358" s="1126" t="e">
        <f t="shared" si="236"/>
        <v>#N/A</v>
      </c>
      <c r="AE358" s="1217" t="e">
        <f t="shared" si="226"/>
        <v>#N/A</v>
      </c>
      <c r="AF358" s="1220" t="e">
        <f t="shared" si="227"/>
        <v>#N/A</v>
      </c>
      <c r="AG358" s="1176" t="e">
        <f t="shared" si="228"/>
        <v>#N/A</v>
      </c>
      <c r="AH358" s="1221" t="e">
        <f t="shared" si="237"/>
        <v>#N/A</v>
      </c>
    </row>
    <row r="359" spans="1:34" ht="15.5">
      <c r="A359" s="1216" t="b">
        <f t="shared" si="216"/>
        <v>1</v>
      </c>
      <c r="B359" s="1217" t="b">
        <f t="shared" si="229"/>
        <v>1</v>
      </c>
      <c r="C359" s="1218" t="str">
        <f t="shared" si="230"/>
        <v>Dólares</v>
      </c>
      <c r="D359" s="47"/>
      <c r="E359" s="836"/>
      <c r="F359" s="50"/>
      <c r="G359" s="50" t="str">
        <f t="shared" si="217"/>
        <v xml:space="preserve"> </v>
      </c>
      <c r="H359" s="45">
        <v>0</v>
      </c>
      <c r="I359" s="49" t="str">
        <f>IFERROR(VLOOKUP(G359,Proveedores!B:C,2,0)," ")</f>
        <v xml:space="preserve"> </v>
      </c>
      <c r="J359" s="838">
        <v>0</v>
      </c>
      <c r="K359" s="1124"/>
      <c r="L359" s="1266">
        <f t="shared" si="218"/>
        <v>0</v>
      </c>
      <c r="M359" s="1267">
        <f t="shared" si="219"/>
        <v>0</v>
      </c>
      <c r="N359" s="1268">
        <f t="shared" si="238"/>
        <v>0</v>
      </c>
      <c r="O359" s="836" t="str">
        <f>IFERROR(VLOOKUP(G359,Proveedores!B:D,3,0)," ")</f>
        <v xml:space="preserve"> </v>
      </c>
      <c r="P359" s="836"/>
      <c r="Q359" s="1127" t="e">
        <f t="shared" si="220"/>
        <v>#N/A</v>
      </c>
      <c r="R359" s="1127" t="b">
        <f t="shared" si="231"/>
        <v>0</v>
      </c>
      <c r="S359" s="1127" t="e">
        <f t="shared" si="221"/>
        <v>#N/A</v>
      </c>
      <c r="T359" s="1127" t="b">
        <f t="shared" si="232"/>
        <v>0</v>
      </c>
      <c r="U359" s="1127" t="e">
        <f t="shared" si="222"/>
        <v>#N/A</v>
      </c>
      <c r="V359" s="1127" t="e">
        <f t="shared" si="233"/>
        <v>#N/A</v>
      </c>
      <c r="W359" s="1127" t="e">
        <f>IF(F359="Offiho",J359,IF(_xlfn.XLOOKUP(F359,Proveedores!A$2:A$50,Proveedores!E$2:E$50,"")="Nacional",(J359/0.5)+(V359*H359),((J359/0.3/0.5)+(V359*H359))))</f>
        <v>#N/A</v>
      </c>
      <c r="X359" s="1127" t="e">
        <f t="shared" si="223"/>
        <v>#N/A</v>
      </c>
      <c r="Y359" s="1126" t="b">
        <f t="shared" si="224"/>
        <v>0</v>
      </c>
      <c r="Z359" s="43">
        <v>0</v>
      </c>
      <c r="AA359" s="1219" t="e">
        <f t="shared" si="234"/>
        <v>#N/A</v>
      </c>
      <c r="AB359" s="1219" t="e">
        <f t="shared" si="235"/>
        <v>#N/A</v>
      </c>
      <c r="AC359" s="1219" t="e">
        <f t="shared" si="225"/>
        <v>#N/A</v>
      </c>
      <c r="AD359" s="1126" t="e">
        <f t="shared" si="236"/>
        <v>#N/A</v>
      </c>
      <c r="AE359" s="1217" t="e">
        <f t="shared" si="226"/>
        <v>#N/A</v>
      </c>
      <c r="AF359" s="1220" t="e">
        <f t="shared" si="227"/>
        <v>#N/A</v>
      </c>
      <c r="AG359" s="1176" t="e">
        <f t="shared" si="228"/>
        <v>#N/A</v>
      </c>
      <c r="AH359" s="1221" t="e">
        <f t="shared" si="237"/>
        <v>#N/A</v>
      </c>
    </row>
    <row r="360" spans="1:34" ht="15.5">
      <c r="A360" s="1216" t="b">
        <f t="shared" si="216"/>
        <v>1</v>
      </c>
      <c r="B360" s="1217" t="b">
        <f t="shared" si="229"/>
        <v>1</v>
      </c>
      <c r="C360" s="1218" t="str">
        <f t="shared" si="230"/>
        <v>Dólares</v>
      </c>
      <c r="D360" s="47"/>
      <c r="E360" s="836"/>
      <c r="F360" s="50"/>
      <c r="G360" s="50" t="str">
        <f t="shared" si="217"/>
        <v xml:space="preserve"> </v>
      </c>
      <c r="H360" s="45">
        <v>0</v>
      </c>
      <c r="I360" s="49" t="str">
        <f>IFERROR(VLOOKUP(G360,Proveedores!B:C,2,0)," ")</f>
        <v xml:space="preserve"> </v>
      </c>
      <c r="J360" s="838">
        <v>0</v>
      </c>
      <c r="K360" s="1124"/>
      <c r="L360" s="1266">
        <f t="shared" si="218"/>
        <v>0</v>
      </c>
      <c r="M360" s="1267">
        <f t="shared" si="219"/>
        <v>0</v>
      </c>
      <c r="N360" s="1268">
        <f t="shared" si="238"/>
        <v>0</v>
      </c>
      <c r="O360" s="836" t="str">
        <f>IFERROR(VLOOKUP(G360,Proveedores!B:D,3,0)," ")</f>
        <v xml:space="preserve"> </v>
      </c>
      <c r="P360" s="836"/>
      <c r="Q360" s="1127" t="e">
        <f t="shared" si="220"/>
        <v>#N/A</v>
      </c>
      <c r="R360" s="1127" t="b">
        <f t="shared" si="231"/>
        <v>0</v>
      </c>
      <c r="S360" s="1127" t="e">
        <f t="shared" si="221"/>
        <v>#N/A</v>
      </c>
      <c r="T360" s="1127" t="b">
        <f t="shared" si="232"/>
        <v>0</v>
      </c>
      <c r="U360" s="1127" t="e">
        <f t="shared" si="222"/>
        <v>#N/A</v>
      </c>
      <c r="V360" s="1127" t="e">
        <f t="shared" si="233"/>
        <v>#N/A</v>
      </c>
      <c r="W360" s="1127" t="e">
        <f>IF(F360="Offiho",J360,IF(_xlfn.XLOOKUP(F360,Proveedores!A$2:A$50,Proveedores!E$2:E$50,"")="Nacional",(J360/0.5)+(V360*H360),((J360/0.3/0.5)+(V360*H360))))</f>
        <v>#N/A</v>
      </c>
      <c r="X360" s="1127" t="e">
        <f t="shared" si="223"/>
        <v>#N/A</v>
      </c>
      <c r="Y360" s="1126" t="b">
        <f t="shared" si="224"/>
        <v>0</v>
      </c>
      <c r="Z360" s="43">
        <v>0</v>
      </c>
      <c r="AA360" s="1219" t="e">
        <f t="shared" si="234"/>
        <v>#N/A</v>
      </c>
      <c r="AB360" s="1219" t="e">
        <f t="shared" si="235"/>
        <v>#N/A</v>
      </c>
      <c r="AC360" s="1219" t="e">
        <f t="shared" si="225"/>
        <v>#N/A</v>
      </c>
      <c r="AD360" s="1126" t="e">
        <f t="shared" si="236"/>
        <v>#N/A</v>
      </c>
      <c r="AE360" s="1217" t="e">
        <f t="shared" si="226"/>
        <v>#N/A</v>
      </c>
      <c r="AF360" s="1220" t="e">
        <f t="shared" si="227"/>
        <v>#N/A</v>
      </c>
      <c r="AG360" s="1176" t="e">
        <f t="shared" si="228"/>
        <v>#N/A</v>
      </c>
      <c r="AH360" s="1221" t="e">
        <f t="shared" si="237"/>
        <v>#N/A</v>
      </c>
    </row>
    <row r="361" spans="1:34" ht="15.5">
      <c r="A361" s="1216" t="b">
        <f t="shared" si="216"/>
        <v>1</v>
      </c>
      <c r="B361" s="1217" t="b">
        <f t="shared" si="229"/>
        <v>1</v>
      </c>
      <c r="C361" s="1218" t="str">
        <f t="shared" si="230"/>
        <v>Dólares</v>
      </c>
      <c r="D361" s="47"/>
      <c r="E361" s="836"/>
      <c r="F361" s="50"/>
      <c r="G361" s="50" t="str">
        <f t="shared" si="217"/>
        <v xml:space="preserve"> </v>
      </c>
      <c r="H361" s="45">
        <v>0</v>
      </c>
      <c r="I361" s="49" t="str">
        <f>IFERROR(VLOOKUP(G361,Proveedores!B:C,2,0)," ")</f>
        <v xml:space="preserve"> </v>
      </c>
      <c r="J361" s="838">
        <v>0</v>
      </c>
      <c r="K361" s="1124"/>
      <c r="L361" s="1266">
        <f t="shared" si="218"/>
        <v>0</v>
      </c>
      <c r="M361" s="1267">
        <f t="shared" si="219"/>
        <v>0</v>
      </c>
      <c r="N361" s="1268">
        <f t="shared" si="238"/>
        <v>0</v>
      </c>
      <c r="O361" s="836" t="str">
        <f>IFERROR(VLOOKUP(G361,Proveedores!B:D,3,0)," ")</f>
        <v xml:space="preserve"> </v>
      </c>
      <c r="P361" s="836"/>
      <c r="Q361" s="1127" t="e">
        <f t="shared" si="220"/>
        <v>#N/A</v>
      </c>
      <c r="R361" s="1127" t="b">
        <f t="shared" si="231"/>
        <v>0</v>
      </c>
      <c r="S361" s="1127" t="e">
        <f t="shared" si="221"/>
        <v>#N/A</v>
      </c>
      <c r="T361" s="1127" t="b">
        <f t="shared" si="232"/>
        <v>0</v>
      </c>
      <c r="U361" s="1127" t="e">
        <f t="shared" si="222"/>
        <v>#N/A</v>
      </c>
      <c r="V361" s="1127" t="e">
        <f t="shared" si="233"/>
        <v>#N/A</v>
      </c>
      <c r="W361" s="1127" t="e">
        <f>IF(F361="Offiho",J361,IF(_xlfn.XLOOKUP(F361,Proveedores!A$2:A$50,Proveedores!E$2:E$50,"")="Nacional",(J361/0.5)+(V361*H361),((J361/0.3/0.5)+(V361*H361))))</f>
        <v>#N/A</v>
      </c>
      <c r="X361" s="1127" t="e">
        <f t="shared" si="223"/>
        <v>#N/A</v>
      </c>
      <c r="Y361" s="1126" t="b">
        <f t="shared" si="224"/>
        <v>0</v>
      </c>
      <c r="Z361" s="43">
        <v>0</v>
      </c>
      <c r="AA361" s="1219" t="e">
        <f t="shared" si="234"/>
        <v>#N/A</v>
      </c>
      <c r="AB361" s="1219" t="e">
        <f t="shared" si="235"/>
        <v>#N/A</v>
      </c>
      <c r="AC361" s="1219" t="e">
        <f t="shared" si="225"/>
        <v>#N/A</v>
      </c>
      <c r="AD361" s="1126" t="str">
        <f t="shared" si="236"/>
        <v>NA</v>
      </c>
      <c r="AE361" s="1217" t="e">
        <f t="shared" si="226"/>
        <v>#N/A</v>
      </c>
      <c r="AF361" s="1220" t="e">
        <f t="shared" si="227"/>
        <v>#N/A</v>
      </c>
      <c r="AG361" s="1176" t="e">
        <f t="shared" si="228"/>
        <v>#N/A</v>
      </c>
      <c r="AH361" s="1221" t="e">
        <f t="shared" si="237"/>
        <v>#N/A</v>
      </c>
    </row>
    <row r="362" spans="1:34" ht="24" customHeight="1">
      <c r="A362" s="1422" t="s">
        <v>134</v>
      </c>
      <c r="B362" s="1422"/>
      <c r="C362" s="1422"/>
      <c r="D362" s="1422"/>
      <c r="E362" s="1422"/>
      <c r="F362" s="1422"/>
      <c r="G362" s="1228"/>
      <c r="H362" s="1229" cm="1">
        <f t="array" ref="H362">SUM(IFERROR(H329:H361,0))</f>
        <v>0</v>
      </c>
      <c r="I362" s="1228"/>
      <c r="J362" s="1230"/>
      <c r="K362" s="1231"/>
      <c r="L362" s="1229" cm="1">
        <f t="array" ref="L362">SUM(IFERROR(L329:L361,0))</f>
        <v>0</v>
      </c>
      <c r="M362" s="1235"/>
      <c r="N362" s="1232" cm="1">
        <f t="array" ref="N362">SUM(IFERROR(N329:N361,0))</f>
        <v>0</v>
      </c>
      <c r="O362" s="1233"/>
      <c r="P362" s="1233"/>
      <c r="Q362" s="1233"/>
      <c r="R362" s="1233"/>
      <c r="S362" s="1233"/>
      <c r="T362" s="1233"/>
      <c r="U362" s="1233"/>
      <c r="V362" s="1233"/>
      <c r="W362" s="1231"/>
      <c r="X362" s="1232" cm="1">
        <f t="array" ref="X362">SUM(IFERROR(X329:X361,0))</f>
        <v>0</v>
      </c>
      <c r="Y362" s="1233" t="s">
        <v>116</v>
      </c>
      <c r="Z362" s="1233"/>
      <c r="AA362" s="1233"/>
      <c r="AB362" s="1233"/>
      <c r="AC362" s="1232" cm="1">
        <f t="array" ref="AC362">SUM(IFERROR(AC329:AC361,0))</f>
        <v>0</v>
      </c>
      <c r="AD362" s="1232"/>
      <c r="AE362" s="1232"/>
      <c r="AF362" s="1232" cm="1">
        <f t="array" ref="AF362">SUM(IFERROR(AF329:AF361,0))</f>
        <v>0</v>
      </c>
      <c r="AG362" s="1177">
        <f>IFERROR(1-(N362/AC362),0)</f>
        <v>0</v>
      </c>
      <c r="AH362"/>
    </row>
    <row r="363" spans="1:34" ht="26" customHeight="1">
      <c r="A363" s="1419" t="s">
        <v>135</v>
      </c>
      <c r="B363" s="1419"/>
      <c r="C363" s="1419"/>
      <c r="D363" s="1419"/>
      <c r="E363" s="1419"/>
      <c r="F363" s="1419"/>
      <c r="G363" s="1419"/>
      <c r="H363" s="1419"/>
      <c r="I363" s="1419"/>
      <c r="J363" s="1420"/>
      <c r="K363" s="1214"/>
      <c r="L363" s="1214"/>
      <c r="M363" s="1236"/>
      <c r="N363" s="1214"/>
      <c r="O363" s="1213"/>
      <c r="P363" s="1213"/>
      <c r="Q363" s="1213"/>
      <c r="R363" s="1213"/>
      <c r="S363" s="1213"/>
      <c r="T363" s="1213"/>
      <c r="U363" s="1213"/>
      <c r="V363" s="1213"/>
      <c r="W363" s="1178"/>
      <c r="X363" s="1178"/>
      <c r="Y363" s="1178"/>
      <c r="Z363" s="1213"/>
      <c r="AA363" s="1213"/>
      <c r="AB363" s="1213"/>
      <c r="AC363" s="1213"/>
      <c r="AD363" s="1213"/>
      <c r="AE363" s="1213"/>
      <c r="AF363" s="1213"/>
      <c r="AG363" s="1215"/>
      <c r="AH363"/>
    </row>
    <row r="364" spans="1:34" ht="15.5">
      <c r="A364" s="1216" t="b">
        <f t="shared" ref="A364:A396" si="239">$A$13</f>
        <v>1</v>
      </c>
      <c r="B364" s="1217" t="b">
        <f>A364</f>
        <v>1</v>
      </c>
      <c r="C364" s="1218" t="str">
        <f>$C$13</f>
        <v>Dólares</v>
      </c>
      <c r="D364" s="44"/>
      <c r="E364" s="836"/>
      <c r="F364" s="50"/>
      <c r="G364" t="str">
        <f t="shared" ref="G364:G396" si="240">IFERROR(VLOOKUP(F364,Tabla_Proveedores_1,2,0)," ")</f>
        <v xml:space="preserve"> </v>
      </c>
      <c r="H364" s="45">
        <v>0</v>
      </c>
      <c r="I364" s="49" t="str">
        <f>IFERROR(VLOOKUP(G364,Proveedores!B:C,2,0)," ")</f>
        <v xml:space="preserve"> </v>
      </c>
      <c r="J364" s="838">
        <v>0</v>
      </c>
      <c r="K364" s="1124"/>
      <c r="L364" s="1266">
        <f t="shared" ref="L364:L396" si="241">K364*H364</f>
        <v>0</v>
      </c>
      <c r="M364" s="1267">
        <f t="shared" ref="M364:M396" si="242">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Brasil"),J364,IFERROR(IF(K923&lt;=$AO$578,J364*2.14,IF(K923&lt;=$AN$579,J364*1.8,IF(K923&gt;$AN$580,J364*1.5))),J364))*1.1)</f>
        <v>0</v>
      </c>
      <c r="N364" s="1268">
        <f>M364*H364</f>
        <v>0</v>
      </c>
      <c r="O364" s="836" t="str">
        <f>IFERROR(VLOOKUP(G364,Proveedores!B:D,3,0)," ")</f>
        <v xml:space="preserve"> </v>
      </c>
      <c r="P364" s="836"/>
      <c r="Q364" s="1127" t="e">
        <f t="shared" ref="Q364:Q396" si="243">VLOOKUP(E364,Tabla_Fletes,3,FALSE)</f>
        <v>#N/A</v>
      </c>
      <c r="R364" s="1127" t="b">
        <f>IF(P364="Centro",Q364,IF(P364="Norte",Q364*1.6,IF(P364="Occidente",Q364*1.2,IF(P364="Sur",Q364*2))))</f>
        <v>0</v>
      </c>
      <c r="S364" s="1127" t="e">
        <f t="shared" ref="S364:S396" si="244">VLOOKUP(E364,Tabla_Instalacion,2,FALSE)</f>
        <v>#N/A</v>
      </c>
      <c r="T364" s="1127" t="b">
        <f>IF(P364="Centro",S364,IF(P364="Norte",S364*1.1,IF(P364="Occidente",S364*1.1,IF(P364="Sur",S364*1.1))))</f>
        <v>0</v>
      </c>
      <c r="U364" s="1127" t="e">
        <f t="shared" ref="U364:U396" si="245">IF(F364="Offiho",0,Q364+S364)</f>
        <v>#N/A</v>
      </c>
      <c r="V364" s="1127" t="e">
        <f>IF(K364=0,U364/$H$573,U364*(K364/L364))*H364</f>
        <v>#N/A</v>
      </c>
      <c r="W364" s="1127" t="e">
        <f>IF(F364="Offiho",J364,IF(_xlfn.XLOOKUP(F364,Proveedores!A$2:A$50,Proveedores!E$2:E$50,"")="Nacional",(J364/0.5)+(V364*H364),((J364/0.3/0.5)+(V364*H364))))</f>
        <v>#N/A</v>
      </c>
      <c r="X364" s="1127" t="e">
        <f t="shared" ref="X364:X396" si="246">W364*H364</f>
        <v>#N/A</v>
      </c>
      <c r="Y364" s="1126" t="b">
        <f t="shared" ref="Y364:Y396" si="247">IF(F364="Sunon Inc",$AJ$577,IF(F364="Alma - Exterior",$AJ$578,IF(F364="Yabo - Hotelería",$AJ$579,IF(F364="OSJ - Medical",$AJ$580,IF(F364="Seezo - Home",$AJ$581,IF(F364="A&amp;D - Home",$AJ$582,IF(F364="Encore Alfombras Hoteleria Asia",$AJ$583,IF(F364="Zhong Xian - Leds",$AJ$584,IF(F364="Tarkett Europa",$AJ$585,IF(F364="2tec2",$AJ$586,IF(F364="Balsan Europa",$AJ$587,IF(F364="Armstrong Pisos USA",$AJ$588,IF(F364="Tarkett USA",$AJ$589,IF(F364="Tarkett Brasil",$AJ$590,IF(F364="Tarkett MX",$AJ$591,IF(F364="Jome",$AJ$592,IF(F364="Offiho",$AJ$593,IF(F364="Lumbro",$AJ$594,IF(F364="Sunon Mty",$AJ$595,IF(F364="Conceptos Sofas",$AJ$596,IF(F364="Lauco Sofas",$AJ$597,IF(F364="CR Global - Mesas Ajustables",$AJ$598,IF(F364="Vandesk",$AJ$599,IF(F364="Mamparas Tela",$AJ$600,IF(F364="Mampara Cristales",$AJ$601,IF(F364="Herrajes",$AJ$602,IF(F364="MetalWork",$AJ$603,IF(F364="Requiez",$AJ$604,IF(F364="Labenze",$AJ$605,IF(F364="Infinity",$AJ$606,IF(F364="Proveedor Externo",$AJ$607)))))))))))))))))))))))))))))))</f>
        <v>0</v>
      </c>
      <c r="Z364" s="43">
        <v>0</v>
      </c>
      <c r="AA364" s="1219" t="e">
        <f>W364*Z364</f>
        <v>#N/A</v>
      </c>
      <c r="AB364" s="1219" t="e">
        <f>IF(Z364&gt;Y364,"ERROR",(W364-AA364))</f>
        <v>#N/A</v>
      </c>
      <c r="AC364" s="1219" t="e">
        <f t="shared" ref="AC364:AC396" si="248">AB364*H364</f>
        <v>#N/A</v>
      </c>
      <c r="AD364" s="1126" t="e">
        <f>IF(A365=TRUE,MAX(0,1-(AE364/W364)),"NA")</f>
        <v>#N/A</v>
      </c>
      <c r="AE364" s="1217" t="e">
        <f t="shared" ref="AE364:AE396" si="249">IF(A363=FALSE,"NO APLICA",AB364*1.2)</f>
        <v>#N/A</v>
      </c>
      <c r="AF364" s="1220" t="e">
        <f t="shared" ref="AF364:AF396" si="250">AE364*H364</f>
        <v>#N/A</v>
      </c>
      <c r="AG364" s="1176" t="e">
        <f t="shared" ref="AG364:AG396" si="251">(AC364-N364)/AC364</f>
        <v>#N/A</v>
      </c>
      <c r="AH364" s="1221" t="e">
        <f>IF(AG364&lt;30%,"ERROR","OK")</f>
        <v>#N/A</v>
      </c>
    </row>
    <row r="365" spans="1:34" ht="15.5">
      <c r="A365" s="1216" t="b">
        <f t="shared" si="239"/>
        <v>1</v>
      </c>
      <c r="B365" s="1217" t="b">
        <f t="shared" ref="B365:B396" si="252">A365</f>
        <v>1</v>
      </c>
      <c r="C365" s="1218" t="str">
        <f t="shared" ref="C365:C396" si="253">$C$13</f>
        <v>Dólares</v>
      </c>
      <c r="D365" s="46"/>
      <c r="E365" s="836"/>
      <c r="F365" s="50"/>
      <c r="G365" t="str">
        <f t="shared" si="240"/>
        <v xml:space="preserve"> </v>
      </c>
      <c r="H365" s="45">
        <v>0</v>
      </c>
      <c r="I365" s="49" t="str">
        <f>IFERROR(VLOOKUP(G365,Proveedores!B:C,2,0)," ")</f>
        <v xml:space="preserve"> </v>
      </c>
      <c r="J365" s="838">
        <v>0</v>
      </c>
      <c r="K365" s="1124"/>
      <c r="L365" s="1266">
        <f t="shared" si="241"/>
        <v>0</v>
      </c>
      <c r="M365" s="1267">
        <f t="shared" si="242"/>
        <v>0</v>
      </c>
      <c r="N365" s="1268">
        <f>M365*H365</f>
        <v>0</v>
      </c>
      <c r="O365" s="836" t="str">
        <f>IFERROR(VLOOKUP(G365,Proveedores!B:D,3,0)," ")</f>
        <v xml:space="preserve"> </v>
      </c>
      <c r="P365" s="836"/>
      <c r="Q365" s="1127" t="e">
        <f t="shared" si="243"/>
        <v>#N/A</v>
      </c>
      <c r="R365" s="1127" t="b">
        <f t="shared" ref="R365:R396" si="254">IF(P365="Centro",Q365,IF(P365="Norte",Q365*1.6,IF(P365="Occidente",Q365*1.2,IF(P365="Sur",Q365*2))))</f>
        <v>0</v>
      </c>
      <c r="S365" s="1127" t="e">
        <f t="shared" si="244"/>
        <v>#N/A</v>
      </c>
      <c r="T365" s="1127" t="b">
        <f t="shared" ref="T365:T396" si="255">IF(P365="Centro",S365,IF(P365="Norte",S365*1.1,IF(P365="Occidente",S365*1.1,IF(P365="Sur",S365*1.1))))</f>
        <v>0</v>
      </c>
      <c r="U365" s="1127" t="e">
        <f t="shared" si="245"/>
        <v>#N/A</v>
      </c>
      <c r="V365" s="1127" t="e">
        <f t="shared" ref="V365:V396" si="256">IF(K365=0,U365/$H$573,U365*(K365/L365))*H365</f>
        <v>#N/A</v>
      </c>
      <c r="W365" s="1127" t="e">
        <f>IF(F365="Offiho",J365,IF(_xlfn.XLOOKUP(F365,Proveedores!A$2:A$50,Proveedores!E$2:E$50,"")="Nacional",(J365/0.5)+(V365*H365),((J365/0.3/0.5)+(V365*H365))))</f>
        <v>#N/A</v>
      </c>
      <c r="X365" s="1127" t="e">
        <f t="shared" si="246"/>
        <v>#N/A</v>
      </c>
      <c r="Y365" s="1126" t="b">
        <f t="shared" si="247"/>
        <v>0</v>
      </c>
      <c r="Z365" s="43">
        <v>0</v>
      </c>
      <c r="AA365" s="1219" t="e">
        <f t="shared" ref="AA365:AA396" si="257">W365*Z365</f>
        <v>#N/A</v>
      </c>
      <c r="AB365" s="1219" t="e">
        <f t="shared" ref="AB365:AB396" si="258">IF(Z365&gt;Y365,"ERROR",(W365-AA365))</f>
        <v>#N/A</v>
      </c>
      <c r="AC365" s="1219" t="e">
        <f t="shared" si="248"/>
        <v>#N/A</v>
      </c>
      <c r="AD365" s="1126" t="e">
        <f t="shared" ref="AD365:AD396" si="259">IF(A366=TRUE,MAX(0,1-(AE365/W365)),"NA")</f>
        <v>#N/A</v>
      </c>
      <c r="AE365" s="1217" t="e">
        <f t="shared" si="249"/>
        <v>#N/A</v>
      </c>
      <c r="AF365" s="1220" t="e">
        <f t="shared" si="250"/>
        <v>#N/A</v>
      </c>
      <c r="AG365" s="1176" t="e">
        <f t="shared" si="251"/>
        <v>#N/A</v>
      </c>
      <c r="AH365" s="1221" t="e">
        <f t="shared" ref="AH365:AH396" si="260">IF(AG365&lt;30%,"ERROR","OK")</f>
        <v>#N/A</v>
      </c>
    </row>
    <row r="366" spans="1:34" ht="15.5">
      <c r="A366" s="1216" t="b">
        <f t="shared" si="239"/>
        <v>1</v>
      </c>
      <c r="B366" s="1217" t="b">
        <f t="shared" si="252"/>
        <v>1</v>
      </c>
      <c r="C366" s="1218" t="str">
        <f t="shared" si="253"/>
        <v>Dólares</v>
      </c>
      <c r="D366" s="46"/>
      <c r="E366" s="836"/>
      <c r="F366" s="50"/>
      <c r="G366" t="str">
        <f t="shared" si="240"/>
        <v xml:space="preserve"> </v>
      </c>
      <c r="H366" s="45">
        <v>0</v>
      </c>
      <c r="I366" s="49" t="str">
        <f>IFERROR(VLOOKUP(G366,Proveedores!B:C,2,0)," ")</f>
        <v xml:space="preserve"> </v>
      </c>
      <c r="J366" s="838">
        <v>0</v>
      </c>
      <c r="K366" s="1124"/>
      <c r="L366" s="1266">
        <f t="shared" si="241"/>
        <v>0</v>
      </c>
      <c r="M366" s="1267">
        <f t="shared" si="242"/>
        <v>0</v>
      </c>
      <c r="N366" s="1268">
        <f>(M366*H366)</f>
        <v>0</v>
      </c>
      <c r="O366" s="836" t="str">
        <f>IFERROR(VLOOKUP(G366,Proveedores!B:D,3,0)," ")</f>
        <v xml:space="preserve"> </v>
      </c>
      <c r="P366" s="836"/>
      <c r="Q366" s="1127" t="e">
        <f t="shared" si="243"/>
        <v>#N/A</v>
      </c>
      <c r="R366" s="1127" t="b">
        <f t="shared" si="254"/>
        <v>0</v>
      </c>
      <c r="S366" s="1127" t="e">
        <f t="shared" si="244"/>
        <v>#N/A</v>
      </c>
      <c r="T366" s="1127" t="b">
        <f t="shared" si="255"/>
        <v>0</v>
      </c>
      <c r="U366" s="1127" t="e">
        <f t="shared" si="245"/>
        <v>#N/A</v>
      </c>
      <c r="V366" s="1127" t="e">
        <f t="shared" si="256"/>
        <v>#N/A</v>
      </c>
      <c r="W366" s="1127" t="e">
        <f>IF(F366="Offiho",J366,IF(_xlfn.XLOOKUP(F366,Proveedores!A$2:A$50,Proveedores!E$2:E$50,"")="Nacional",(J366/0.5)+(V366*H366),((J366/0.3/0.5)+(V366*H366))))</f>
        <v>#N/A</v>
      </c>
      <c r="X366" s="1127" t="e">
        <f t="shared" si="246"/>
        <v>#N/A</v>
      </c>
      <c r="Y366" s="1126" t="b">
        <f t="shared" si="247"/>
        <v>0</v>
      </c>
      <c r="Z366" s="43">
        <v>0</v>
      </c>
      <c r="AA366" s="1219" t="e">
        <f t="shared" si="257"/>
        <v>#N/A</v>
      </c>
      <c r="AB366" s="1219" t="e">
        <f t="shared" si="258"/>
        <v>#N/A</v>
      </c>
      <c r="AC366" s="1219" t="e">
        <f t="shared" si="248"/>
        <v>#N/A</v>
      </c>
      <c r="AD366" s="1126" t="e">
        <f t="shared" si="259"/>
        <v>#N/A</v>
      </c>
      <c r="AE366" s="1217" t="e">
        <f t="shared" si="249"/>
        <v>#N/A</v>
      </c>
      <c r="AF366" s="1220" t="e">
        <f t="shared" si="250"/>
        <v>#N/A</v>
      </c>
      <c r="AG366" s="1176" t="e">
        <f t="shared" si="251"/>
        <v>#N/A</v>
      </c>
      <c r="AH366" s="1221" t="e">
        <f t="shared" si="260"/>
        <v>#N/A</v>
      </c>
    </row>
    <row r="367" spans="1:34" ht="15.5">
      <c r="A367" s="1216" t="b">
        <f t="shared" si="239"/>
        <v>1</v>
      </c>
      <c r="B367" s="1217" t="b">
        <f t="shared" si="252"/>
        <v>1</v>
      </c>
      <c r="C367" s="1218" t="str">
        <f t="shared" si="253"/>
        <v>Dólares</v>
      </c>
      <c r="D367" s="46"/>
      <c r="E367" s="836"/>
      <c r="F367" s="50"/>
      <c r="G367" t="str">
        <f t="shared" si="240"/>
        <v xml:space="preserve"> </v>
      </c>
      <c r="H367" s="45">
        <v>0</v>
      </c>
      <c r="I367" s="49" t="str">
        <f>IFERROR(VLOOKUP(G367,Proveedores!B:C,2,0)," ")</f>
        <v xml:space="preserve"> </v>
      </c>
      <c r="J367" s="838">
        <v>0</v>
      </c>
      <c r="K367" s="1124"/>
      <c r="L367" s="1266">
        <f t="shared" si="241"/>
        <v>0</v>
      </c>
      <c r="M367" s="1267">
        <f t="shared" si="242"/>
        <v>0</v>
      </c>
      <c r="N367" s="1268">
        <f t="shared" ref="N367:N396" si="261">M367*H367</f>
        <v>0</v>
      </c>
      <c r="O367" s="836" t="str">
        <f>IFERROR(VLOOKUP(G367,Proveedores!B:D,3,0)," ")</f>
        <v xml:space="preserve"> </v>
      </c>
      <c r="P367" s="836"/>
      <c r="Q367" s="1127" t="e">
        <f t="shared" si="243"/>
        <v>#N/A</v>
      </c>
      <c r="R367" s="1127" t="b">
        <f t="shared" si="254"/>
        <v>0</v>
      </c>
      <c r="S367" s="1127" t="e">
        <f t="shared" si="244"/>
        <v>#N/A</v>
      </c>
      <c r="T367" s="1127" t="b">
        <f t="shared" si="255"/>
        <v>0</v>
      </c>
      <c r="U367" s="1127" t="e">
        <f t="shared" si="245"/>
        <v>#N/A</v>
      </c>
      <c r="V367" s="1127" t="e">
        <f t="shared" si="256"/>
        <v>#N/A</v>
      </c>
      <c r="W367" s="1127" t="e">
        <f>IF(F367="Offiho",J367,IF(_xlfn.XLOOKUP(F367,Proveedores!A$2:A$50,Proveedores!E$2:E$50,"")="Nacional",(J367/0.5)+(V367*H367),((J367/0.3/0.5)+(V367*H367))))</f>
        <v>#N/A</v>
      </c>
      <c r="X367" s="1127" t="e">
        <f t="shared" si="246"/>
        <v>#N/A</v>
      </c>
      <c r="Y367" s="1126" t="b">
        <f t="shared" si="247"/>
        <v>0</v>
      </c>
      <c r="Z367" s="43">
        <v>0</v>
      </c>
      <c r="AA367" s="1219" t="e">
        <f t="shared" si="257"/>
        <v>#N/A</v>
      </c>
      <c r="AB367" s="1219" t="e">
        <f t="shared" si="258"/>
        <v>#N/A</v>
      </c>
      <c r="AC367" s="1219" t="e">
        <f t="shared" si="248"/>
        <v>#N/A</v>
      </c>
      <c r="AD367" s="1126" t="e">
        <f t="shared" si="259"/>
        <v>#N/A</v>
      </c>
      <c r="AE367" s="1217" t="e">
        <f t="shared" si="249"/>
        <v>#N/A</v>
      </c>
      <c r="AF367" s="1220" t="e">
        <f t="shared" si="250"/>
        <v>#N/A</v>
      </c>
      <c r="AG367" s="1176" t="e">
        <f t="shared" si="251"/>
        <v>#N/A</v>
      </c>
      <c r="AH367" s="1221" t="e">
        <f t="shared" si="260"/>
        <v>#N/A</v>
      </c>
    </row>
    <row r="368" spans="1:34" ht="15.5">
      <c r="A368" s="1216" t="b">
        <f t="shared" si="239"/>
        <v>1</v>
      </c>
      <c r="B368" s="1217" t="b">
        <f t="shared" si="252"/>
        <v>1</v>
      </c>
      <c r="C368" s="1218" t="str">
        <f t="shared" si="253"/>
        <v>Dólares</v>
      </c>
      <c r="D368" s="46"/>
      <c r="E368" s="836"/>
      <c r="F368" s="50"/>
      <c r="G368" t="str">
        <f t="shared" si="240"/>
        <v xml:space="preserve"> </v>
      </c>
      <c r="H368" s="45">
        <v>0</v>
      </c>
      <c r="I368" s="49" t="str">
        <f>IFERROR(VLOOKUP(G368,Proveedores!B:C,2,0)," ")</f>
        <v xml:space="preserve"> </v>
      </c>
      <c r="J368" s="838">
        <v>0</v>
      </c>
      <c r="K368" s="1124"/>
      <c r="L368" s="1266">
        <f t="shared" si="241"/>
        <v>0</v>
      </c>
      <c r="M368" s="1267">
        <f t="shared" si="242"/>
        <v>0</v>
      </c>
      <c r="N368" s="1268">
        <f t="shared" si="261"/>
        <v>0</v>
      </c>
      <c r="O368" s="836" t="str">
        <f>IFERROR(VLOOKUP(G368,Proveedores!B:D,3,0)," ")</f>
        <v xml:space="preserve"> </v>
      </c>
      <c r="P368" s="836"/>
      <c r="Q368" s="1127" t="e">
        <f t="shared" si="243"/>
        <v>#N/A</v>
      </c>
      <c r="R368" s="1127" t="b">
        <f t="shared" si="254"/>
        <v>0</v>
      </c>
      <c r="S368" s="1127" t="e">
        <f t="shared" si="244"/>
        <v>#N/A</v>
      </c>
      <c r="T368" s="1127" t="b">
        <f t="shared" si="255"/>
        <v>0</v>
      </c>
      <c r="U368" s="1127" t="e">
        <f t="shared" si="245"/>
        <v>#N/A</v>
      </c>
      <c r="V368" s="1127" t="e">
        <f t="shared" si="256"/>
        <v>#N/A</v>
      </c>
      <c r="W368" s="1127" t="e">
        <f>IF(F368="Offiho",J368,IF(_xlfn.XLOOKUP(F368,Proveedores!A$2:A$50,Proveedores!E$2:E$50,"")="Nacional",(J368/0.5)+(V368*H368),((J368/0.3/0.5)+(V368*H368))))</f>
        <v>#N/A</v>
      </c>
      <c r="X368" s="1127" t="e">
        <f t="shared" si="246"/>
        <v>#N/A</v>
      </c>
      <c r="Y368" s="1126" t="b">
        <f t="shared" si="247"/>
        <v>0</v>
      </c>
      <c r="Z368" s="43">
        <v>0</v>
      </c>
      <c r="AA368" s="1219" t="e">
        <f t="shared" si="257"/>
        <v>#N/A</v>
      </c>
      <c r="AB368" s="1219" t="e">
        <f t="shared" si="258"/>
        <v>#N/A</v>
      </c>
      <c r="AC368" s="1219" t="e">
        <f t="shared" si="248"/>
        <v>#N/A</v>
      </c>
      <c r="AD368" s="1126" t="e">
        <f t="shared" si="259"/>
        <v>#N/A</v>
      </c>
      <c r="AE368" s="1217" t="e">
        <f t="shared" si="249"/>
        <v>#N/A</v>
      </c>
      <c r="AF368" s="1220" t="e">
        <f t="shared" si="250"/>
        <v>#N/A</v>
      </c>
      <c r="AG368" s="1176" t="e">
        <f t="shared" si="251"/>
        <v>#N/A</v>
      </c>
      <c r="AH368" s="1221" t="e">
        <f t="shared" si="260"/>
        <v>#N/A</v>
      </c>
    </row>
    <row r="369" spans="1:34" ht="15.5">
      <c r="A369" s="1216" t="b">
        <f t="shared" si="239"/>
        <v>1</v>
      </c>
      <c r="B369" s="1217" t="b">
        <f t="shared" si="252"/>
        <v>1</v>
      </c>
      <c r="C369" s="1218" t="str">
        <f t="shared" si="253"/>
        <v>Dólares</v>
      </c>
      <c r="D369" s="46"/>
      <c r="E369" s="836"/>
      <c r="F369" s="50"/>
      <c r="G369" t="str">
        <f t="shared" si="240"/>
        <v xml:space="preserve"> </v>
      </c>
      <c r="H369" s="45">
        <v>0</v>
      </c>
      <c r="I369" s="49" t="str">
        <f>IFERROR(VLOOKUP(G369,Proveedores!B:C,2,0)," ")</f>
        <v xml:space="preserve"> </v>
      </c>
      <c r="J369" s="838">
        <v>0</v>
      </c>
      <c r="K369" s="1124"/>
      <c r="L369" s="1266">
        <f t="shared" si="241"/>
        <v>0</v>
      </c>
      <c r="M369" s="1267">
        <f t="shared" si="242"/>
        <v>0</v>
      </c>
      <c r="N369" s="1268">
        <f t="shared" si="261"/>
        <v>0</v>
      </c>
      <c r="O369" s="836" t="str">
        <f>IFERROR(VLOOKUP(G369,Proveedores!B:D,3,0)," ")</f>
        <v xml:space="preserve"> </v>
      </c>
      <c r="P369" s="836"/>
      <c r="Q369" s="1127" t="e">
        <f t="shared" si="243"/>
        <v>#N/A</v>
      </c>
      <c r="R369" s="1127" t="b">
        <f t="shared" si="254"/>
        <v>0</v>
      </c>
      <c r="S369" s="1127" t="e">
        <f t="shared" si="244"/>
        <v>#N/A</v>
      </c>
      <c r="T369" s="1127" t="b">
        <f t="shared" si="255"/>
        <v>0</v>
      </c>
      <c r="U369" s="1127" t="e">
        <f t="shared" si="245"/>
        <v>#N/A</v>
      </c>
      <c r="V369" s="1127" t="e">
        <f t="shared" si="256"/>
        <v>#N/A</v>
      </c>
      <c r="W369" s="1127" t="e">
        <f>IF(F369="Offiho",J369,IF(_xlfn.XLOOKUP(F369,Proveedores!A$2:A$50,Proveedores!E$2:E$50,"")="Nacional",(J369/0.5)+(V369*H369),((J369/0.3/0.5)+(V369*H369))))</f>
        <v>#N/A</v>
      </c>
      <c r="X369" s="1127" t="e">
        <f t="shared" si="246"/>
        <v>#N/A</v>
      </c>
      <c r="Y369" s="1126" t="b">
        <f t="shared" si="247"/>
        <v>0</v>
      </c>
      <c r="Z369" s="43">
        <v>0</v>
      </c>
      <c r="AA369" s="1219" t="e">
        <f t="shared" si="257"/>
        <v>#N/A</v>
      </c>
      <c r="AB369" s="1219" t="e">
        <f t="shared" si="258"/>
        <v>#N/A</v>
      </c>
      <c r="AC369" s="1219" t="e">
        <f t="shared" si="248"/>
        <v>#N/A</v>
      </c>
      <c r="AD369" s="1126" t="e">
        <f t="shared" si="259"/>
        <v>#N/A</v>
      </c>
      <c r="AE369" s="1217" t="e">
        <f t="shared" si="249"/>
        <v>#N/A</v>
      </c>
      <c r="AF369" s="1220" t="e">
        <f t="shared" si="250"/>
        <v>#N/A</v>
      </c>
      <c r="AG369" s="1176" t="e">
        <f t="shared" si="251"/>
        <v>#N/A</v>
      </c>
      <c r="AH369" s="1221" t="e">
        <f t="shared" si="260"/>
        <v>#N/A</v>
      </c>
    </row>
    <row r="370" spans="1:34" ht="15.5">
      <c r="A370" s="1216" t="b">
        <f t="shared" si="239"/>
        <v>1</v>
      </c>
      <c r="B370" s="1217" t="b">
        <f t="shared" si="252"/>
        <v>1</v>
      </c>
      <c r="C370" s="1218" t="str">
        <f t="shared" si="253"/>
        <v>Dólares</v>
      </c>
      <c r="D370" s="44"/>
      <c r="E370" s="836"/>
      <c r="F370" s="50"/>
      <c r="G370" t="str">
        <f t="shared" si="240"/>
        <v xml:space="preserve"> </v>
      </c>
      <c r="H370" s="45">
        <v>0</v>
      </c>
      <c r="I370" s="49" t="str">
        <f>IFERROR(VLOOKUP(G370,Proveedores!B:C,2,0)," ")</f>
        <v xml:space="preserve"> </v>
      </c>
      <c r="J370" s="838">
        <v>0</v>
      </c>
      <c r="K370" s="1124"/>
      <c r="L370" s="1266">
        <f t="shared" si="241"/>
        <v>0</v>
      </c>
      <c r="M370" s="1267">
        <f t="shared" si="242"/>
        <v>0</v>
      </c>
      <c r="N370" s="1268">
        <f t="shared" si="261"/>
        <v>0</v>
      </c>
      <c r="O370" s="836" t="str">
        <f>IFERROR(VLOOKUP(G370,Proveedores!B:D,3,0)," ")</f>
        <v xml:space="preserve"> </v>
      </c>
      <c r="P370" s="836"/>
      <c r="Q370" s="1127" t="e">
        <f t="shared" si="243"/>
        <v>#N/A</v>
      </c>
      <c r="R370" s="1127" t="b">
        <f t="shared" si="254"/>
        <v>0</v>
      </c>
      <c r="S370" s="1127" t="e">
        <f t="shared" si="244"/>
        <v>#N/A</v>
      </c>
      <c r="T370" s="1127" t="b">
        <f t="shared" si="255"/>
        <v>0</v>
      </c>
      <c r="U370" s="1127" t="e">
        <f t="shared" si="245"/>
        <v>#N/A</v>
      </c>
      <c r="V370" s="1127" t="e">
        <f t="shared" si="256"/>
        <v>#N/A</v>
      </c>
      <c r="W370" s="1127" t="e">
        <f>IF(F370="Offiho",J370,IF(_xlfn.XLOOKUP(F370,Proveedores!A$2:A$50,Proveedores!E$2:E$50,"")="Nacional",(J370/0.5)+(V370*H370),((J370/0.3/0.5)+(V370*H370))))</f>
        <v>#N/A</v>
      </c>
      <c r="X370" s="1127" t="e">
        <f t="shared" si="246"/>
        <v>#N/A</v>
      </c>
      <c r="Y370" s="1126" t="b">
        <f t="shared" si="247"/>
        <v>0</v>
      </c>
      <c r="Z370" s="43">
        <v>0</v>
      </c>
      <c r="AA370" s="1219" t="e">
        <f t="shared" si="257"/>
        <v>#N/A</v>
      </c>
      <c r="AB370" s="1219" t="e">
        <f t="shared" si="258"/>
        <v>#N/A</v>
      </c>
      <c r="AC370" s="1219" t="e">
        <f t="shared" si="248"/>
        <v>#N/A</v>
      </c>
      <c r="AD370" s="1126" t="e">
        <f t="shared" si="259"/>
        <v>#N/A</v>
      </c>
      <c r="AE370" s="1217" t="e">
        <f t="shared" si="249"/>
        <v>#N/A</v>
      </c>
      <c r="AF370" s="1220" t="e">
        <f t="shared" si="250"/>
        <v>#N/A</v>
      </c>
      <c r="AG370" s="1176" t="e">
        <f t="shared" si="251"/>
        <v>#N/A</v>
      </c>
      <c r="AH370" s="1221" t="e">
        <f t="shared" si="260"/>
        <v>#N/A</v>
      </c>
    </row>
    <row r="371" spans="1:34" ht="15.5">
      <c r="A371" s="1216" t="b">
        <f t="shared" si="239"/>
        <v>1</v>
      </c>
      <c r="B371" s="1217" t="b">
        <f t="shared" si="252"/>
        <v>1</v>
      </c>
      <c r="C371" s="1218" t="str">
        <f t="shared" si="253"/>
        <v>Dólares</v>
      </c>
      <c r="D371" s="44"/>
      <c r="E371" s="836"/>
      <c r="F371" s="50"/>
      <c r="G371" t="str">
        <f t="shared" si="240"/>
        <v xml:space="preserve"> </v>
      </c>
      <c r="H371" s="45">
        <v>0</v>
      </c>
      <c r="I371" s="49" t="str">
        <f>IFERROR(VLOOKUP(G371,Proveedores!B:C,2,0)," ")</f>
        <v xml:space="preserve"> </v>
      </c>
      <c r="J371" s="838">
        <v>0</v>
      </c>
      <c r="K371" s="1124"/>
      <c r="L371" s="1266">
        <f t="shared" si="241"/>
        <v>0</v>
      </c>
      <c r="M371" s="1267">
        <f t="shared" si="242"/>
        <v>0</v>
      </c>
      <c r="N371" s="1268">
        <f t="shared" si="261"/>
        <v>0</v>
      </c>
      <c r="O371" s="836" t="str">
        <f>IFERROR(VLOOKUP(G371,Proveedores!B:D,3,0)," ")</f>
        <v xml:space="preserve"> </v>
      </c>
      <c r="P371" s="836"/>
      <c r="Q371" s="1127" t="e">
        <f t="shared" si="243"/>
        <v>#N/A</v>
      </c>
      <c r="R371" s="1127" t="b">
        <f t="shared" si="254"/>
        <v>0</v>
      </c>
      <c r="S371" s="1127" t="e">
        <f t="shared" si="244"/>
        <v>#N/A</v>
      </c>
      <c r="T371" s="1127" t="b">
        <f t="shared" si="255"/>
        <v>0</v>
      </c>
      <c r="U371" s="1127" t="e">
        <f t="shared" si="245"/>
        <v>#N/A</v>
      </c>
      <c r="V371" s="1127" t="e">
        <f t="shared" si="256"/>
        <v>#N/A</v>
      </c>
      <c r="W371" s="1127" t="e">
        <f>IF(F371="Offiho",J371,IF(_xlfn.XLOOKUP(F371,Proveedores!A$2:A$50,Proveedores!E$2:E$50,"")="Nacional",(J371/0.5)+(V371*H371),((J371/0.3/0.5)+(V371*H371))))</f>
        <v>#N/A</v>
      </c>
      <c r="X371" s="1127" t="e">
        <f t="shared" si="246"/>
        <v>#N/A</v>
      </c>
      <c r="Y371" s="1126" t="b">
        <f t="shared" si="247"/>
        <v>0</v>
      </c>
      <c r="Z371" s="43">
        <v>0</v>
      </c>
      <c r="AA371" s="1219" t="e">
        <f t="shared" si="257"/>
        <v>#N/A</v>
      </c>
      <c r="AB371" s="1219" t="e">
        <f t="shared" si="258"/>
        <v>#N/A</v>
      </c>
      <c r="AC371" s="1219" t="e">
        <f t="shared" si="248"/>
        <v>#N/A</v>
      </c>
      <c r="AD371" s="1126" t="e">
        <f t="shared" si="259"/>
        <v>#N/A</v>
      </c>
      <c r="AE371" s="1217" t="e">
        <f t="shared" si="249"/>
        <v>#N/A</v>
      </c>
      <c r="AF371" s="1220" t="e">
        <f t="shared" si="250"/>
        <v>#N/A</v>
      </c>
      <c r="AG371" s="1176" t="e">
        <f t="shared" si="251"/>
        <v>#N/A</v>
      </c>
      <c r="AH371" s="1221" t="e">
        <f t="shared" si="260"/>
        <v>#N/A</v>
      </c>
    </row>
    <row r="372" spans="1:34" ht="15.5">
      <c r="A372" s="1216" t="b">
        <f t="shared" si="239"/>
        <v>1</v>
      </c>
      <c r="B372" s="1217" t="b">
        <f t="shared" si="252"/>
        <v>1</v>
      </c>
      <c r="C372" s="1218" t="str">
        <f t="shared" si="253"/>
        <v>Dólares</v>
      </c>
      <c r="D372" s="44"/>
      <c r="E372" s="836"/>
      <c r="F372" s="50"/>
      <c r="G372" t="str">
        <f t="shared" si="240"/>
        <v xml:space="preserve"> </v>
      </c>
      <c r="H372" s="45">
        <v>0</v>
      </c>
      <c r="I372" s="49" t="str">
        <f>IFERROR(VLOOKUP(G372,Proveedores!B:C,2,0)," ")</f>
        <v xml:space="preserve"> </v>
      </c>
      <c r="J372" s="838">
        <v>0</v>
      </c>
      <c r="K372" s="1124"/>
      <c r="L372" s="1266">
        <f t="shared" si="241"/>
        <v>0</v>
      </c>
      <c r="M372" s="1267">
        <f t="shared" si="242"/>
        <v>0</v>
      </c>
      <c r="N372" s="1268">
        <f t="shared" si="261"/>
        <v>0</v>
      </c>
      <c r="O372" s="836" t="str">
        <f>IFERROR(VLOOKUP(G372,Proveedores!B:D,3,0)," ")</f>
        <v xml:space="preserve"> </v>
      </c>
      <c r="P372" s="836"/>
      <c r="Q372" s="1127" t="e">
        <f t="shared" si="243"/>
        <v>#N/A</v>
      </c>
      <c r="R372" s="1127" t="b">
        <f t="shared" si="254"/>
        <v>0</v>
      </c>
      <c r="S372" s="1127" t="e">
        <f t="shared" si="244"/>
        <v>#N/A</v>
      </c>
      <c r="T372" s="1127" t="b">
        <f t="shared" si="255"/>
        <v>0</v>
      </c>
      <c r="U372" s="1127" t="e">
        <f t="shared" si="245"/>
        <v>#N/A</v>
      </c>
      <c r="V372" s="1127" t="e">
        <f t="shared" si="256"/>
        <v>#N/A</v>
      </c>
      <c r="W372" s="1127" t="e">
        <f>IF(F372="Offiho",J372,IF(_xlfn.XLOOKUP(F372,Proveedores!A$2:A$50,Proveedores!E$2:E$50,"")="Nacional",(J372/0.5)+(V372*H372),((J372/0.3/0.5)+(V372*H372))))</f>
        <v>#N/A</v>
      </c>
      <c r="X372" s="1127" t="e">
        <f t="shared" si="246"/>
        <v>#N/A</v>
      </c>
      <c r="Y372" s="1126" t="b">
        <f t="shared" si="247"/>
        <v>0</v>
      </c>
      <c r="Z372" s="43">
        <v>0</v>
      </c>
      <c r="AA372" s="1219" t="e">
        <f t="shared" si="257"/>
        <v>#N/A</v>
      </c>
      <c r="AB372" s="1219" t="e">
        <f t="shared" si="258"/>
        <v>#N/A</v>
      </c>
      <c r="AC372" s="1219" t="e">
        <f t="shared" si="248"/>
        <v>#N/A</v>
      </c>
      <c r="AD372" s="1126" t="e">
        <f t="shared" si="259"/>
        <v>#N/A</v>
      </c>
      <c r="AE372" s="1217" t="e">
        <f t="shared" si="249"/>
        <v>#N/A</v>
      </c>
      <c r="AF372" s="1220" t="e">
        <f t="shared" si="250"/>
        <v>#N/A</v>
      </c>
      <c r="AG372" s="1176" t="e">
        <f t="shared" si="251"/>
        <v>#N/A</v>
      </c>
      <c r="AH372" s="1221" t="e">
        <f t="shared" si="260"/>
        <v>#N/A</v>
      </c>
    </row>
    <row r="373" spans="1:34" ht="15.5">
      <c r="A373" s="1216" t="b">
        <f t="shared" si="239"/>
        <v>1</v>
      </c>
      <c r="B373" s="1217" t="b">
        <f t="shared" si="252"/>
        <v>1</v>
      </c>
      <c r="C373" s="1218" t="str">
        <f t="shared" si="253"/>
        <v>Dólares</v>
      </c>
      <c r="D373" s="44"/>
      <c r="E373" s="836"/>
      <c r="F373" s="50"/>
      <c r="G373" t="str">
        <f t="shared" si="240"/>
        <v xml:space="preserve"> </v>
      </c>
      <c r="H373" s="45">
        <v>0</v>
      </c>
      <c r="I373" s="49" t="str">
        <f>IFERROR(VLOOKUP(G373,Proveedores!B:C,2,0)," ")</f>
        <v xml:space="preserve"> </v>
      </c>
      <c r="J373" s="838">
        <v>0</v>
      </c>
      <c r="K373" s="1124"/>
      <c r="L373" s="1266">
        <f t="shared" si="241"/>
        <v>0</v>
      </c>
      <c r="M373" s="1267">
        <f t="shared" si="242"/>
        <v>0</v>
      </c>
      <c r="N373" s="1268">
        <f t="shared" si="261"/>
        <v>0</v>
      </c>
      <c r="O373" s="836" t="str">
        <f>IFERROR(VLOOKUP(G373,Proveedores!B:D,3,0)," ")</f>
        <v xml:space="preserve"> </v>
      </c>
      <c r="P373" s="836"/>
      <c r="Q373" s="1127" t="e">
        <f t="shared" si="243"/>
        <v>#N/A</v>
      </c>
      <c r="R373" s="1127" t="b">
        <f t="shared" si="254"/>
        <v>0</v>
      </c>
      <c r="S373" s="1127" t="e">
        <f t="shared" si="244"/>
        <v>#N/A</v>
      </c>
      <c r="T373" s="1127" t="b">
        <f t="shared" si="255"/>
        <v>0</v>
      </c>
      <c r="U373" s="1127" t="e">
        <f t="shared" si="245"/>
        <v>#N/A</v>
      </c>
      <c r="V373" s="1127" t="e">
        <f t="shared" si="256"/>
        <v>#N/A</v>
      </c>
      <c r="W373" s="1127" t="e">
        <f>IF(F373="Offiho",J373,IF(_xlfn.XLOOKUP(F373,Proveedores!A$2:A$50,Proveedores!E$2:E$50,"")="Nacional",(J373/0.5)+(V373*H373),((J373/0.3/0.5)+(V373*H373))))</f>
        <v>#N/A</v>
      </c>
      <c r="X373" s="1127" t="e">
        <f t="shared" si="246"/>
        <v>#N/A</v>
      </c>
      <c r="Y373" s="1126" t="b">
        <f t="shared" si="247"/>
        <v>0</v>
      </c>
      <c r="Z373" s="43">
        <v>0</v>
      </c>
      <c r="AA373" s="1219" t="e">
        <f t="shared" si="257"/>
        <v>#N/A</v>
      </c>
      <c r="AB373" s="1219" t="e">
        <f t="shared" si="258"/>
        <v>#N/A</v>
      </c>
      <c r="AC373" s="1219" t="e">
        <f t="shared" si="248"/>
        <v>#N/A</v>
      </c>
      <c r="AD373" s="1126" t="e">
        <f t="shared" si="259"/>
        <v>#N/A</v>
      </c>
      <c r="AE373" s="1217" t="e">
        <f t="shared" si="249"/>
        <v>#N/A</v>
      </c>
      <c r="AF373" s="1220" t="e">
        <f t="shared" si="250"/>
        <v>#N/A</v>
      </c>
      <c r="AG373" s="1176" t="e">
        <f t="shared" si="251"/>
        <v>#N/A</v>
      </c>
      <c r="AH373" s="1221" t="e">
        <f t="shared" si="260"/>
        <v>#N/A</v>
      </c>
    </row>
    <row r="374" spans="1:34" ht="15.5">
      <c r="A374" s="1216" t="b">
        <f t="shared" si="239"/>
        <v>1</v>
      </c>
      <c r="B374" s="1217" t="b">
        <f t="shared" si="252"/>
        <v>1</v>
      </c>
      <c r="C374" s="1218" t="str">
        <f t="shared" si="253"/>
        <v>Dólares</v>
      </c>
      <c r="D374" s="46"/>
      <c r="E374" s="836"/>
      <c r="F374" s="50"/>
      <c r="G374" t="str">
        <f t="shared" si="240"/>
        <v xml:space="preserve"> </v>
      </c>
      <c r="H374" s="45">
        <v>0</v>
      </c>
      <c r="I374" s="49" t="str">
        <f>IFERROR(VLOOKUP(G374,Proveedores!B:C,2,0)," ")</f>
        <v xml:space="preserve"> </v>
      </c>
      <c r="J374" s="838">
        <v>0</v>
      </c>
      <c r="K374" s="1124"/>
      <c r="L374" s="1266">
        <f t="shared" si="241"/>
        <v>0</v>
      </c>
      <c r="M374" s="1267">
        <f t="shared" si="242"/>
        <v>0</v>
      </c>
      <c r="N374" s="1268">
        <f t="shared" si="261"/>
        <v>0</v>
      </c>
      <c r="O374" s="836" t="str">
        <f>IFERROR(VLOOKUP(G374,Proveedores!B:D,3,0)," ")</f>
        <v xml:space="preserve"> </v>
      </c>
      <c r="P374" s="836"/>
      <c r="Q374" s="1127" t="e">
        <f t="shared" si="243"/>
        <v>#N/A</v>
      </c>
      <c r="R374" s="1127" t="b">
        <f t="shared" si="254"/>
        <v>0</v>
      </c>
      <c r="S374" s="1127" t="e">
        <f t="shared" si="244"/>
        <v>#N/A</v>
      </c>
      <c r="T374" s="1127" t="b">
        <f t="shared" si="255"/>
        <v>0</v>
      </c>
      <c r="U374" s="1127" t="e">
        <f t="shared" si="245"/>
        <v>#N/A</v>
      </c>
      <c r="V374" s="1127" t="e">
        <f t="shared" si="256"/>
        <v>#N/A</v>
      </c>
      <c r="W374" s="1127" t="e">
        <f>IF(F374="Offiho",J374,IF(_xlfn.XLOOKUP(F374,Proveedores!A$2:A$50,Proveedores!E$2:E$50,"")="Nacional",(J374/0.5)+(V374*H374),((J374/0.3/0.5)+(V374*H374))))</f>
        <v>#N/A</v>
      </c>
      <c r="X374" s="1127" t="e">
        <f t="shared" si="246"/>
        <v>#N/A</v>
      </c>
      <c r="Y374" s="1126" t="b">
        <f t="shared" si="247"/>
        <v>0</v>
      </c>
      <c r="Z374" s="43">
        <v>0</v>
      </c>
      <c r="AA374" s="1219" t="e">
        <f t="shared" si="257"/>
        <v>#N/A</v>
      </c>
      <c r="AB374" s="1219" t="e">
        <f t="shared" si="258"/>
        <v>#N/A</v>
      </c>
      <c r="AC374" s="1219" t="e">
        <f t="shared" si="248"/>
        <v>#N/A</v>
      </c>
      <c r="AD374" s="1126" t="e">
        <f t="shared" si="259"/>
        <v>#N/A</v>
      </c>
      <c r="AE374" s="1217" t="e">
        <f t="shared" si="249"/>
        <v>#N/A</v>
      </c>
      <c r="AF374" s="1220" t="e">
        <f t="shared" si="250"/>
        <v>#N/A</v>
      </c>
      <c r="AG374" s="1176" t="e">
        <f t="shared" si="251"/>
        <v>#N/A</v>
      </c>
      <c r="AH374" s="1221" t="e">
        <f t="shared" si="260"/>
        <v>#N/A</v>
      </c>
    </row>
    <row r="375" spans="1:34" ht="15.5">
      <c r="A375" s="1216" t="b">
        <f t="shared" si="239"/>
        <v>1</v>
      </c>
      <c r="B375" s="1217" t="b">
        <f t="shared" si="252"/>
        <v>1</v>
      </c>
      <c r="C375" s="1218" t="str">
        <f t="shared" si="253"/>
        <v>Dólares</v>
      </c>
      <c r="D375" s="46"/>
      <c r="E375" s="836"/>
      <c r="F375" s="50"/>
      <c r="G375" t="str">
        <f t="shared" si="240"/>
        <v xml:space="preserve"> </v>
      </c>
      <c r="H375" s="45">
        <v>0</v>
      </c>
      <c r="I375" s="49" t="str">
        <f>IFERROR(VLOOKUP(G375,Proveedores!B:C,2,0)," ")</f>
        <v xml:space="preserve"> </v>
      </c>
      <c r="J375" s="838">
        <v>0</v>
      </c>
      <c r="K375" s="1124"/>
      <c r="L375" s="1266">
        <f t="shared" si="241"/>
        <v>0</v>
      </c>
      <c r="M375" s="1267">
        <f t="shared" si="242"/>
        <v>0</v>
      </c>
      <c r="N375" s="1268">
        <f t="shared" si="261"/>
        <v>0</v>
      </c>
      <c r="O375" s="836" t="str">
        <f>IFERROR(VLOOKUP(G375,Proveedores!B:D,3,0)," ")</f>
        <v xml:space="preserve"> </v>
      </c>
      <c r="P375" s="836"/>
      <c r="Q375" s="1127" t="e">
        <f t="shared" si="243"/>
        <v>#N/A</v>
      </c>
      <c r="R375" s="1127" t="b">
        <f t="shared" si="254"/>
        <v>0</v>
      </c>
      <c r="S375" s="1127" t="e">
        <f t="shared" si="244"/>
        <v>#N/A</v>
      </c>
      <c r="T375" s="1127" t="b">
        <f t="shared" si="255"/>
        <v>0</v>
      </c>
      <c r="U375" s="1127" t="e">
        <f t="shared" si="245"/>
        <v>#N/A</v>
      </c>
      <c r="V375" s="1127" t="e">
        <f t="shared" si="256"/>
        <v>#N/A</v>
      </c>
      <c r="W375" s="1127" t="e">
        <f>IF(F375="Offiho",J375,IF(_xlfn.XLOOKUP(F375,Proveedores!A$2:A$50,Proveedores!E$2:E$50,"")="Nacional",(J375/0.5)+(V375*H375),((J375/0.3/0.5)+(V375*H375))))</f>
        <v>#N/A</v>
      </c>
      <c r="X375" s="1127" t="e">
        <f t="shared" si="246"/>
        <v>#N/A</v>
      </c>
      <c r="Y375" s="1126" t="b">
        <f t="shared" si="247"/>
        <v>0</v>
      </c>
      <c r="Z375" s="43">
        <v>0</v>
      </c>
      <c r="AA375" s="1219" t="e">
        <f t="shared" si="257"/>
        <v>#N/A</v>
      </c>
      <c r="AB375" s="1219" t="e">
        <f t="shared" si="258"/>
        <v>#N/A</v>
      </c>
      <c r="AC375" s="1219" t="e">
        <f t="shared" si="248"/>
        <v>#N/A</v>
      </c>
      <c r="AD375" s="1126" t="e">
        <f t="shared" si="259"/>
        <v>#N/A</v>
      </c>
      <c r="AE375" s="1217" t="e">
        <f t="shared" si="249"/>
        <v>#N/A</v>
      </c>
      <c r="AF375" s="1220" t="e">
        <f t="shared" si="250"/>
        <v>#N/A</v>
      </c>
      <c r="AG375" s="1176" t="e">
        <f t="shared" si="251"/>
        <v>#N/A</v>
      </c>
      <c r="AH375" s="1221" t="e">
        <f t="shared" si="260"/>
        <v>#N/A</v>
      </c>
    </row>
    <row r="376" spans="1:34" ht="15.5">
      <c r="A376" s="1216" t="b">
        <f t="shared" si="239"/>
        <v>1</v>
      </c>
      <c r="B376" s="1217" t="b">
        <f t="shared" si="252"/>
        <v>1</v>
      </c>
      <c r="C376" s="1218" t="str">
        <f t="shared" si="253"/>
        <v>Dólares</v>
      </c>
      <c r="D376" s="46"/>
      <c r="E376" s="836"/>
      <c r="F376" s="50"/>
      <c r="G376" t="str">
        <f t="shared" si="240"/>
        <v xml:space="preserve"> </v>
      </c>
      <c r="H376" s="45">
        <v>0</v>
      </c>
      <c r="I376" s="49" t="str">
        <f>IFERROR(VLOOKUP(G376,Proveedores!B:C,2,0)," ")</f>
        <v xml:space="preserve"> </v>
      </c>
      <c r="J376" s="838">
        <v>0</v>
      </c>
      <c r="K376" s="1124"/>
      <c r="L376" s="1266">
        <f t="shared" si="241"/>
        <v>0</v>
      </c>
      <c r="M376" s="1267">
        <f t="shared" si="242"/>
        <v>0</v>
      </c>
      <c r="N376" s="1268">
        <f t="shared" si="261"/>
        <v>0</v>
      </c>
      <c r="O376" s="836" t="str">
        <f>IFERROR(VLOOKUP(G376,Proveedores!B:D,3,0)," ")</f>
        <v xml:space="preserve"> </v>
      </c>
      <c r="P376" s="836"/>
      <c r="Q376" s="1127" t="e">
        <f t="shared" si="243"/>
        <v>#N/A</v>
      </c>
      <c r="R376" s="1127" t="b">
        <f t="shared" si="254"/>
        <v>0</v>
      </c>
      <c r="S376" s="1127" t="e">
        <f t="shared" si="244"/>
        <v>#N/A</v>
      </c>
      <c r="T376" s="1127" t="b">
        <f t="shared" si="255"/>
        <v>0</v>
      </c>
      <c r="U376" s="1127" t="e">
        <f t="shared" si="245"/>
        <v>#N/A</v>
      </c>
      <c r="V376" s="1127" t="e">
        <f t="shared" si="256"/>
        <v>#N/A</v>
      </c>
      <c r="W376" s="1127" t="e">
        <f>IF(F376="Offiho",J376,IF(_xlfn.XLOOKUP(F376,Proveedores!A$2:A$50,Proveedores!E$2:E$50,"")="Nacional",(J376/0.5)+(V376*H376),((J376/0.3/0.5)+(V376*H376))))</f>
        <v>#N/A</v>
      </c>
      <c r="X376" s="1127" t="e">
        <f t="shared" si="246"/>
        <v>#N/A</v>
      </c>
      <c r="Y376" s="1126" t="b">
        <f t="shared" si="247"/>
        <v>0</v>
      </c>
      <c r="Z376" s="43">
        <v>0</v>
      </c>
      <c r="AA376" s="1219" t="e">
        <f t="shared" si="257"/>
        <v>#N/A</v>
      </c>
      <c r="AB376" s="1219" t="e">
        <f t="shared" si="258"/>
        <v>#N/A</v>
      </c>
      <c r="AC376" s="1219" t="e">
        <f t="shared" si="248"/>
        <v>#N/A</v>
      </c>
      <c r="AD376" s="1126" t="e">
        <f t="shared" si="259"/>
        <v>#N/A</v>
      </c>
      <c r="AE376" s="1217" t="e">
        <f t="shared" si="249"/>
        <v>#N/A</v>
      </c>
      <c r="AF376" s="1220" t="e">
        <f t="shared" si="250"/>
        <v>#N/A</v>
      </c>
      <c r="AG376" s="1176" t="e">
        <f t="shared" si="251"/>
        <v>#N/A</v>
      </c>
      <c r="AH376" s="1221" t="e">
        <f t="shared" si="260"/>
        <v>#N/A</v>
      </c>
    </row>
    <row r="377" spans="1:34" ht="15.5">
      <c r="A377" s="1216" t="b">
        <f t="shared" si="239"/>
        <v>1</v>
      </c>
      <c r="B377" s="1217" t="b">
        <f t="shared" si="252"/>
        <v>1</v>
      </c>
      <c r="C377" s="1218" t="str">
        <f t="shared" si="253"/>
        <v>Dólares</v>
      </c>
      <c r="D377" s="46"/>
      <c r="E377" s="836"/>
      <c r="F377" s="50"/>
      <c r="G377" t="str">
        <f t="shared" si="240"/>
        <v xml:space="preserve"> </v>
      </c>
      <c r="H377" s="45">
        <v>0</v>
      </c>
      <c r="I377" s="49" t="str">
        <f>IFERROR(VLOOKUP(G377,Proveedores!B:C,2,0)," ")</f>
        <v xml:space="preserve"> </v>
      </c>
      <c r="J377" s="838">
        <v>0</v>
      </c>
      <c r="K377" s="1124"/>
      <c r="L377" s="1266">
        <f t="shared" si="241"/>
        <v>0</v>
      </c>
      <c r="M377" s="1267">
        <f t="shared" si="242"/>
        <v>0</v>
      </c>
      <c r="N377" s="1268">
        <f t="shared" si="261"/>
        <v>0</v>
      </c>
      <c r="O377" s="836" t="str">
        <f>IFERROR(VLOOKUP(G377,Proveedores!B:D,3,0)," ")</f>
        <v xml:space="preserve"> </v>
      </c>
      <c r="P377" s="836"/>
      <c r="Q377" s="1127" t="e">
        <f t="shared" si="243"/>
        <v>#N/A</v>
      </c>
      <c r="R377" s="1127" t="b">
        <f t="shared" si="254"/>
        <v>0</v>
      </c>
      <c r="S377" s="1127" t="e">
        <f t="shared" si="244"/>
        <v>#N/A</v>
      </c>
      <c r="T377" s="1127" t="b">
        <f t="shared" si="255"/>
        <v>0</v>
      </c>
      <c r="U377" s="1127" t="e">
        <f t="shared" si="245"/>
        <v>#N/A</v>
      </c>
      <c r="V377" s="1127" t="e">
        <f t="shared" si="256"/>
        <v>#N/A</v>
      </c>
      <c r="W377" s="1127" t="e">
        <f>IF(F377="Offiho",J377,IF(_xlfn.XLOOKUP(F377,Proveedores!A$2:A$50,Proveedores!E$2:E$50,"")="Nacional",(J377/0.5)+(V377*H377),((J377/0.3/0.5)+(V377*H377))))</f>
        <v>#N/A</v>
      </c>
      <c r="X377" s="1127" t="e">
        <f t="shared" si="246"/>
        <v>#N/A</v>
      </c>
      <c r="Y377" s="1126" t="b">
        <f t="shared" si="247"/>
        <v>0</v>
      </c>
      <c r="Z377" s="43">
        <v>0</v>
      </c>
      <c r="AA377" s="1219" t="e">
        <f t="shared" si="257"/>
        <v>#N/A</v>
      </c>
      <c r="AB377" s="1219" t="e">
        <f t="shared" si="258"/>
        <v>#N/A</v>
      </c>
      <c r="AC377" s="1219" t="e">
        <f t="shared" si="248"/>
        <v>#N/A</v>
      </c>
      <c r="AD377" s="1126" t="e">
        <f t="shared" si="259"/>
        <v>#N/A</v>
      </c>
      <c r="AE377" s="1217" t="e">
        <f t="shared" si="249"/>
        <v>#N/A</v>
      </c>
      <c r="AF377" s="1220" t="e">
        <f t="shared" si="250"/>
        <v>#N/A</v>
      </c>
      <c r="AG377" s="1176" t="e">
        <f t="shared" si="251"/>
        <v>#N/A</v>
      </c>
      <c r="AH377" s="1221" t="e">
        <f t="shared" si="260"/>
        <v>#N/A</v>
      </c>
    </row>
    <row r="378" spans="1:34" ht="15.5">
      <c r="A378" s="1216" t="b">
        <f t="shared" si="239"/>
        <v>1</v>
      </c>
      <c r="B378" s="1217" t="b">
        <f t="shared" si="252"/>
        <v>1</v>
      </c>
      <c r="C378" s="1218" t="str">
        <f t="shared" si="253"/>
        <v>Dólares</v>
      </c>
      <c r="D378" s="46"/>
      <c r="E378" s="836"/>
      <c r="F378" s="50"/>
      <c r="G378" t="str">
        <f t="shared" si="240"/>
        <v xml:space="preserve"> </v>
      </c>
      <c r="H378" s="45">
        <v>0</v>
      </c>
      <c r="I378" s="49" t="str">
        <f>IFERROR(VLOOKUP(G378,Proveedores!B:C,2,0)," ")</f>
        <v xml:space="preserve"> </v>
      </c>
      <c r="J378" s="838">
        <v>0</v>
      </c>
      <c r="K378" s="1124"/>
      <c r="L378" s="1266">
        <f t="shared" si="241"/>
        <v>0</v>
      </c>
      <c r="M378" s="1267">
        <f t="shared" si="242"/>
        <v>0</v>
      </c>
      <c r="N378" s="1268">
        <f t="shared" si="261"/>
        <v>0</v>
      </c>
      <c r="O378" s="836" t="str">
        <f>IFERROR(VLOOKUP(G378,Proveedores!B:D,3,0)," ")</f>
        <v xml:space="preserve"> </v>
      </c>
      <c r="P378" s="836"/>
      <c r="Q378" s="1127" t="e">
        <f t="shared" si="243"/>
        <v>#N/A</v>
      </c>
      <c r="R378" s="1127" t="b">
        <f t="shared" si="254"/>
        <v>0</v>
      </c>
      <c r="S378" s="1127" t="e">
        <f t="shared" si="244"/>
        <v>#N/A</v>
      </c>
      <c r="T378" s="1127" t="b">
        <f t="shared" si="255"/>
        <v>0</v>
      </c>
      <c r="U378" s="1127" t="e">
        <f t="shared" si="245"/>
        <v>#N/A</v>
      </c>
      <c r="V378" s="1127" t="e">
        <f t="shared" si="256"/>
        <v>#N/A</v>
      </c>
      <c r="W378" s="1127" t="e">
        <f>IF(F378="Offiho",J378,IF(_xlfn.XLOOKUP(F378,Proveedores!A$2:A$50,Proveedores!E$2:E$50,"")="Nacional",(J378/0.5)+(V378*H378),((J378/0.3/0.5)+(V378*H378))))</f>
        <v>#N/A</v>
      </c>
      <c r="X378" s="1127" t="e">
        <f t="shared" si="246"/>
        <v>#N/A</v>
      </c>
      <c r="Y378" s="1126" t="b">
        <f t="shared" si="247"/>
        <v>0</v>
      </c>
      <c r="Z378" s="43">
        <v>0</v>
      </c>
      <c r="AA378" s="1219" t="e">
        <f t="shared" si="257"/>
        <v>#N/A</v>
      </c>
      <c r="AB378" s="1219" t="e">
        <f t="shared" si="258"/>
        <v>#N/A</v>
      </c>
      <c r="AC378" s="1219" t="e">
        <f t="shared" si="248"/>
        <v>#N/A</v>
      </c>
      <c r="AD378" s="1126" t="e">
        <f t="shared" si="259"/>
        <v>#N/A</v>
      </c>
      <c r="AE378" s="1217" t="e">
        <f t="shared" si="249"/>
        <v>#N/A</v>
      </c>
      <c r="AF378" s="1220" t="e">
        <f t="shared" si="250"/>
        <v>#N/A</v>
      </c>
      <c r="AG378" s="1176" t="e">
        <f t="shared" si="251"/>
        <v>#N/A</v>
      </c>
      <c r="AH378" s="1221" t="e">
        <f t="shared" si="260"/>
        <v>#N/A</v>
      </c>
    </row>
    <row r="379" spans="1:34" ht="15.5">
      <c r="A379" s="1216" t="b">
        <f t="shared" si="239"/>
        <v>1</v>
      </c>
      <c r="B379" s="1217" t="b">
        <f t="shared" si="252"/>
        <v>1</v>
      </c>
      <c r="C379" s="1218" t="str">
        <f t="shared" si="253"/>
        <v>Dólares</v>
      </c>
      <c r="D379" s="46"/>
      <c r="E379" s="836"/>
      <c r="F379" s="50"/>
      <c r="G379" t="str">
        <f t="shared" si="240"/>
        <v xml:space="preserve"> </v>
      </c>
      <c r="H379" s="45">
        <v>0</v>
      </c>
      <c r="I379" s="49" t="str">
        <f>IFERROR(VLOOKUP(G379,Proveedores!B:C,2,0)," ")</f>
        <v xml:space="preserve"> </v>
      </c>
      <c r="J379" s="838">
        <v>0</v>
      </c>
      <c r="K379" s="1124"/>
      <c r="L379" s="1266">
        <f t="shared" si="241"/>
        <v>0</v>
      </c>
      <c r="M379" s="1267">
        <f t="shared" si="242"/>
        <v>0</v>
      </c>
      <c r="N379" s="1268">
        <f t="shared" si="261"/>
        <v>0</v>
      </c>
      <c r="O379" s="836" t="str">
        <f>IFERROR(VLOOKUP(G379,Proveedores!B:D,3,0)," ")</f>
        <v xml:space="preserve"> </v>
      </c>
      <c r="P379" s="836"/>
      <c r="Q379" s="1127" t="e">
        <f t="shared" si="243"/>
        <v>#N/A</v>
      </c>
      <c r="R379" s="1127" t="b">
        <f t="shared" si="254"/>
        <v>0</v>
      </c>
      <c r="S379" s="1127" t="e">
        <f t="shared" si="244"/>
        <v>#N/A</v>
      </c>
      <c r="T379" s="1127" t="b">
        <f t="shared" si="255"/>
        <v>0</v>
      </c>
      <c r="U379" s="1127" t="e">
        <f t="shared" si="245"/>
        <v>#N/A</v>
      </c>
      <c r="V379" s="1127" t="e">
        <f t="shared" si="256"/>
        <v>#N/A</v>
      </c>
      <c r="W379" s="1127" t="e">
        <f>IF(F379="Offiho",J379,IF(_xlfn.XLOOKUP(F379,Proveedores!A$2:A$50,Proveedores!E$2:E$50,"")="Nacional",(J379/0.5)+(V379*H379),((J379/0.3/0.5)+(V379*H379))))</f>
        <v>#N/A</v>
      </c>
      <c r="X379" s="1127" t="e">
        <f t="shared" si="246"/>
        <v>#N/A</v>
      </c>
      <c r="Y379" s="1126" t="b">
        <f t="shared" si="247"/>
        <v>0</v>
      </c>
      <c r="Z379" s="43">
        <v>0</v>
      </c>
      <c r="AA379" s="1219" t="e">
        <f t="shared" si="257"/>
        <v>#N/A</v>
      </c>
      <c r="AB379" s="1219" t="e">
        <f t="shared" si="258"/>
        <v>#N/A</v>
      </c>
      <c r="AC379" s="1219" t="e">
        <f t="shared" si="248"/>
        <v>#N/A</v>
      </c>
      <c r="AD379" s="1126" t="e">
        <f t="shared" si="259"/>
        <v>#N/A</v>
      </c>
      <c r="AE379" s="1217" t="e">
        <f t="shared" si="249"/>
        <v>#N/A</v>
      </c>
      <c r="AF379" s="1220" t="e">
        <f t="shared" si="250"/>
        <v>#N/A</v>
      </c>
      <c r="AG379" s="1176" t="e">
        <f t="shared" si="251"/>
        <v>#N/A</v>
      </c>
      <c r="AH379" s="1221" t="e">
        <f t="shared" si="260"/>
        <v>#N/A</v>
      </c>
    </row>
    <row r="380" spans="1:34" ht="15.5">
      <c r="A380" s="1216" t="b">
        <f t="shared" si="239"/>
        <v>1</v>
      </c>
      <c r="B380" s="1217" t="b">
        <f t="shared" si="252"/>
        <v>1</v>
      </c>
      <c r="C380" s="1218" t="str">
        <f t="shared" si="253"/>
        <v>Dólares</v>
      </c>
      <c r="D380" s="46"/>
      <c r="E380" s="836"/>
      <c r="F380" s="50"/>
      <c r="G380" t="str">
        <f t="shared" si="240"/>
        <v xml:space="preserve"> </v>
      </c>
      <c r="H380" s="45">
        <v>0</v>
      </c>
      <c r="I380" s="49" t="str">
        <f>IFERROR(VLOOKUP(G380,Proveedores!B:C,2,0)," ")</f>
        <v xml:space="preserve"> </v>
      </c>
      <c r="J380" s="838">
        <v>0</v>
      </c>
      <c r="K380" s="1124"/>
      <c r="L380" s="1266">
        <f t="shared" si="241"/>
        <v>0</v>
      </c>
      <c r="M380" s="1267">
        <f t="shared" si="242"/>
        <v>0</v>
      </c>
      <c r="N380" s="1268">
        <f t="shared" si="261"/>
        <v>0</v>
      </c>
      <c r="O380" s="836" t="str">
        <f>IFERROR(VLOOKUP(G380,Proveedores!B:D,3,0)," ")</f>
        <v xml:space="preserve"> </v>
      </c>
      <c r="P380" s="836"/>
      <c r="Q380" s="1127" t="e">
        <f t="shared" si="243"/>
        <v>#N/A</v>
      </c>
      <c r="R380" s="1127" t="b">
        <f t="shared" si="254"/>
        <v>0</v>
      </c>
      <c r="S380" s="1127" t="e">
        <f t="shared" si="244"/>
        <v>#N/A</v>
      </c>
      <c r="T380" s="1127" t="b">
        <f t="shared" si="255"/>
        <v>0</v>
      </c>
      <c r="U380" s="1127" t="e">
        <f t="shared" si="245"/>
        <v>#N/A</v>
      </c>
      <c r="V380" s="1127" t="e">
        <f t="shared" si="256"/>
        <v>#N/A</v>
      </c>
      <c r="W380" s="1127" t="e">
        <f>IF(F380="Offiho",J380,IF(_xlfn.XLOOKUP(F380,Proveedores!A$2:A$50,Proveedores!E$2:E$50,"")="Nacional",(J380/0.5)+(V380*H380),((J380/0.3/0.5)+(V380*H380))))</f>
        <v>#N/A</v>
      </c>
      <c r="X380" s="1127" t="e">
        <f t="shared" si="246"/>
        <v>#N/A</v>
      </c>
      <c r="Y380" s="1126" t="b">
        <f t="shared" si="247"/>
        <v>0</v>
      </c>
      <c r="Z380" s="43">
        <v>0</v>
      </c>
      <c r="AA380" s="1219" t="e">
        <f t="shared" si="257"/>
        <v>#N/A</v>
      </c>
      <c r="AB380" s="1219" t="e">
        <f t="shared" si="258"/>
        <v>#N/A</v>
      </c>
      <c r="AC380" s="1219" t="e">
        <f t="shared" si="248"/>
        <v>#N/A</v>
      </c>
      <c r="AD380" s="1126" t="e">
        <f t="shared" si="259"/>
        <v>#N/A</v>
      </c>
      <c r="AE380" s="1217" t="e">
        <f t="shared" si="249"/>
        <v>#N/A</v>
      </c>
      <c r="AF380" s="1220" t="e">
        <f t="shared" si="250"/>
        <v>#N/A</v>
      </c>
      <c r="AG380" s="1176" t="e">
        <f t="shared" si="251"/>
        <v>#N/A</v>
      </c>
      <c r="AH380" s="1221" t="e">
        <f t="shared" si="260"/>
        <v>#N/A</v>
      </c>
    </row>
    <row r="381" spans="1:34" ht="15.5">
      <c r="A381" s="1216" t="b">
        <f t="shared" si="239"/>
        <v>1</v>
      </c>
      <c r="B381" s="1217" t="b">
        <f t="shared" si="252"/>
        <v>1</v>
      </c>
      <c r="C381" s="1218" t="str">
        <f t="shared" si="253"/>
        <v>Dólares</v>
      </c>
      <c r="D381" s="47"/>
      <c r="E381" s="836"/>
      <c r="F381" s="50"/>
      <c r="G381" t="str">
        <f t="shared" si="240"/>
        <v xml:space="preserve"> </v>
      </c>
      <c r="H381" s="45">
        <v>0</v>
      </c>
      <c r="I381" s="49" t="str">
        <f>IFERROR(VLOOKUP(G381,Proveedores!B:C,2,0)," ")</f>
        <v xml:space="preserve"> </v>
      </c>
      <c r="J381" s="838">
        <v>0</v>
      </c>
      <c r="K381" s="1124"/>
      <c r="L381" s="1266">
        <f t="shared" si="241"/>
        <v>0</v>
      </c>
      <c r="M381" s="1267">
        <f t="shared" si="242"/>
        <v>0</v>
      </c>
      <c r="N381" s="1268">
        <f t="shared" si="261"/>
        <v>0</v>
      </c>
      <c r="O381" s="836" t="str">
        <f>IFERROR(VLOOKUP(G381,Proveedores!B:D,3,0)," ")</f>
        <v xml:space="preserve"> </v>
      </c>
      <c r="P381" s="836"/>
      <c r="Q381" s="1127" t="e">
        <f t="shared" si="243"/>
        <v>#N/A</v>
      </c>
      <c r="R381" s="1127" t="b">
        <f t="shared" si="254"/>
        <v>0</v>
      </c>
      <c r="S381" s="1127" t="e">
        <f t="shared" si="244"/>
        <v>#N/A</v>
      </c>
      <c r="T381" s="1127" t="b">
        <f t="shared" si="255"/>
        <v>0</v>
      </c>
      <c r="U381" s="1127" t="e">
        <f t="shared" si="245"/>
        <v>#N/A</v>
      </c>
      <c r="V381" s="1127" t="e">
        <f t="shared" si="256"/>
        <v>#N/A</v>
      </c>
      <c r="W381" s="1127" t="e">
        <f>IF(F381="Offiho",J381,IF(_xlfn.XLOOKUP(F381,Proveedores!A$2:A$50,Proveedores!E$2:E$50,"")="Nacional",(J381/0.5)+(V381*H381),((J381/0.3/0.5)+(V381*H381))))</f>
        <v>#N/A</v>
      </c>
      <c r="X381" s="1127" t="e">
        <f t="shared" si="246"/>
        <v>#N/A</v>
      </c>
      <c r="Y381" s="1126" t="b">
        <f t="shared" si="247"/>
        <v>0</v>
      </c>
      <c r="Z381" s="43">
        <v>0</v>
      </c>
      <c r="AA381" s="1219" t="e">
        <f t="shared" si="257"/>
        <v>#N/A</v>
      </c>
      <c r="AB381" s="1219" t="e">
        <f t="shared" si="258"/>
        <v>#N/A</v>
      </c>
      <c r="AC381" s="1219" t="e">
        <f t="shared" si="248"/>
        <v>#N/A</v>
      </c>
      <c r="AD381" s="1126" t="e">
        <f t="shared" si="259"/>
        <v>#N/A</v>
      </c>
      <c r="AE381" s="1217" t="e">
        <f t="shared" si="249"/>
        <v>#N/A</v>
      </c>
      <c r="AF381" s="1220" t="e">
        <f t="shared" si="250"/>
        <v>#N/A</v>
      </c>
      <c r="AG381" s="1176" t="e">
        <f t="shared" si="251"/>
        <v>#N/A</v>
      </c>
      <c r="AH381" s="1221" t="e">
        <f t="shared" si="260"/>
        <v>#N/A</v>
      </c>
    </row>
    <row r="382" spans="1:34" ht="15.5">
      <c r="A382" s="1216" t="b">
        <f t="shared" si="239"/>
        <v>1</v>
      </c>
      <c r="B382" s="1217" t="b">
        <f t="shared" si="252"/>
        <v>1</v>
      </c>
      <c r="C382" s="1218" t="str">
        <f t="shared" si="253"/>
        <v>Dólares</v>
      </c>
      <c r="D382" s="48"/>
      <c r="E382" s="836"/>
      <c r="F382" s="50"/>
      <c r="G382" t="str">
        <f t="shared" si="240"/>
        <v xml:space="preserve"> </v>
      </c>
      <c r="H382" s="45">
        <v>0</v>
      </c>
      <c r="I382" s="49" t="str">
        <f>IFERROR(VLOOKUP(G382,Proveedores!B:C,2,0)," ")</f>
        <v xml:space="preserve"> </v>
      </c>
      <c r="J382" s="838">
        <v>0</v>
      </c>
      <c r="K382" s="1124"/>
      <c r="L382" s="1266">
        <f t="shared" si="241"/>
        <v>0</v>
      </c>
      <c r="M382" s="1267">
        <f t="shared" si="242"/>
        <v>0</v>
      </c>
      <c r="N382" s="1268">
        <f t="shared" si="261"/>
        <v>0</v>
      </c>
      <c r="O382" s="836" t="str">
        <f>IFERROR(VLOOKUP(G382,Proveedores!B:D,3,0)," ")</f>
        <v xml:space="preserve"> </v>
      </c>
      <c r="P382" s="836"/>
      <c r="Q382" s="1127" t="e">
        <f t="shared" si="243"/>
        <v>#N/A</v>
      </c>
      <c r="R382" s="1127" t="b">
        <f t="shared" si="254"/>
        <v>0</v>
      </c>
      <c r="S382" s="1127" t="e">
        <f t="shared" si="244"/>
        <v>#N/A</v>
      </c>
      <c r="T382" s="1127" t="b">
        <f t="shared" si="255"/>
        <v>0</v>
      </c>
      <c r="U382" s="1127" t="e">
        <f t="shared" si="245"/>
        <v>#N/A</v>
      </c>
      <c r="V382" s="1127" t="e">
        <f t="shared" si="256"/>
        <v>#N/A</v>
      </c>
      <c r="W382" s="1127" t="e">
        <f>IF(F382="Offiho",J382,IF(_xlfn.XLOOKUP(F382,Proveedores!A$2:A$50,Proveedores!E$2:E$50,"")="Nacional",(J382/0.5)+(V382*H382),((J382/0.3/0.5)+(V382*H382))))</f>
        <v>#N/A</v>
      </c>
      <c r="X382" s="1127" t="e">
        <f t="shared" si="246"/>
        <v>#N/A</v>
      </c>
      <c r="Y382" s="1126" t="b">
        <f t="shared" si="247"/>
        <v>0</v>
      </c>
      <c r="Z382" s="43">
        <v>0</v>
      </c>
      <c r="AA382" s="1219" t="e">
        <f t="shared" si="257"/>
        <v>#N/A</v>
      </c>
      <c r="AB382" s="1219" t="e">
        <f t="shared" si="258"/>
        <v>#N/A</v>
      </c>
      <c r="AC382" s="1219" t="e">
        <f t="shared" si="248"/>
        <v>#N/A</v>
      </c>
      <c r="AD382" s="1126" t="e">
        <f t="shared" si="259"/>
        <v>#N/A</v>
      </c>
      <c r="AE382" s="1217" t="e">
        <f t="shared" si="249"/>
        <v>#N/A</v>
      </c>
      <c r="AF382" s="1220" t="e">
        <f t="shared" si="250"/>
        <v>#N/A</v>
      </c>
      <c r="AG382" s="1176" t="e">
        <f t="shared" si="251"/>
        <v>#N/A</v>
      </c>
      <c r="AH382" s="1221" t="e">
        <f t="shared" si="260"/>
        <v>#N/A</v>
      </c>
    </row>
    <row r="383" spans="1:34" ht="15.5">
      <c r="A383" s="1216" t="b">
        <f t="shared" si="239"/>
        <v>1</v>
      </c>
      <c r="B383" s="1217" t="b">
        <f t="shared" si="252"/>
        <v>1</v>
      </c>
      <c r="C383" s="1218" t="str">
        <f t="shared" si="253"/>
        <v>Dólares</v>
      </c>
      <c r="D383" s="48"/>
      <c r="E383" s="836"/>
      <c r="F383" s="50"/>
      <c r="G383" t="str">
        <f t="shared" si="240"/>
        <v xml:space="preserve"> </v>
      </c>
      <c r="H383" s="45">
        <v>0</v>
      </c>
      <c r="I383" s="49" t="str">
        <f>IFERROR(VLOOKUP(G383,Proveedores!B:C,2,0)," ")</f>
        <v xml:space="preserve"> </v>
      </c>
      <c r="J383" s="838">
        <v>0</v>
      </c>
      <c r="K383" s="1124"/>
      <c r="L383" s="1266">
        <f t="shared" si="241"/>
        <v>0</v>
      </c>
      <c r="M383" s="1267">
        <f t="shared" si="242"/>
        <v>0</v>
      </c>
      <c r="N383" s="1268">
        <f t="shared" si="261"/>
        <v>0</v>
      </c>
      <c r="O383" s="836" t="str">
        <f>IFERROR(VLOOKUP(G383,Proveedores!B:D,3,0)," ")</f>
        <v xml:space="preserve"> </v>
      </c>
      <c r="P383" s="836"/>
      <c r="Q383" s="1127" t="e">
        <f t="shared" si="243"/>
        <v>#N/A</v>
      </c>
      <c r="R383" s="1127" t="b">
        <f t="shared" si="254"/>
        <v>0</v>
      </c>
      <c r="S383" s="1127" t="e">
        <f t="shared" si="244"/>
        <v>#N/A</v>
      </c>
      <c r="T383" s="1127" t="b">
        <f t="shared" si="255"/>
        <v>0</v>
      </c>
      <c r="U383" s="1127" t="e">
        <f t="shared" si="245"/>
        <v>#N/A</v>
      </c>
      <c r="V383" s="1127" t="e">
        <f t="shared" si="256"/>
        <v>#N/A</v>
      </c>
      <c r="W383" s="1127" t="e">
        <f>IF(F383="Offiho",J383,IF(_xlfn.XLOOKUP(F383,Proveedores!A$2:A$50,Proveedores!E$2:E$50,"")="Nacional",(J383/0.5)+(V383*H383),((J383/0.3/0.5)+(V383*H383))))</f>
        <v>#N/A</v>
      </c>
      <c r="X383" s="1127" t="e">
        <f t="shared" si="246"/>
        <v>#N/A</v>
      </c>
      <c r="Y383" s="1126" t="b">
        <f t="shared" si="247"/>
        <v>0</v>
      </c>
      <c r="Z383" s="43">
        <v>0</v>
      </c>
      <c r="AA383" s="1219" t="e">
        <f t="shared" si="257"/>
        <v>#N/A</v>
      </c>
      <c r="AB383" s="1219" t="e">
        <f t="shared" si="258"/>
        <v>#N/A</v>
      </c>
      <c r="AC383" s="1219" t="e">
        <f t="shared" si="248"/>
        <v>#N/A</v>
      </c>
      <c r="AD383" s="1126" t="e">
        <f t="shared" si="259"/>
        <v>#N/A</v>
      </c>
      <c r="AE383" s="1217" t="e">
        <f t="shared" si="249"/>
        <v>#N/A</v>
      </c>
      <c r="AF383" s="1220" t="e">
        <f t="shared" si="250"/>
        <v>#N/A</v>
      </c>
      <c r="AG383" s="1176" t="e">
        <f t="shared" si="251"/>
        <v>#N/A</v>
      </c>
      <c r="AH383" s="1221" t="e">
        <f t="shared" si="260"/>
        <v>#N/A</v>
      </c>
    </row>
    <row r="384" spans="1:34" ht="15.5">
      <c r="A384" s="1216" t="b">
        <f t="shared" si="239"/>
        <v>1</v>
      </c>
      <c r="B384" s="1217" t="b">
        <f t="shared" si="252"/>
        <v>1</v>
      </c>
      <c r="C384" s="1218" t="str">
        <f t="shared" si="253"/>
        <v>Dólares</v>
      </c>
      <c r="D384" s="48"/>
      <c r="E384" s="836"/>
      <c r="F384" s="50"/>
      <c r="G384" t="str">
        <f t="shared" si="240"/>
        <v xml:space="preserve"> </v>
      </c>
      <c r="H384" s="45">
        <v>0</v>
      </c>
      <c r="I384" s="49" t="str">
        <f>IFERROR(VLOOKUP(G384,Proveedores!B:C,2,0)," ")</f>
        <v xml:space="preserve"> </v>
      </c>
      <c r="J384" s="838">
        <v>0</v>
      </c>
      <c r="K384" s="1124"/>
      <c r="L384" s="1266">
        <f t="shared" si="241"/>
        <v>0</v>
      </c>
      <c r="M384" s="1267">
        <f t="shared" si="242"/>
        <v>0</v>
      </c>
      <c r="N384" s="1268">
        <f t="shared" si="261"/>
        <v>0</v>
      </c>
      <c r="O384" s="836" t="str">
        <f>IFERROR(VLOOKUP(G384,Proveedores!B:D,3,0)," ")</f>
        <v xml:space="preserve"> </v>
      </c>
      <c r="P384" s="836"/>
      <c r="Q384" s="1127" t="e">
        <f t="shared" si="243"/>
        <v>#N/A</v>
      </c>
      <c r="R384" s="1127" t="b">
        <f t="shared" si="254"/>
        <v>0</v>
      </c>
      <c r="S384" s="1127" t="e">
        <f t="shared" si="244"/>
        <v>#N/A</v>
      </c>
      <c r="T384" s="1127" t="b">
        <f t="shared" si="255"/>
        <v>0</v>
      </c>
      <c r="U384" s="1127" t="e">
        <f t="shared" si="245"/>
        <v>#N/A</v>
      </c>
      <c r="V384" s="1127" t="e">
        <f t="shared" si="256"/>
        <v>#N/A</v>
      </c>
      <c r="W384" s="1127" t="e">
        <f>IF(F384="Offiho",J384,IF(_xlfn.XLOOKUP(F384,Proveedores!A$2:A$50,Proveedores!E$2:E$50,"")="Nacional",(J384/0.5)+(V384*H384),((J384/0.3/0.5)+(V384*H384))))</f>
        <v>#N/A</v>
      </c>
      <c r="X384" s="1127" t="e">
        <f t="shared" si="246"/>
        <v>#N/A</v>
      </c>
      <c r="Y384" s="1126" t="b">
        <f t="shared" si="247"/>
        <v>0</v>
      </c>
      <c r="Z384" s="43">
        <v>0</v>
      </c>
      <c r="AA384" s="1219" t="e">
        <f t="shared" si="257"/>
        <v>#N/A</v>
      </c>
      <c r="AB384" s="1219" t="e">
        <f t="shared" si="258"/>
        <v>#N/A</v>
      </c>
      <c r="AC384" s="1219" t="e">
        <f t="shared" si="248"/>
        <v>#N/A</v>
      </c>
      <c r="AD384" s="1126" t="e">
        <f t="shared" si="259"/>
        <v>#N/A</v>
      </c>
      <c r="AE384" s="1217" t="e">
        <f t="shared" si="249"/>
        <v>#N/A</v>
      </c>
      <c r="AF384" s="1220" t="e">
        <f t="shared" si="250"/>
        <v>#N/A</v>
      </c>
      <c r="AG384" s="1176" t="e">
        <f t="shared" si="251"/>
        <v>#N/A</v>
      </c>
      <c r="AH384" s="1221" t="e">
        <f t="shared" si="260"/>
        <v>#N/A</v>
      </c>
    </row>
    <row r="385" spans="1:34" ht="15.5">
      <c r="A385" s="1216" t="b">
        <f t="shared" si="239"/>
        <v>1</v>
      </c>
      <c r="B385" s="1217" t="b">
        <f t="shared" si="252"/>
        <v>1</v>
      </c>
      <c r="C385" s="1218" t="str">
        <f t="shared" si="253"/>
        <v>Dólares</v>
      </c>
      <c r="D385" s="48"/>
      <c r="E385" s="836"/>
      <c r="F385" s="50"/>
      <c r="G385" t="str">
        <f t="shared" si="240"/>
        <v xml:space="preserve"> </v>
      </c>
      <c r="H385" s="45">
        <v>0</v>
      </c>
      <c r="I385" s="49" t="str">
        <f>IFERROR(VLOOKUP(G385,Proveedores!B:C,2,0)," ")</f>
        <v xml:space="preserve"> </v>
      </c>
      <c r="J385" s="838">
        <v>0</v>
      </c>
      <c r="K385" s="1124"/>
      <c r="L385" s="1266">
        <f t="shared" si="241"/>
        <v>0</v>
      </c>
      <c r="M385" s="1267">
        <f t="shared" si="242"/>
        <v>0</v>
      </c>
      <c r="N385" s="1268">
        <f t="shared" si="261"/>
        <v>0</v>
      </c>
      <c r="O385" s="836" t="str">
        <f>IFERROR(VLOOKUP(G385,Proveedores!B:D,3,0)," ")</f>
        <v xml:space="preserve"> </v>
      </c>
      <c r="P385" s="836"/>
      <c r="Q385" s="1127" t="e">
        <f t="shared" si="243"/>
        <v>#N/A</v>
      </c>
      <c r="R385" s="1127" t="b">
        <f t="shared" si="254"/>
        <v>0</v>
      </c>
      <c r="S385" s="1127" t="e">
        <f t="shared" si="244"/>
        <v>#N/A</v>
      </c>
      <c r="T385" s="1127" t="b">
        <f t="shared" si="255"/>
        <v>0</v>
      </c>
      <c r="U385" s="1127" t="e">
        <f t="shared" si="245"/>
        <v>#N/A</v>
      </c>
      <c r="V385" s="1127" t="e">
        <f t="shared" si="256"/>
        <v>#N/A</v>
      </c>
      <c r="W385" s="1127" t="e">
        <f>IF(F385="Offiho",J385,IF(_xlfn.XLOOKUP(F385,Proveedores!A$2:A$50,Proveedores!E$2:E$50,"")="Nacional",(J385/0.5)+(V385*H385),((J385/0.3/0.5)+(V385*H385))))</f>
        <v>#N/A</v>
      </c>
      <c r="X385" s="1127" t="e">
        <f t="shared" si="246"/>
        <v>#N/A</v>
      </c>
      <c r="Y385" s="1126" t="b">
        <f t="shared" si="247"/>
        <v>0</v>
      </c>
      <c r="Z385" s="43">
        <v>0</v>
      </c>
      <c r="AA385" s="1219" t="e">
        <f t="shared" si="257"/>
        <v>#N/A</v>
      </c>
      <c r="AB385" s="1219" t="e">
        <f t="shared" si="258"/>
        <v>#N/A</v>
      </c>
      <c r="AC385" s="1219" t="e">
        <f t="shared" si="248"/>
        <v>#N/A</v>
      </c>
      <c r="AD385" s="1126" t="e">
        <f t="shared" si="259"/>
        <v>#N/A</v>
      </c>
      <c r="AE385" s="1217" t="e">
        <f t="shared" si="249"/>
        <v>#N/A</v>
      </c>
      <c r="AF385" s="1220" t="e">
        <f t="shared" si="250"/>
        <v>#N/A</v>
      </c>
      <c r="AG385" s="1176" t="e">
        <f t="shared" si="251"/>
        <v>#N/A</v>
      </c>
      <c r="AH385" s="1221" t="e">
        <f t="shared" si="260"/>
        <v>#N/A</v>
      </c>
    </row>
    <row r="386" spans="1:34" ht="15.5">
      <c r="A386" s="1216" t="b">
        <f t="shared" si="239"/>
        <v>1</v>
      </c>
      <c r="B386" s="1217" t="b">
        <f t="shared" si="252"/>
        <v>1</v>
      </c>
      <c r="C386" s="1218" t="str">
        <f t="shared" si="253"/>
        <v>Dólares</v>
      </c>
      <c r="D386" s="47"/>
      <c r="E386" s="836"/>
      <c r="F386" s="50"/>
      <c r="G386" t="str">
        <f t="shared" si="240"/>
        <v xml:space="preserve"> </v>
      </c>
      <c r="H386" s="45">
        <v>0</v>
      </c>
      <c r="I386" s="49" t="str">
        <f>IFERROR(VLOOKUP(G386,Proveedores!B:C,2,0)," ")</f>
        <v xml:space="preserve"> </v>
      </c>
      <c r="J386" s="838">
        <v>0</v>
      </c>
      <c r="K386" s="1124"/>
      <c r="L386" s="1266">
        <f t="shared" si="241"/>
        <v>0</v>
      </c>
      <c r="M386" s="1267">
        <f t="shared" si="242"/>
        <v>0</v>
      </c>
      <c r="N386" s="1268">
        <f t="shared" si="261"/>
        <v>0</v>
      </c>
      <c r="O386" s="836" t="str">
        <f>IFERROR(VLOOKUP(G386,Proveedores!B:D,3,0)," ")</f>
        <v xml:space="preserve"> </v>
      </c>
      <c r="P386" s="836"/>
      <c r="Q386" s="1127" t="e">
        <f t="shared" si="243"/>
        <v>#N/A</v>
      </c>
      <c r="R386" s="1127" t="b">
        <f t="shared" si="254"/>
        <v>0</v>
      </c>
      <c r="S386" s="1127" t="e">
        <f t="shared" si="244"/>
        <v>#N/A</v>
      </c>
      <c r="T386" s="1127" t="b">
        <f t="shared" si="255"/>
        <v>0</v>
      </c>
      <c r="U386" s="1127" t="e">
        <f t="shared" si="245"/>
        <v>#N/A</v>
      </c>
      <c r="V386" s="1127" t="e">
        <f t="shared" si="256"/>
        <v>#N/A</v>
      </c>
      <c r="W386" s="1127" t="e">
        <f>IF(F386="Offiho",J386,IF(_xlfn.XLOOKUP(F386,Proveedores!A$2:A$50,Proveedores!E$2:E$50,"")="Nacional",(J386/0.5)+(V386*H386),((J386/0.3/0.5)+(V386*H386))))</f>
        <v>#N/A</v>
      </c>
      <c r="X386" s="1127" t="e">
        <f t="shared" si="246"/>
        <v>#N/A</v>
      </c>
      <c r="Y386" s="1126" t="b">
        <f t="shared" si="247"/>
        <v>0</v>
      </c>
      <c r="Z386" s="43">
        <v>0</v>
      </c>
      <c r="AA386" s="1219" t="e">
        <f t="shared" si="257"/>
        <v>#N/A</v>
      </c>
      <c r="AB386" s="1219" t="e">
        <f t="shared" si="258"/>
        <v>#N/A</v>
      </c>
      <c r="AC386" s="1219" t="e">
        <f t="shared" si="248"/>
        <v>#N/A</v>
      </c>
      <c r="AD386" s="1126" t="e">
        <f t="shared" si="259"/>
        <v>#N/A</v>
      </c>
      <c r="AE386" s="1217" t="e">
        <f t="shared" si="249"/>
        <v>#N/A</v>
      </c>
      <c r="AF386" s="1220" t="e">
        <f t="shared" si="250"/>
        <v>#N/A</v>
      </c>
      <c r="AG386" s="1176" t="e">
        <f t="shared" si="251"/>
        <v>#N/A</v>
      </c>
      <c r="AH386" s="1221" t="e">
        <f t="shared" si="260"/>
        <v>#N/A</v>
      </c>
    </row>
    <row r="387" spans="1:34" ht="15.5">
      <c r="A387" s="1216" t="b">
        <f t="shared" si="239"/>
        <v>1</v>
      </c>
      <c r="B387" s="1217" t="b">
        <f t="shared" si="252"/>
        <v>1</v>
      </c>
      <c r="C387" s="1218" t="str">
        <f t="shared" si="253"/>
        <v>Dólares</v>
      </c>
      <c r="D387" s="47"/>
      <c r="E387" s="836"/>
      <c r="F387" s="50"/>
      <c r="G387" t="str">
        <f t="shared" si="240"/>
        <v xml:space="preserve"> </v>
      </c>
      <c r="H387" s="45">
        <v>0</v>
      </c>
      <c r="I387" s="49" t="str">
        <f>IFERROR(VLOOKUP(G387,Proveedores!B:C,2,0)," ")</f>
        <v xml:space="preserve"> </v>
      </c>
      <c r="J387" s="838">
        <v>0</v>
      </c>
      <c r="K387" s="1124"/>
      <c r="L387" s="1266">
        <f t="shared" si="241"/>
        <v>0</v>
      </c>
      <c r="M387" s="1267">
        <f t="shared" si="242"/>
        <v>0</v>
      </c>
      <c r="N387" s="1268">
        <f t="shared" si="261"/>
        <v>0</v>
      </c>
      <c r="O387" s="836" t="str">
        <f>IFERROR(VLOOKUP(G387,Proveedores!B:D,3,0)," ")</f>
        <v xml:space="preserve"> </v>
      </c>
      <c r="P387" s="836"/>
      <c r="Q387" s="1127" t="e">
        <f t="shared" si="243"/>
        <v>#N/A</v>
      </c>
      <c r="R387" s="1127" t="b">
        <f t="shared" si="254"/>
        <v>0</v>
      </c>
      <c r="S387" s="1127" t="e">
        <f t="shared" si="244"/>
        <v>#N/A</v>
      </c>
      <c r="T387" s="1127" t="b">
        <f t="shared" si="255"/>
        <v>0</v>
      </c>
      <c r="U387" s="1127" t="e">
        <f t="shared" si="245"/>
        <v>#N/A</v>
      </c>
      <c r="V387" s="1127" t="e">
        <f t="shared" si="256"/>
        <v>#N/A</v>
      </c>
      <c r="W387" s="1127" t="e">
        <f>IF(F387="Offiho",J387,IF(_xlfn.XLOOKUP(F387,Proveedores!A$2:A$50,Proveedores!E$2:E$50,"")="Nacional",(J387/0.5)+(V387*H387),((J387/0.3/0.5)+(V387*H387))))</f>
        <v>#N/A</v>
      </c>
      <c r="X387" s="1127" t="e">
        <f t="shared" si="246"/>
        <v>#N/A</v>
      </c>
      <c r="Y387" s="1126" t="b">
        <f t="shared" si="247"/>
        <v>0</v>
      </c>
      <c r="Z387" s="43">
        <v>0</v>
      </c>
      <c r="AA387" s="1219" t="e">
        <f t="shared" si="257"/>
        <v>#N/A</v>
      </c>
      <c r="AB387" s="1219" t="e">
        <f t="shared" si="258"/>
        <v>#N/A</v>
      </c>
      <c r="AC387" s="1219" t="e">
        <f t="shared" si="248"/>
        <v>#N/A</v>
      </c>
      <c r="AD387" s="1126" t="e">
        <f t="shared" si="259"/>
        <v>#N/A</v>
      </c>
      <c r="AE387" s="1217" t="e">
        <f t="shared" si="249"/>
        <v>#N/A</v>
      </c>
      <c r="AF387" s="1220" t="e">
        <f t="shared" si="250"/>
        <v>#N/A</v>
      </c>
      <c r="AG387" s="1176" t="e">
        <f t="shared" si="251"/>
        <v>#N/A</v>
      </c>
      <c r="AH387" s="1221" t="e">
        <f t="shared" si="260"/>
        <v>#N/A</v>
      </c>
    </row>
    <row r="388" spans="1:34" ht="15.5">
      <c r="A388" s="1216" t="b">
        <f t="shared" si="239"/>
        <v>1</v>
      </c>
      <c r="B388" s="1217" t="b">
        <f t="shared" si="252"/>
        <v>1</v>
      </c>
      <c r="C388" s="1218" t="str">
        <f t="shared" si="253"/>
        <v>Dólares</v>
      </c>
      <c r="D388" s="47"/>
      <c r="E388" s="836"/>
      <c r="F388" s="50"/>
      <c r="G388" t="str">
        <f t="shared" si="240"/>
        <v xml:space="preserve"> </v>
      </c>
      <c r="H388" s="45">
        <v>0</v>
      </c>
      <c r="I388" s="49" t="str">
        <f>IFERROR(VLOOKUP(G388,Proveedores!B:C,2,0)," ")</f>
        <v xml:space="preserve"> </v>
      </c>
      <c r="J388" s="838">
        <v>0</v>
      </c>
      <c r="K388" s="1124"/>
      <c r="L388" s="1266">
        <f t="shared" si="241"/>
        <v>0</v>
      </c>
      <c r="M388" s="1267">
        <f t="shared" si="242"/>
        <v>0</v>
      </c>
      <c r="N388" s="1268">
        <f t="shared" si="261"/>
        <v>0</v>
      </c>
      <c r="O388" s="836" t="str">
        <f>IFERROR(VLOOKUP(G388,Proveedores!B:D,3,0)," ")</f>
        <v xml:space="preserve"> </v>
      </c>
      <c r="P388" s="836"/>
      <c r="Q388" s="1127" t="e">
        <f t="shared" si="243"/>
        <v>#N/A</v>
      </c>
      <c r="R388" s="1127" t="b">
        <f t="shared" si="254"/>
        <v>0</v>
      </c>
      <c r="S388" s="1127" t="e">
        <f t="shared" si="244"/>
        <v>#N/A</v>
      </c>
      <c r="T388" s="1127" t="b">
        <f t="shared" si="255"/>
        <v>0</v>
      </c>
      <c r="U388" s="1127" t="e">
        <f t="shared" si="245"/>
        <v>#N/A</v>
      </c>
      <c r="V388" s="1127" t="e">
        <f t="shared" si="256"/>
        <v>#N/A</v>
      </c>
      <c r="W388" s="1127" t="e">
        <f>IF(F388="Offiho",J388,IF(_xlfn.XLOOKUP(F388,Proveedores!A$2:A$50,Proveedores!E$2:E$50,"")="Nacional",(J388/0.5)+(V388*H388),((J388/0.3/0.5)+(V388*H388))))</f>
        <v>#N/A</v>
      </c>
      <c r="X388" s="1127" t="e">
        <f t="shared" si="246"/>
        <v>#N/A</v>
      </c>
      <c r="Y388" s="1126" t="b">
        <f t="shared" si="247"/>
        <v>0</v>
      </c>
      <c r="Z388" s="43">
        <v>0</v>
      </c>
      <c r="AA388" s="1219" t="e">
        <f t="shared" si="257"/>
        <v>#N/A</v>
      </c>
      <c r="AB388" s="1219" t="e">
        <f t="shared" si="258"/>
        <v>#N/A</v>
      </c>
      <c r="AC388" s="1219" t="e">
        <f t="shared" si="248"/>
        <v>#N/A</v>
      </c>
      <c r="AD388" s="1126" t="e">
        <f t="shared" si="259"/>
        <v>#N/A</v>
      </c>
      <c r="AE388" s="1217" t="e">
        <f t="shared" si="249"/>
        <v>#N/A</v>
      </c>
      <c r="AF388" s="1220" t="e">
        <f t="shared" si="250"/>
        <v>#N/A</v>
      </c>
      <c r="AG388" s="1176" t="e">
        <f t="shared" si="251"/>
        <v>#N/A</v>
      </c>
      <c r="AH388" s="1221" t="e">
        <f t="shared" si="260"/>
        <v>#N/A</v>
      </c>
    </row>
    <row r="389" spans="1:34" ht="15.5">
      <c r="A389" s="1216" t="b">
        <f t="shared" si="239"/>
        <v>1</v>
      </c>
      <c r="B389" s="1217" t="b">
        <f t="shared" si="252"/>
        <v>1</v>
      </c>
      <c r="C389" s="1218" t="str">
        <f t="shared" si="253"/>
        <v>Dólares</v>
      </c>
      <c r="D389" s="48"/>
      <c r="E389" s="836"/>
      <c r="F389" s="50"/>
      <c r="G389" s="50" t="str">
        <f t="shared" si="240"/>
        <v xml:space="preserve"> </v>
      </c>
      <c r="H389" s="45">
        <v>0</v>
      </c>
      <c r="I389" s="49" t="str">
        <f>IFERROR(VLOOKUP(G389,Proveedores!B:C,2,0)," ")</f>
        <v xml:space="preserve"> </v>
      </c>
      <c r="J389" s="838">
        <v>0</v>
      </c>
      <c r="K389" s="1124"/>
      <c r="L389" s="1266">
        <f t="shared" si="241"/>
        <v>0</v>
      </c>
      <c r="M389" s="1267">
        <f t="shared" si="242"/>
        <v>0</v>
      </c>
      <c r="N389" s="1268">
        <f t="shared" si="261"/>
        <v>0</v>
      </c>
      <c r="O389" s="836" t="str">
        <f>IFERROR(VLOOKUP(G389,Proveedores!B:D,3,0)," ")</f>
        <v xml:space="preserve"> </v>
      </c>
      <c r="P389" s="836"/>
      <c r="Q389" s="1127" t="e">
        <f t="shared" si="243"/>
        <v>#N/A</v>
      </c>
      <c r="R389" s="1127" t="b">
        <f t="shared" si="254"/>
        <v>0</v>
      </c>
      <c r="S389" s="1127" t="e">
        <f t="shared" si="244"/>
        <v>#N/A</v>
      </c>
      <c r="T389" s="1127" t="b">
        <f t="shared" si="255"/>
        <v>0</v>
      </c>
      <c r="U389" s="1127" t="e">
        <f t="shared" si="245"/>
        <v>#N/A</v>
      </c>
      <c r="V389" s="1127" t="e">
        <f t="shared" si="256"/>
        <v>#N/A</v>
      </c>
      <c r="W389" s="1127" t="e">
        <f>IF(F389="Offiho",J389,IF(_xlfn.XLOOKUP(F389,Proveedores!A$2:A$50,Proveedores!E$2:E$50,"")="Nacional",(J389/0.5)+(V389*H389),((J389/0.3/0.5)+(V389*H389))))</f>
        <v>#N/A</v>
      </c>
      <c r="X389" s="1127" t="e">
        <f t="shared" si="246"/>
        <v>#N/A</v>
      </c>
      <c r="Y389" s="1126" t="b">
        <f t="shared" si="247"/>
        <v>0</v>
      </c>
      <c r="Z389" s="43">
        <v>0</v>
      </c>
      <c r="AA389" s="1219" t="e">
        <f t="shared" si="257"/>
        <v>#N/A</v>
      </c>
      <c r="AB389" s="1219" t="e">
        <f t="shared" si="258"/>
        <v>#N/A</v>
      </c>
      <c r="AC389" s="1219" t="e">
        <f t="shared" si="248"/>
        <v>#N/A</v>
      </c>
      <c r="AD389" s="1126" t="e">
        <f t="shared" si="259"/>
        <v>#N/A</v>
      </c>
      <c r="AE389" s="1217" t="e">
        <f t="shared" si="249"/>
        <v>#N/A</v>
      </c>
      <c r="AF389" s="1220" t="e">
        <f t="shared" si="250"/>
        <v>#N/A</v>
      </c>
      <c r="AG389" s="1176" t="e">
        <f t="shared" si="251"/>
        <v>#N/A</v>
      </c>
      <c r="AH389" s="1221" t="e">
        <f t="shared" si="260"/>
        <v>#N/A</v>
      </c>
    </row>
    <row r="390" spans="1:34" ht="15.5">
      <c r="A390" s="1216" t="b">
        <f t="shared" si="239"/>
        <v>1</v>
      </c>
      <c r="B390" s="1217" t="b">
        <f t="shared" si="252"/>
        <v>1</v>
      </c>
      <c r="C390" s="1218" t="str">
        <f t="shared" si="253"/>
        <v>Dólares</v>
      </c>
      <c r="D390" s="48"/>
      <c r="E390" s="836"/>
      <c r="F390" s="50"/>
      <c r="G390" s="50" t="str">
        <f t="shared" si="240"/>
        <v xml:space="preserve"> </v>
      </c>
      <c r="H390" s="45">
        <v>0</v>
      </c>
      <c r="I390" s="49" t="str">
        <f>IFERROR(VLOOKUP(G390,Proveedores!B:C,2,0)," ")</f>
        <v xml:space="preserve"> </v>
      </c>
      <c r="J390" s="838">
        <v>0</v>
      </c>
      <c r="K390" s="1124"/>
      <c r="L390" s="1266">
        <f t="shared" si="241"/>
        <v>0</v>
      </c>
      <c r="M390" s="1267">
        <f t="shared" si="242"/>
        <v>0</v>
      </c>
      <c r="N390" s="1268">
        <f t="shared" si="261"/>
        <v>0</v>
      </c>
      <c r="O390" s="836" t="str">
        <f>IFERROR(VLOOKUP(G390,Proveedores!B:D,3,0)," ")</f>
        <v xml:space="preserve"> </v>
      </c>
      <c r="P390" s="836"/>
      <c r="Q390" s="1127" t="e">
        <f t="shared" si="243"/>
        <v>#N/A</v>
      </c>
      <c r="R390" s="1127" t="b">
        <f t="shared" si="254"/>
        <v>0</v>
      </c>
      <c r="S390" s="1127" t="e">
        <f t="shared" si="244"/>
        <v>#N/A</v>
      </c>
      <c r="T390" s="1127" t="b">
        <f t="shared" si="255"/>
        <v>0</v>
      </c>
      <c r="U390" s="1127" t="e">
        <f t="shared" si="245"/>
        <v>#N/A</v>
      </c>
      <c r="V390" s="1127" t="e">
        <f t="shared" si="256"/>
        <v>#N/A</v>
      </c>
      <c r="W390" s="1127" t="e">
        <f>IF(F390="Offiho",J390,IF(_xlfn.XLOOKUP(F390,Proveedores!A$2:A$50,Proveedores!E$2:E$50,"")="Nacional",(J390/0.5)+(V390*H390),((J390/0.3/0.5)+(V390*H390))))</f>
        <v>#N/A</v>
      </c>
      <c r="X390" s="1127" t="e">
        <f t="shared" si="246"/>
        <v>#N/A</v>
      </c>
      <c r="Y390" s="1126" t="b">
        <f t="shared" si="247"/>
        <v>0</v>
      </c>
      <c r="Z390" s="43">
        <v>0</v>
      </c>
      <c r="AA390" s="1219" t="e">
        <f t="shared" si="257"/>
        <v>#N/A</v>
      </c>
      <c r="AB390" s="1219" t="e">
        <f t="shared" si="258"/>
        <v>#N/A</v>
      </c>
      <c r="AC390" s="1219" t="e">
        <f t="shared" si="248"/>
        <v>#N/A</v>
      </c>
      <c r="AD390" s="1126" t="e">
        <f t="shared" si="259"/>
        <v>#N/A</v>
      </c>
      <c r="AE390" s="1217" t="e">
        <f t="shared" si="249"/>
        <v>#N/A</v>
      </c>
      <c r="AF390" s="1220" t="e">
        <f t="shared" si="250"/>
        <v>#N/A</v>
      </c>
      <c r="AG390" s="1176" t="e">
        <f t="shared" si="251"/>
        <v>#N/A</v>
      </c>
      <c r="AH390" s="1221" t="e">
        <f t="shared" si="260"/>
        <v>#N/A</v>
      </c>
    </row>
    <row r="391" spans="1:34" ht="15.5">
      <c r="A391" s="1216" t="b">
        <f t="shared" si="239"/>
        <v>1</v>
      </c>
      <c r="B391" s="1217" t="b">
        <f t="shared" si="252"/>
        <v>1</v>
      </c>
      <c r="C391" s="1218" t="str">
        <f t="shared" si="253"/>
        <v>Dólares</v>
      </c>
      <c r="D391" s="47"/>
      <c r="E391" s="836"/>
      <c r="F391" s="50"/>
      <c r="G391" s="50" t="str">
        <f t="shared" si="240"/>
        <v xml:space="preserve"> </v>
      </c>
      <c r="H391" s="45">
        <v>0</v>
      </c>
      <c r="I391" s="49" t="str">
        <f>IFERROR(VLOOKUP(G391,Proveedores!B:C,2,0)," ")</f>
        <v xml:space="preserve"> </v>
      </c>
      <c r="J391" s="838">
        <v>0</v>
      </c>
      <c r="K391" s="1124"/>
      <c r="L391" s="1266">
        <f t="shared" si="241"/>
        <v>0</v>
      </c>
      <c r="M391" s="1267">
        <f t="shared" si="242"/>
        <v>0</v>
      </c>
      <c r="N391" s="1268">
        <f t="shared" si="261"/>
        <v>0</v>
      </c>
      <c r="O391" s="836" t="str">
        <f>IFERROR(VLOOKUP(G391,Proveedores!B:D,3,0)," ")</f>
        <v xml:space="preserve"> </v>
      </c>
      <c r="P391" s="836"/>
      <c r="Q391" s="1127" t="e">
        <f t="shared" si="243"/>
        <v>#N/A</v>
      </c>
      <c r="R391" s="1127" t="b">
        <f t="shared" si="254"/>
        <v>0</v>
      </c>
      <c r="S391" s="1127" t="e">
        <f t="shared" si="244"/>
        <v>#N/A</v>
      </c>
      <c r="T391" s="1127" t="b">
        <f t="shared" si="255"/>
        <v>0</v>
      </c>
      <c r="U391" s="1127" t="e">
        <f t="shared" si="245"/>
        <v>#N/A</v>
      </c>
      <c r="V391" s="1127" t="e">
        <f t="shared" si="256"/>
        <v>#N/A</v>
      </c>
      <c r="W391" s="1127" t="e">
        <f>IF(F391="Offiho",J391,IF(_xlfn.XLOOKUP(F391,Proveedores!A$2:A$50,Proveedores!E$2:E$50,"")="Nacional",(J391/0.5)+(V391*H391),((J391/0.3/0.5)+(V391*H391))))</f>
        <v>#N/A</v>
      </c>
      <c r="X391" s="1127" t="e">
        <f t="shared" si="246"/>
        <v>#N/A</v>
      </c>
      <c r="Y391" s="1126" t="b">
        <f t="shared" si="247"/>
        <v>0</v>
      </c>
      <c r="Z391" s="43">
        <v>0</v>
      </c>
      <c r="AA391" s="1219" t="e">
        <f t="shared" si="257"/>
        <v>#N/A</v>
      </c>
      <c r="AB391" s="1219" t="e">
        <f t="shared" si="258"/>
        <v>#N/A</v>
      </c>
      <c r="AC391" s="1219" t="e">
        <f t="shared" si="248"/>
        <v>#N/A</v>
      </c>
      <c r="AD391" s="1126" t="e">
        <f t="shared" si="259"/>
        <v>#N/A</v>
      </c>
      <c r="AE391" s="1217" t="e">
        <f t="shared" si="249"/>
        <v>#N/A</v>
      </c>
      <c r="AF391" s="1220" t="e">
        <f t="shared" si="250"/>
        <v>#N/A</v>
      </c>
      <c r="AG391" s="1176" t="e">
        <f t="shared" si="251"/>
        <v>#N/A</v>
      </c>
      <c r="AH391" s="1221" t="e">
        <f t="shared" si="260"/>
        <v>#N/A</v>
      </c>
    </row>
    <row r="392" spans="1:34" ht="15.5">
      <c r="A392" s="1216" t="b">
        <f t="shared" si="239"/>
        <v>1</v>
      </c>
      <c r="B392" s="1217" t="b">
        <f t="shared" si="252"/>
        <v>1</v>
      </c>
      <c r="C392" s="1218" t="str">
        <f t="shared" si="253"/>
        <v>Dólares</v>
      </c>
      <c r="D392" s="47"/>
      <c r="E392" s="836"/>
      <c r="F392" s="50"/>
      <c r="G392" s="50" t="str">
        <f t="shared" si="240"/>
        <v xml:space="preserve"> </v>
      </c>
      <c r="H392" s="45">
        <v>0</v>
      </c>
      <c r="I392" s="49" t="str">
        <f>IFERROR(VLOOKUP(G392,Proveedores!B:C,2,0)," ")</f>
        <v xml:space="preserve"> </v>
      </c>
      <c r="J392" s="838">
        <v>0</v>
      </c>
      <c r="K392" s="1124"/>
      <c r="L392" s="1266">
        <f t="shared" si="241"/>
        <v>0</v>
      </c>
      <c r="M392" s="1267">
        <f t="shared" si="242"/>
        <v>0</v>
      </c>
      <c r="N392" s="1268">
        <f t="shared" si="261"/>
        <v>0</v>
      </c>
      <c r="O392" s="836" t="str">
        <f>IFERROR(VLOOKUP(G392,Proveedores!B:D,3,0)," ")</f>
        <v xml:space="preserve"> </v>
      </c>
      <c r="P392" s="836"/>
      <c r="Q392" s="1127" t="e">
        <f t="shared" si="243"/>
        <v>#N/A</v>
      </c>
      <c r="R392" s="1127" t="b">
        <f t="shared" si="254"/>
        <v>0</v>
      </c>
      <c r="S392" s="1127" t="e">
        <f t="shared" si="244"/>
        <v>#N/A</v>
      </c>
      <c r="T392" s="1127" t="b">
        <f t="shared" si="255"/>
        <v>0</v>
      </c>
      <c r="U392" s="1127" t="e">
        <f t="shared" si="245"/>
        <v>#N/A</v>
      </c>
      <c r="V392" s="1127" t="e">
        <f t="shared" si="256"/>
        <v>#N/A</v>
      </c>
      <c r="W392" s="1127" t="e">
        <f>IF(F392="Offiho",J392,IF(_xlfn.XLOOKUP(F392,Proveedores!A$2:A$50,Proveedores!E$2:E$50,"")="Nacional",(J392/0.5)+(V392*H392),((J392/0.3/0.5)+(V392*H392))))</f>
        <v>#N/A</v>
      </c>
      <c r="X392" s="1127" t="e">
        <f t="shared" si="246"/>
        <v>#N/A</v>
      </c>
      <c r="Y392" s="1126" t="b">
        <f t="shared" si="247"/>
        <v>0</v>
      </c>
      <c r="Z392" s="43">
        <v>0</v>
      </c>
      <c r="AA392" s="1219" t="e">
        <f t="shared" si="257"/>
        <v>#N/A</v>
      </c>
      <c r="AB392" s="1219" t="e">
        <f t="shared" si="258"/>
        <v>#N/A</v>
      </c>
      <c r="AC392" s="1219" t="e">
        <f t="shared" si="248"/>
        <v>#N/A</v>
      </c>
      <c r="AD392" s="1126" t="e">
        <f t="shared" si="259"/>
        <v>#N/A</v>
      </c>
      <c r="AE392" s="1217" t="e">
        <f t="shared" si="249"/>
        <v>#N/A</v>
      </c>
      <c r="AF392" s="1220" t="e">
        <f t="shared" si="250"/>
        <v>#N/A</v>
      </c>
      <c r="AG392" s="1176" t="e">
        <f t="shared" si="251"/>
        <v>#N/A</v>
      </c>
      <c r="AH392" s="1221" t="e">
        <f t="shared" si="260"/>
        <v>#N/A</v>
      </c>
    </row>
    <row r="393" spans="1:34" ht="15.5">
      <c r="A393" s="1216" t="b">
        <f t="shared" si="239"/>
        <v>1</v>
      </c>
      <c r="B393" s="1217" t="b">
        <f t="shared" si="252"/>
        <v>1</v>
      </c>
      <c r="C393" s="1218" t="str">
        <f t="shared" si="253"/>
        <v>Dólares</v>
      </c>
      <c r="D393" s="47"/>
      <c r="E393" s="836"/>
      <c r="F393" s="50"/>
      <c r="G393" s="50" t="str">
        <f t="shared" si="240"/>
        <v xml:space="preserve"> </v>
      </c>
      <c r="H393" s="45">
        <v>0</v>
      </c>
      <c r="I393" s="49" t="str">
        <f>IFERROR(VLOOKUP(G393,Proveedores!B:C,2,0)," ")</f>
        <v xml:space="preserve"> </v>
      </c>
      <c r="J393" s="838">
        <v>0</v>
      </c>
      <c r="K393" s="1124"/>
      <c r="L393" s="1266">
        <f t="shared" si="241"/>
        <v>0</v>
      </c>
      <c r="M393" s="1267">
        <f t="shared" si="242"/>
        <v>0</v>
      </c>
      <c r="N393" s="1268">
        <f t="shared" si="261"/>
        <v>0</v>
      </c>
      <c r="O393" s="836" t="str">
        <f>IFERROR(VLOOKUP(G393,Proveedores!B:D,3,0)," ")</f>
        <v xml:space="preserve"> </v>
      </c>
      <c r="P393" s="836"/>
      <c r="Q393" s="1127" t="e">
        <f t="shared" si="243"/>
        <v>#N/A</v>
      </c>
      <c r="R393" s="1127" t="b">
        <f t="shared" si="254"/>
        <v>0</v>
      </c>
      <c r="S393" s="1127" t="e">
        <f t="shared" si="244"/>
        <v>#N/A</v>
      </c>
      <c r="T393" s="1127" t="b">
        <f t="shared" si="255"/>
        <v>0</v>
      </c>
      <c r="U393" s="1127" t="e">
        <f t="shared" si="245"/>
        <v>#N/A</v>
      </c>
      <c r="V393" s="1127" t="e">
        <f t="shared" si="256"/>
        <v>#N/A</v>
      </c>
      <c r="W393" s="1127" t="e">
        <f>IF(F393="Offiho",J393,IF(_xlfn.XLOOKUP(F393,Proveedores!A$2:A$50,Proveedores!E$2:E$50,"")="Nacional",(J393/0.5)+(V393*H393),((J393/0.3/0.5)+(V393*H393))))</f>
        <v>#N/A</v>
      </c>
      <c r="X393" s="1127" t="e">
        <f t="shared" si="246"/>
        <v>#N/A</v>
      </c>
      <c r="Y393" s="1126" t="b">
        <f t="shared" si="247"/>
        <v>0</v>
      </c>
      <c r="Z393" s="43">
        <v>0</v>
      </c>
      <c r="AA393" s="1219" t="e">
        <f t="shared" si="257"/>
        <v>#N/A</v>
      </c>
      <c r="AB393" s="1219" t="e">
        <f t="shared" si="258"/>
        <v>#N/A</v>
      </c>
      <c r="AC393" s="1219" t="e">
        <f t="shared" si="248"/>
        <v>#N/A</v>
      </c>
      <c r="AD393" s="1126" t="e">
        <f t="shared" si="259"/>
        <v>#N/A</v>
      </c>
      <c r="AE393" s="1217" t="e">
        <f t="shared" si="249"/>
        <v>#N/A</v>
      </c>
      <c r="AF393" s="1220" t="e">
        <f t="shared" si="250"/>
        <v>#N/A</v>
      </c>
      <c r="AG393" s="1176" t="e">
        <f t="shared" si="251"/>
        <v>#N/A</v>
      </c>
      <c r="AH393" s="1221" t="e">
        <f t="shared" si="260"/>
        <v>#N/A</v>
      </c>
    </row>
    <row r="394" spans="1:34" ht="15.5">
      <c r="A394" s="1216" t="b">
        <f t="shared" si="239"/>
        <v>1</v>
      </c>
      <c r="B394" s="1217" t="b">
        <f t="shared" si="252"/>
        <v>1</v>
      </c>
      <c r="C394" s="1218" t="str">
        <f t="shared" si="253"/>
        <v>Dólares</v>
      </c>
      <c r="D394" s="47"/>
      <c r="E394" s="836"/>
      <c r="F394" s="50"/>
      <c r="G394" s="50" t="str">
        <f t="shared" si="240"/>
        <v xml:space="preserve"> </v>
      </c>
      <c r="H394" s="45">
        <v>0</v>
      </c>
      <c r="I394" s="49" t="str">
        <f>IFERROR(VLOOKUP(G394,Proveedores!B:C,2,0)," ")</f>
        <v xml:space="preserve"> </v>
      </c>
      <c r="J394" s="838">
        <v>0</v>
      </c>
      <c r="K394" s="1124"/>
      <c r="L394" s="1266">
        <f t="shared" si="241"/>
        <v>0</v>
      </c>
      <c r="M394" s="1267">
        <f t="shared" si="242"/>
        <v>0</v>
      </c>
      <c r="N394" s="1268">
        <f t="shared" si="261"/>
        <v>0</v>
      </c>
      <c r="O394" s="836" t="str">
        <f>IFERROR(VLOOKUP(G394,Proveedores!B:D,3,0)," ")</f>
        <v xml:space="preserve"> </v>
      </c>
      <c r="P394" s="836"/>
      <c r="Q394" s="1127" t="e">
        <f t="shared" si="243"/>
        <v>#N/A</v>
      </c>
      <c r="R394" s="1127" t="b">
        <f t="shared" si="254"/>
        <v>0</v>
      </c>
      <c r="S394" s="1127" t="e">
        <f t="shared" si="244"/>
        <v>#N/A</v>
      </c>
      <c r="T394" s="1127" t="b">
        <f t="shared" si="255"/>
        <v>0</v>
      </c>
      <c r="U394" s="1127" t="e">
        <f t="shared" si="245"/>
        <v>#N/A</v>
      </c>
      <c r="V394" s="1127" t="e">
        <f t="shared" si="256"/>
        <v>#N/A</v>
      </c>
      <c r="W394" s="1127" t="e">
        <f>IF(F394="Offiho",J394,IF(_xlfn.XLOOKUP(F394,Proveedores!A$2:A$50,Proveedores!E$2:E$50,"")="Nacional",(J394/0.5)+(V394*H394),((J394/0.3/0.5)+(V394*H394))))</f>
        <v>#N/A</v>
      </c>
      <c r="X394" s="1127" t="e">
        <f t="shared" si="246"/>
        <v>#N/A</v>
      </c>
      <c r="Y394" s="1126" t="b">
        <f t="shared" si="247"/>
        <v>0</v>
      </c>
      <c r="Z394" s="43">
        <v>0</v>
      </c>
      <c r="AA394" s="1219" t="e">
        <f t="shared" si="257"/>
        <v>#N/A</v>
      </c>
      <c r="AB394" s="1219" t="e">
        <f t="shared" si="258"/>
        <v>#N/A</v>
      </c>
      <c r="AC394" s="1219" t="e">
        <f t="shared" si="248"/>
        <v>#N/A</v>
      </c>
      <c r="AD394" s="1126" t="e">
        <f t="shared" si="259"/>
        <v>#N/A</v>
      </c>
      <c r="AE394" s="1217" t="e">
        <f t="shared" si="249"/>
        <v>#N/A</v>
      </c>
      <c r="AF394" s="1220" t="e">
        <f t="shared" si="250"/>
        <v>#N/A</v>
      </c>
      <c r="AG394" s="1176" t="e">
        <f t="shared" si="251"/>
        <v>#N/A</v>
      </c>
      <c r="AH394" s="1221" t="e">
        <f t="shared" si="260"/>
        <v>#N/A</v>
      </c>
    </row>
    <row r="395" spans="1:34" ht="15.5">
      <c r="A395" s="1216" t="b">
        <f t="shared" si="239"/>
        <v>1</v>
      </c>
      <c r="B395" s="1217" t="b">
        <f t="shared" si="252"/>
        <v>1</v>
      </c>
      <c r="C395" s="1218" t="str">
        <f t="shared" si="253"/>
        <v>Dólares</v>
      </c>
      <c r="D395" s="47"/>
      <c r="E395" s="836"/>
      <c r="F395" s="50"/>
      <c r="G395" s="50" t="str">
        <f t="shared" si="240"/>
        <v xml:space="preserve"> </v>
      </c>
      <c r="H395" s="45">
        <v>0</v>
      </c>
      <c r="I395" s="49" t="str">
        <f>IFERROR(VLOOKUP(G395,Proveedores!B:C,2,0)," ")</f>
        <v xml:space="preserve"> </v>
      </c>
      <c r="J395" s="838">
        <v>0</v>
      </c>
      <c r="K395" s="1124"/>
      <c r="L395" s="1266">
        <f t="shared" si="241"/>
        <v>0</v>
      </c>
      <c r="M395" s="1267">
        <f t="shared" si="242"/>
        <v>0</v>
      </c>
      <c r="N395" s="1268">
        <f t="shared" si="261"/>
        <v>0</v>
      </c>
      <c r="O395" s="836" t="str">
        <f>IFERROR(VLOOKUP(G395,Proveedores!B:D,3,0)," ")</f>
        <v xml:space="preserve"> </v>
      </c>
      <c r="P395" s="836"/>
      <c r="Q395" s="1127" t="e">
        <f t="shared" si="243"/>
        <v>#N/A</v>
      </c>
      <c r="R395" s="1127" t="b">
        <f t="shared" si="254"/>
        <v>0</v>
      </c>
      <c r="S395" s="1127" t="e">
        <f t="shared" si="244"/>
        <v>#N/A</v>
      </c>
      <c r="T395" s="1127" t="b">
        <f t="shared" si="255"/>
        <v>0</v>
      </c>
      <c r="U395" s="1127" t="e">
        <f t="shared" si="245"/>
        <v>#N/A</v>
      </c>
      <c r="V395" s="1127" t="e">
        <f t="shared" si="256"/>
        <v>#N/A</v>
      </c>
      <c r="W395" s="1127" t="e">
        <f>IF(F395="Offiho",J395,IF(_xlfn.XLOOKUP(F395,Proveedores!A$2:A$50,Proveedores!E$2:E$50,"")="Nacional",(J395/0.5)+(V395*H395),((J395/0.3/0.5)+(V395*H395))))</f>
        <v>#N/A</v>
      </c>
      <c r="X395" s="1127" t="e">
        <f t="shared" si="246"/>
        <v>#N/A</v>
      </c>
      <c r="Y395" s="1126" t="b">
        <f t="shared" si="247"/>
        <v>0</v>
      </c>
      <c r="Z395" s="43">
        <v>0</v>
      </c>
      <c r="AA395" s="1219" t="e">
        <f t="shared" si="257"/>
        <v>#N/A</v>
      </c>
      <c r="AB395" s="1219" t="e">
        <f t="shared" si="258"/>
        <v>#N/A</v>
      </c>
      <c r="AC395" s="1219" t="e">
        <f t="shared" si="248"/>
        <v>#N/A</v>
      </c>
      <c r="AD395" s="1126" t="e">
        <f t="shared" si="259"/>
        <v>#N/A</v>
      </c>
      <c r="AE395" s="1217" t="e">
        <f t="shared" si="249"/>
        <v>#N/A</v>
      </c>
      <c r="AF395" s="1220" t="e">
        <f t="shared" si="250"/>
        <v>#N/A</v>
      </c>
      <c r="AG395" s="1176" t="e">
        <f t="shared" si="251"/>
        <v>#N/A</v>
      </c>
      <c r="AH395" s="1221" t="e">
        <f t="shared" si="260"/>
        <v>#N/A</v>
      </c>
    </row>
    <row r="396" spans="1:34" ht="15.5">
      <c r="A396" s="1216" t="b">
        <f t="shared" si="239"/>
        <v>1</v>
      </c>
      <c r="B396" s="1217" t="b">
        <f t="shared" si="252"/>
        <v>1</v>
      </c>
      <c r="C396" s="1218" t="str">
        <f t="shared" si="253"/>
        <v>Dólares</v>
      </c>
      <c r="D396" s="47"/>
      <c r="E396" s="836"/>
      <c r="F396" s="50"/>
      <c r="G396" s="50" t="str">
        <f t="shared" si="240"/>
        <v xml:space="preserve"> </v>
      </c>
      <c r="H396" s="45">
        <v>0</v>
      </c>
      <c r="I396" s="49" t="str">
        <f>IFERROR(VLOOKUP(G396,Proveedores!B:C,2,0)," ")</f>
        <v xml:space="preserve"> </v>
      </c>
      <c r="J396" s="838">
        <v>0</v>
      </c>
      <c r="K396" s="1124"/>
      <c r="L396" s="1266">
        <f t="shared" si="241"/>
        <v>0</v>
      </c>
      <c r="M396" s="1267">
        <f t="shared" si="242"/>
        <v>0</v>
      </c>
      <c r="N396" s="1268">
        <f t="shared" si="261"/>
        <v>0</v>
      </c>
      <c r="O396" s="836" t="str">
        <f>IFERROR(VLOOKUP(G396,Proveedores!B:D,3,0)," ")</f>
        <v xml:space="preserve"> </v>
      </c>
      <c r="P396" s="836"/>
      <c r="Q396" s="1127" t="e">
        <f t="shared" si="243"/>
        <v>#N/A</v>
      </c>
      <c r="R396" s="1127" t="b">
        <f t="shared" si="254"/>
        <v>0</v>
      </c>
      <c r="S396" s="1127" t="e">
        <f t="shared" si="244"/>
        <v>#N/A</v>
      </c>
      <c r="T396" s="1127" t="b">
        <f t="shared" si="255"/>
        <v>0</v>
      </c>
      <c r="U396" s="1127" t="e">
        <f t="shared" si="245"/>
        <v>#N/A</v>
      </c>
      <c r="V396" s="1127" t="e">
        <f t="shared" si="256"/>
        <v>#N/A</v>
      </c>
      <c r="W396" s="1127" t="e">
        <f>IF(F396="Offiho",J396,IF(_xlfn.XLOOKUP(F396,Proveedores!A$2:A$50,Proveedores!E$2:E$50,"")="Nacional",(J396/0.5)+(V396*H396),((J396/0.3/0.5)+(V396*H396))))</f>
        <v>#N/A</v>
      </c>
      <c r="X396" s="1127" t="e">
        <f t="shared" si="246"/>
        <v>#N/A</v>
      </c>
      <c r="Y396" s="1126" t="b">
        <f t="shared" si="247"/>
        <v>0</v>
      </c>
      <c r="Z396" s="43">
        <v>0</v>
      </c>
      <c r="AA396" s="1219" t="e">
        <f t="shared" si="257"/>
        <v>#N/A</v>
      </c>
      <c r="AB396" s="1219" t="e">
        <f t="shared" si="258"/>
        <v>#N/A</v>
      </c>
      <c r="AC396" s="1219" t="e">
        <f t="shared" si="248"/>
        <v>#N/A</v>
      </c>
      <c r="AD396" s="1126" t="str">
        <f t="shared" si="259"/>
        <v>NA</v>
      </c>
      <c r="AE396" s="1217" t="e">
        <f t="shared" si="249"/>
        <v>#N/A</v>
      </c>
      <c r="AF396" s="1220" t="e">
        <f t="shared" si="250"/>
        <v>#N/A</v>
      </c>
      <c r="AG396" s="1176" t="e">
        <f t="shared" si="251"/>
        <v>#N/A</v>
      </c>
      <c r="AH396" s="1221" t="e">
        <f t="shared" si="260"/>
        <v>#N/A</v>
      </c>
    </row>
    <row r="397" spans="1:34" ht="24" customHeight="1">
      <c r="A397" s="1422" t="s">
        <v>136</v>
      </c>
      <c r="B397" s="1422"/>
      <c r="C397" s="1422"/>
      <c r="D397" s="1422"/>
      <c r="E397" s="1422"/>
      <c r="F397" s="1422"/>
      <c r="G397" s="1228"/>
      <c r="H397" s="1229" cm="1">
        <f t="array" ref="H397">SUM(IFERROR(H364:H396,0))</f>
        <v>0</v>
      </c>
      <c r="I397" s="1228"/>
      <c r="J397" s="1230"/>
      <c r="K397" s="1231"/>
      <c r="L397" s="1229" cm="1">
        <f t="array" ref="L397">SUM(IFERROR(L364:L396,0))</f>
        <v>0</v>
      </c>
      <c r="M397" s="1235"/>
      <c r="N397" s="1232" cm="1">
        <f t="array" ref="N397">SUM(IFERROR(N364:N396,0))</f>
        <v>0</v>
      </c>
      <c r="O397" s="1233"/>
      <c r="P397" s="1233"/>
      <c r="Q397" s="1233"/>
      <c r="R397" s="1233"/>
      <c r="S397" s="1233"/>
      <c r="T397" s="1233"/>
      <c r="U397" s="1233"/>
      <c r="V397" s="1233"/>
      <c r="W397" s="1231"/>
      <c r="X397" s="1232" cm="1">
        <f t="array" ref="X397">SUM(IFERROR(X364:X396,0))</f>
        <v>0</v>
      </c>
      <c r="Y397" s="1233" t="s">
        <v>116</v>
      </c>
      <c r="Z397" s="1233"/>
      <c r="AA397" s="1233"/>
      <c r="AB397" s="1233"/>
      <c r="AC397" s="1232" cm="1">
        <f t="array" ref="AC397">SUM(IFERROR(AC364:AC396,0))</f>
        <v>0</v>
      </c>
      <c r="AD397" s="1232"/>
      <c r="AE397" s="1232"/>
      <c r="AF397" s="1232" cm="1">
        <f t="array" ref="AF397">SUM(IFERROR(AF364:AF396,0))</f>
        <v>0</v>
      </c>
      <c r="AG397" s="1177">
        <f>IFERROR(1-(N397/AC397),0)</f>
        <v>0</v>
      </c>
      <c r="AH397"/>
    </row>
    <row r="398" spans="1:34" ht="26" customHeight="1">
      <c r="A398" s="1419" t="s">
        <v>137</v>
      </c>
      <c r="B398" s="1419"/>
      <c r="C398" s="1419"/>
      <c r="D398" s="1419"/>
      <c r="E398" s="1419"/>
      <c r="F398" s="1419"/>
      <c r="G398" s="1419"/>
      <c r="H398" s="1419"/>
      <c r="I398" s="1419"/>
      <c r="J398" s="1420"/>
      <c r="K398" s="1214"/>
      <c r="L398" s="1214"/>
      <c r="M398" s="1236"/>
      <c r="N398" s="1214"/>
      <c r="O398" s="1213"/>
      <c r="P398" s="1213"/>
      <c r="Q398" s="1213"/>
      <c r="R398" s="1213"/>
      <c r="S398" s="1213"/>
      <c r="T398" s="1213"/>
      <c r="U398" s="1213"/>
      <c r="V398" s="1213"/>
      <c r="W398" s="1178"/>
      <c r="X398" s="1178"/>
      <c r="Y398" s="1178"/>
      <c r="Z398" s="1213"/>
      <c r="AA398" s="1213"/>
      <c r="AB398" s="1213"/>
      <c r="AC398" s="1213"/>
      <c r="AD398" s="1213"/>
      <c r="AE398" s="1213"/>
      <c r="AF398" s="1213"/>
      <c r="AG398" s="1215"/>
      <c r="AH398"/>
    </row>
    <row r="399" spans="1:34" ht="15.5">
      <c r="A399" s="1216" t="b">
        <f t="shared" ref="A399:A431" si="262">$A$13</f>
        <v>1</v>
      </c>
      <c r="B399" s="1217" t="b">
        <f>A399</f>
        <v>1</v>
      </c>
      <c r="C399" s="1218" t="str">
        <f>$C$13</f>
        <v>Dólares</v>
      </c>
      <c r="D399" s="44"/>
      <c r="E399" s="836"/>
      <c r="F399" s="50"/>
      <c r="G399" s="50" t="str">
        <f t="shared" ref="G399:G431" si="263">IFERROR(VLOOKUP(F399,Tabla_Proveedores_1,2,0)," ")</f>
        <v xml:space="preserve"> </v>
      </c>
      <c r="H399" s="45">
        <v>0</v>
      </c>
      <c r="I399" s="49" t="str">
        <f>IFERROR(VLOOKUP(G399,Proveedores!B:C,2,0)," ")</f>
        <v xml:space="preserve"> </v>
      </c>
      <c r="J399" s="838">
        <v>0</v>
      </c>
      <c r="K399" s="1124"/>
      <c r="L399" s="1266">
        <f t="shared" ref="L399:L431" si="264">K399*H399</f>
        <v>0</v>
      </c>
      <c r="M399" s="1267">
        <f t="shared" ref="M399:M431" si="265">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Brasil"),J399,IFERROR(IF(K958&lt;=$AO$578,J399*2.14,IF(K958&lt;=$AN$579,J399*1.8,IF(K958&gt;$AN$580,J399*1.5))),J399))*1.1)</f>
        <v>0</v>
      </c>
      <c r="N399" s="1268">
        <f>M399*H399</f>
        <v>0</v>
      </c>
      <c r="O399" s="836" t="str">
        <f>IFERROR(VLOOKUP(G399,Proveedores!B:D,3,0)," ")</f>
        <v xml:space="preserve"> </v>
      </c>
      <c r="P399" s="836"/>
      <c r="Q399" s="1127" t="e">
        <f t="shared" ref="Q399:Q431" si="266">VLOOKUP(E399,Tabla_Fletes,3,FALSE)</f>
        <v>#N/A</v>
      </c>
      <c r="R399" s="1127" t="b">
        <f>IF(P399="Centro",Q399,IF(P399="Norte",Q399*1.6,IF(P399="Occidente",Q399*1.2,IF(P399="Sur",Q399*2))))</f>
        <v>0</v>
      </c>
      <c r="S399" s="1127" t="e">
        <f t="shared" ref="S399:S431" si="267">VLOOKUP(E399,Tabla_Instalacion,2,FALSE)</f>
        <v>#N/A</v>
      </c>
      <c r="T399" s="1127" t="b">
        <f>IF(P399="Centro",S399,IF(P399="Norte",S399*1.1,IF(P399="Occidente",S399*1.1,IF(P399="Sur",S399*1.1))))</f>
        <v>0</v>
      </c>
      <c r="U399" s="1127" t="e">
        <f t="shared" ref="U399:U431" si="268">IF(F399="Offiho",0,Q399+S399)</f>
        <v>#N/A</v>
      </c>
      <c r="V399" s="1127" t="e">
        <f>IF(K399=0,U399/$H$573,U399*(K399/L399))*H399</f>
        <v>#N/A</v>
      </c>
      <c r="W399" s="1127" t="e">
        <f>IF(F399="Offiho",J399,IF(_xlfn.XLOOKUP(F399,Proveedores!A$2:A$50,Proveedores!E$2:E$50,"")="Nacional",(J399/0.5)+(V399*H399),((J399/0.3/0.5)+(V399*H399))))</f>
        <v>#N/A</v>
      </c>
      <c r="X399" s="1127" t="e">
        <f t="shared" ref="X399:X431" si="269">W399*H399</f>
        <v>#N/A</v>
      </c>
      <c r="Y399" s="1126" t="b">
        <f t="shared" ref="Y399:Y431" si="270">IF(F399="Sunon Inc",$AJ$577,IF(F399="Alma - Exterior",$AJ$578,IF(F399="Yabo - Hotelería",$AJ$579,IF(F399="OSJ - Medical",$AJ$580,IF(F399="Seezo - Home",$AJ$581,IF(F399="A&amp;D - Home",$AJ$582,IF(F399="Encore Alfombras Hoteleria Asia",$AJ$583,IF(F399="Zhong Xian - Leds",$AJ$584,IF(F399="Tarkett Europa",$AJ$585,IF(F399="2tec2",$AJ$586,IF(F399="Balsan Europa",$AJ$587,IF(F399="Armstrong Pisos USA",$AJ$588,IF(F399="Tarkett USA",$AJ$589,IF(F399="Tarkett Brasil",$AJ$590,IF(F399="Tarkett MX",$AJ$591,IF(F399="Jome",$AJ$592,IF(F399="Offiho",$AJ$593,IF(F399="Lumbro",$AJ$594,IF(F399="Sunon Mty",$AJ$595,IF(F399="Conceptos Sofas",$AJ$596,IF(F399="Lauco Sofas",$AJ$597,IF(F399="CR Global - Mesas Ajustables",$AJ$598,IF(F399="Vandesk",$AJ$599,IF(F399="Mamparas Tela",$AJ$600,IF(F399="Mampara Cristales",$AJ$601,IF(F399="Herrajes",$AJ$602,IF(F399="MetalWork",$AJ$603,IF(F399="Requiez",$AJ$604,IF(F399="Labenze",$AJ$605,IF(F399="Infinity",$AJ$606,IF(F399="Proveedor Externo",$AJ$607)))))))))))))))))))))))))))))))</f>
        <v>0</v>
      </c>
      <c r="Z399" s="43">
        <v>0</v>
      </c>
      <c r="AA399" s="1219" t="e">
        <f>W399*Z399</f>
        <v>#N/A</v>
      </c>
      <c r="AB399" s="1219" t="e">
        <f>IF(Z399&gt;Y399,"ERROR",(W399-AA399))</f>
        <v>#N/A</v>
      </c>
      <c r="AC399" s="1219" t="e">
        <f t="shared" ref="AC399:AC431" si="271">AB399*H399</f>
        <v>#N/A</v>
      </c>
      <c r="AD399" s="1126" t="e">
        <f>IF(A400=TRUE,MAX(0,1-(AE399/W399)),"NA")</f>
        <v>#N/A</v>
      </c>
      <c r="AE399" s="1217" t="e">
        <f t="shared" ref="AE399:AE431" si="272">IF(A398=FALSE,"NO APLICA",AB399*1.2)</f>
        <v>#N/A</v>
      </c>
      <c r="AF399" s="1220" t="e">
        <f t="shared" ref="AF399:AF431" si="273">AE399*H399</f>
        <v>#N/A</v>
      </c>
      <c r="AG399" s="1176" t="e">
        <f t="shared" ref="AG399:AG431" si="274">(AC399-N399)/AC399</f>
        <v>#N/A</v>
      </c>
      <c r="AH399" s="1221" t="e">
        <f>IF(AG399&lt;30%,"ERROR","OK")</f>
        <v>#N/A</v>
      </c>
    </row>
    <row r="400" spans="1:34" ht="15.5">
      <c r="A400" s="1216" t="b">
        <f t="shared" si="262"/>
        <v>1</v>
      </c>
      <c r="B400" s="1217" t="b">
        <f t="shared" ref="B400:B431" si="275">A400</f>
        <v>1</v>
      </c>
      <c r="C400" s="1218" t="str">
        <f t="shared" ref="C400:C431" si="276">$C$13</f>
        <v>Dólares</v>
      </c>
      <c r="D400" s="46"/>
      <c r="E400" s="836"/>
      <c r="F400" s="50"/>
      <c r="G400" s="50" t="str">
        <f t="shared" si="263"/>
        <v xml:space="preserve"> </v>
      </c>
      <c r="H400" s="45">
        <v>0</v>
      </c>
      <c r="I400" s="49" t="str">
        <f>IFERROR(VLOOKUP(G400,Proveedores!B:C,2,0)," ")</f>
        <v xml:space="preserve"> </v>
      </c>
      <c r="J400" s="838">
        <v>0</v>
      </c>
      <c r="K400" s="1124"/>
      <c r="L400" s="1266">
        <f t="shared" si="264"/>
        <v>0</v>
      </c>
      <c r="M400" s="1267">
        <f t="shared" si="265"/>
        <v>0</v>
      </c>
      <c r="N400" s="1268">
        <f>M400*H400</f>
        <v>0</v>
      </c>
      <c r="O400" s="836" t="str">
        <f>IFERROR(VLOOKUP(G400,Proveedores!B:D,3,0)," ")</f>
        <v xml:space="preserve"> </v>
      </c>
      <c r="P400" s="836"/>
      <c r="Q400" s="1127" t="e">
        <f t="shared" si="266"/>
        <v>#N/A</v>
      </c>
      <c r="R400" s="1127" t="b">
        <f t="shared" ref="R400:R431" si="277">IF(P400="Centro",Q400,IF(P400="Norte",Q400*1.6,IF(P400="Occidente",Q400*1.2,IF(P400="Sur",Q400*2))))</f>
        <v>0</v>
      </c>
      <c r="S400" s="1127" t="e">
        <f t="shared" si="267"/>
        <v>#N/A</v>
      </c>
      <c r="T400" s="1127" t="b">
        <f t="shared" ref="T400:T431" si="278">IF(P400="Centro",S400,IF(P400="Norte",S400*1.1,IF(P400="Occidente",S400*1.1,IF(P400="Sur",S400*1.1))))</f>
        <v>0</v>
      </c>
      <c r="U400" s="1127" t="e">
        <f t="shared" si="268"/>
        <v>#N/A</v>
      </c>
      <c r="V400" s="1127" t="e">
        <f t="shared" ref="V400:V431" si="279">IF(K400=0,U400/$H$573,U400*(K400/L400))*H400</f>
        <v>#N/A</v>
      </c>
      <c r="W400" s="1127" t="e">
        <f>IF(F400="Offiho",J400,IF(_xlfn.XLOOKUP(F400,Proveedores!A$2:A$50,Proveedores!E$2:E$50,"")="Nacional",(J400/0.5)+(V400*H400),((J400/0.3/0.5)+(V400*H400))))</f>
        <v>#N/A</v>
      </c>
      <c r="X400" s="1127" t="e">
        <f t="shared" si="269"/>
        <v>#N/A</v>
      </c>
      <c r="Y400" s="1126" t="b">
        <f t="shared" si="270"/>
        <v>0</v>
      </c>
      <c r="Z400" s="43">
        <v>0</v>
      </c>
      <c r="AA400" s="1219" t="e">
        <f t="shared" ref="AA400:AA431" si="280">W400*Z400</f>
        <v>#N/A</v>
      </c>
      <c r="AB400" s="1219" t="e">
        <f t="shared" ref="AB400:AB431" si="281">IF(Z400&gt;Y400,"ERROR",(W400-AA400))</f>
        <v>#N/A</v>
      </c>
      <c r="AC400" s="1219" t="e">
        <f t="shared" si="271"/>
        <v>#N/A</v>
      </c>
      <c r="AD400" s="1126" t="e">
        <f t="shared" ref="AD400:AD431" si="282">IF(A401=TRUE,MAX(0,1-(AE400/W400)),"NA")</f>
        <v>#N/A</v>
      </c>
      <c r="AE400" s="1217" t="e">
        <f t="shared" si="272"/>
        <v>#N/A</v>
      </c>
      <c r="AF400" s="1220" t="e">
        <f t="shared" si="273"/>
        <v>#N/A</v>
      </c>
      <c r="AG400" s="1176" t="e">
        <f t="shared" si="274"/>
        <v>#N/A</v>
      </c>
      <c r="AH400" s="1221" t="e">
        <f t="shared" ref="AH400:AH431" si="283">IF(AG400&lt;30%,"ERROR","OK")</f>
        <v>#N/A</v>
      </c>
    </row>
    <row r="401" spans="1:34" ht="15.5">
      <c r="A401" s="1216" t="b">
        <f t="shared" si="262"/>
        <v>1</v>
      </c>
      <c r="B401" s="1217" t="b">
        <f t="shared" si="275"/>
        <v>1</v>
      </c>
      <c r="C401" s="1218" t="str">
        <f t="shared" si="276"/>
        <v>Dólares</v>
      </c>
      <c r="D401" s="46"/>
      <c r="E401" s="836"/>
      <c r="F401" s="50"/>
      <c r="G401" s="50" t="str">
        <f t="shared" si="263"/>
        <v xml:space="preserve"> </v>
      </c>
      <c r="H401" s="45">
        <v>0</v>
      </c>
      <c r="I401" s="49" t="str">
        <f>IFERROR(VLOOKUP(G401,Proveedores!B:C,2,0)," ")</f>
        <v xml:space="preserve"> </v>
      </c>
      <c r="J401" s="838">
        <v>0</v>
      </c>
      <c r="K401" s="1124"/>
      <c r="L401" s="1266">
        <f t="shared" si="264"/>
        <v>0</v>
      </c>
      <c r="M401" s="1267">
        <f t="shared" si="265"/>
        <v>0</v>
      </c>
      <c r="N401" s="1268">
        <f>(M401*H401)</f>
        <v>0</v>
      </c>
      <c r="O401" s="836" t="str">
        <f>IFERROR(VLOOKUP(G401,Proveedores!B:D,3,0)," ")</f>
        <v xml:space="preserve"> </v>
      </c>
      <c r="P401" s="836"/>
      <c r="Q401" s="1127" t="e">
        <f t="shared" si="266"/>
        <v>#N/A</v>
      </c>
      <c r="R401" s="1127" t="b">
        <f t="shared" si="277"/>
        <v>0</v>
      </c>
      <c r="S401" s="1127" t="e">
        <f t="shared" si="267"/>
        <v>#N/A</v>
      </c>
      <c r="T401" s="1127" t="b">
        <f t="shared" si="278"/>
        <v>0</v>
      </c>
      <c r="U401" s="1127" t="e">
        <f t="shared" si="268"/>
        <v>#N/A</v>
      </c>
      <c r="V401" s="1127" t="e">
        <f t="shared" si="279"/>
        <v>#N/A</v>
      </c>
      <c r="W401" s="1127" t="e">
        <f>IF(F401="Offiho",J401,IF(_xlfn.XLOOKUP(F401,Proveedores!A$2:A$50,Proveedores!E$2:E$50,"")="Nacional",(J401/0.5)+(V401*H401),((J401/0.3/0.5)+(V401*H401))))</f>
        <v>#N/A</v>
      </c>
      <c r="X401" s="1127" t="e">
        <f t="shared" si="269"/>
        <v>#N/A</v>
      </c>
      <c r="Y401" s="1126" t="b">
        <f t="shared" si="270"/>
        <v>0</v>
      </c>
      <c r="Z401" s="43">
        <v>0</v>
      </c>
      <c r="AA401" s="1219" t="e">
        <f t="shared" si="280"/>
        <v>#N/A</v>
      </c>
      <c r="AB401" s="1219" t="e">
        <f t="shared" si="281"/>
        <v>#N/A</v>
      </c>
      <c r="AC401" s="1219" t="e">
        <f t="shared" si="271"/>
        <v>#N/A</v>
      </c>
      <c r="AD401" s="1126" t="e">
        <f t="shared" si="282"/>
        <v>#N/A</v>
      </c>
      <c r="AE401" s="1217" t="e">
        <f t="shared" si="272"/>
        <v>#N/A</v>
      </c>
      <c r="AF401" s="1220" t="e">
        <f t="shared" si="273"/>
        <v>#N/A</v>
      </c>
      <c r="AG401" s="1176" t="e">
        <f t="shared" si="274"/>
        <v>#N/A</v>
      </c>
      <c r="AH401" s="1221" t="e">
        <f t="shared" si="283"/>
        <v>#N/A</v>
      </c>
    </row>
    <row r="402" spans="1:34" ht="15.5">
      <c r="A402" s="1216" t="b">
        <f t="shared" si="262"/>
        <v>1</v>
      </c>
      <c r="B402" s="1217" t="b">
        <f t="shared" si="275"/>
        <v>1</v>
      </c>
      <c r="C402" s="1218" t="str">
        <f t="shared" si="276"/>
        <v>Dólares</v>
      </c>
      <c r="D402" s="46"/>
      <c r="E402" s="836"/>
      <c r="F402" s="50"/>
      <c r="G402" s="50" t="str">
        <f t="shared" si="263"/>
        <v xml:space="preserve"> </v>
      </c>
      <c r="H402" s="45">
        <v>0</v>
      </c>
      <c r="I402" s="49" t="str">
        <f>IFERROR(VLOOKUP(G402,Proveedores!B:C,2,0)," ")</f>
        <v xml:space="preserve"> </v>
      </c>
      <c r="J402" s="838">
        <v>0</v>
      </c>
      <c r="K402" s="1124"/>
      <c r="L402" s="1266">
        <f t="shared" si="264"/>
        <v>0</v>
      </c>
      <c r="M402" s="1267">
        <f t="shared" si="265"/>
        <v>0</v>
      </c>
      <c r="N402" s="1268">
        <f t="shared" ref="N402:N431" si="284">M402*H402</f>
        <v>0</v>
      </c>
      <c r="O402" s="836" t="str">
        <f>IFERROR(VLOOKUP(G402,Proveedores!B:D,3,0)," ")</f>
        <v xml:space="preserve"> </v>
      </c>
      <c r="P402" s="836"/>
      <c r="Q402" s="1127" t="e">
        <f t="shared" si="266"/>
        <v>#N/A</v>
      </c>
      <c r="R402" s="1127" t="b">
        <f t="shared" si="277"/>
        <v>0</v>
      </c>
      <c r="S402" s="1127" t="e">
        <f t="shared" si="267"/>
        <v>#N/A</v>
      </c>
      <c r="T402" s="1127" t="b">
        <f t="shared" si="278"/>
        <v>0</v>
      </c>
      <c r="U402" s="1127" t="e">
        <f t="shared" si="268"/>
        <v>#N/A</v>
      </c>
      <c r="V402" s="1127" t="e">
        <f t="shared" si="279"/>
        <v>#N/A</v>
      </c>
      <c r="W402" s="1127" t="e">
        <f>IF(F402="Offiho",J402,IF(_xlfn.XLOOKUP(F402,Proveedores!A$2:A$50,Proveedores!E$2:E$50,"")="Nacional",(J402/0.5)+(V402*H402),((J402/0.3/0.5)+(V402*H402))))</f>
        <v>#N/A</v>
      </c>
      <c r="X402" s="1127" t="e">
        <f t="shared" si="269"/>
        <v>#N/A</v>
      </c>
      <c r="Y402" s="1126" t="b">
        <f t="shared" si="270"/>
        <v>0</v>
      </c>
      <c r="Z402" s="43">
        <v>0</v>
      </c>
      <c r="AA402" s="1219" t="e">
        <f t="shared" si="280"/>
        <v>#N/A</v>
      </c>
      <c r="AB402" s="1219" t="e">
        <f t="shared" si="281"/>
        <v>#N/A</v>
      </c>
      <c r="AC402" s="1219" t="e">
        <f t="shared" si="271"/>
        <v>#N/A</v>
      </c>
      <c r="AD402" s="1126" t="e">
        <f t="shared" si="282"/>
        <v>#N/A</v>
      </c>
      <c r="AE402" s="1217" t="e">
        <f t="shared" si="272"/>
        <v>#N/A</v>
      </c>
      <c r="AF402" s="1220" t="e">
        <f t="shared" si="273"/>
        <v>#N/A</v>
      </c>
      <c r="AG402" s="1176" t="e">
        <f t="shared" si="274"/>
        <v>#N/A</v>
      </c>
      <c r="AH402" s="1221" t="e">
        <f t="shared" si="283"/>
        <v>#N/A</v>
      </c>
    </row>
    <row r="403" spans="1:34" ht="15.5">
      <c r="A403" s="1216" t="b">
        <f t="shared" si="262"/>
        <v>1</v>
      </c>
      <c r="B403" s="1217" t="b">
        <f t="shared" si="275"/>
        <v>1</v>
      </c>
      <c r="C403" s="1218" t="str">
        <f t="shared" si="276"/>
        <v>Dólares</v>
      </c>
      <c r="D403" s="46"/>
      <c r="E403" s="836"/>
      <c r="F403" s="50"/>
      <c r="G403" s="50" t="str">
        <f t="shared" si="263"/>
        <v xml:space="preserve"> </v>
      </c>
      <c r="H403" s="45">
        <v>0</v>
      </c>
      <c r="I403" s="49" t="str">
        <f>IFERROR(VLOOKUP(G403,Proveedores!B:C,2,0)," ")</f>
        <v xml:space="preserve"> </v>
      </c>
      <c r="J403" s="838">
        <v>0</v>
      </c>
      <c r="K403" s="1124"/>
      <c r="L403" s="1266">
        <f t="shared" si="264"/>
        <v>0</v>
      </c>
      <c r="M403" s="1267">
        <f t="shared" si="265"/>
        <v>0</v>
      </c>
      <c r="N403" s="1268">
        <f t="shared" si="284"/>
        <v>0</v>
      </c>
      <c r="O403" s="836" t="str">
        <f>IFERROR(VLOOKUP(G403,Proveedores!B:D,3,0)," ")</f>
        <v xml:space="preserve"> </v>
      </c>
      <c r="P403" s="836"/>
      <c r="Q403" s="1127" t="e">
        <f t="shared" si="266"/>
        <v>#N/A</v>
      </c>
      <c r="R403" s="1127" t="b">
        <f t="shared" si="277"/>
        <v>0</v>
      </c>
      <c r="S403" s="1127" t="e">
        <f t="shared" si="267"/>
        <v>#N/A</v>
      </c>
      <c r="T403" s="1127" t="b">
        <f t="shared" si="278"/>
        <v>0</v>
      </c>
      <c r="U403" s="1127" t="e">
        <f t="shared" si="268"/>
        <v>#N/A</v>
      </c>
      <c r="V403" s="1127" t="e">
        <f t="shared" si="279"/>
        <v>#N/A</v>
      </c>
      <c r="W403" s="1127" t="e">
        <f>IF(F403="Offiho",J403,IF(_xlfn.XLOOKUP(F403,Proveedores!A$2:A$50,Proveedores!E$2:E$50,"")="Nacional",(J403/0.5)+(V403*H403),((J403/0.3/0.5)+(V403*H403))))</f>
        <v>#N/A</v>
      </c>
      <c r="X403" s="1127" t="e">
        <f t="shared" si="269"/>
        <v>#N/A</v>
      </c>
      <c r="Y403" s="1126" t="b">
        <f t="shared" si="270"/>
        <v>0</v>
      </c>
      <c r="Z403" s="43">
        <v>0</v>
      </c>
      <c r="AA403" s="1219" t="e">
        <f t="shared" si="280"/>
        <v>#N/A</v>
      </c>
      <c r="AB403" s="1219" t="e">
        <f t="shared" si="281"/>
        <v>#N/A</v>
      </c>
      <c r="AC403" s="1219" t="e">
        <f t="shared" si="271"/>
        <v>#N/A</v>
      </c>
      <c r="AD403" s="1126" t="e">
        <f t="shared" si="282"/>
        <v>#N/A</v>
      </c>
      <c r="AE403" s="1217" t="e">
        <f t="shared" si="272"/>
        <v>#N/A</v>
      </c>
      <c r="AF403" s="1220" t="e">
        <f t="shared" si="273"/>
        <v>#N/A</v>
      </c>
      <c r="AG403" s="1176" t="e">
        <f t="shared" si="274"/>
        <v>#N/A</v>
      </c>
      <c r="AH403" s="1221" t="e">
        <f t="shared" si="283"/>
        <v>#N/A</v>
      </c>
    </row>
    <row r="404" spans="1:34" ht="15.5">
      <c r="A404" s="1216" t="b">
        <f t="shared" si="262"/>
        <v>1</v>
      </c>
      <c r="B404" s="1217" t="b">
        <f t="shared" si="275"/>
        <v>1</v>
      </c>
      <c r="C404" s="1218" t="str">
        <f t="shared" si="276"/>
        <v>Dólares</v>
      </c>
      <c r="D404" s="46"/>
      <c r="E404" s="836"/>
      <c r="F404" s="50"/>
      <c r="G404" s="50" t="str">
        <f t="shared" si="263"/>
        <v xml:space="preserve"> </v>
      </c>
      <c r="H404" s="45">
        <v>0</v>
      </c>
      <c r="I404" s="49" t="str">
        <f>IFERROR(VLOOKUP(G404,Proveedores!B:C,2,0)," ")</f>
        <v xml:space="preserve"> </v>
      </c>
      <c r="J404" s="838">
        <v>0</v>
      </c>
      <c r="K404" s="1124"/>
      <c r="L404" s="1266">
        <f t="shared" si="264"/>
        <v>0</v>
      </c>
      <c r="M404" s="1267">
        <f t="shared" si="265"/>
        <v>0</v>
      </c>
      <c r="N404" s="1268">
        <f t="shared" si="284"/>
        <v>0</v>
      </c>
      <c r="O404" s="836" t="str">
        <f>IFERROR(VLOOKUP(G404,Proveedores!B:D,3,0)," ")</f>
        <v xml:space="preserve"> </v>
      </c>
      <c r="P404" s="836"/>
      <c r="Q404" s="1127" t="e">
        <f t="shared" si="266"/>
        <v>#N/A</v>
      </c>
      <c r="R404" s="1127" t="b">
        <f t="shared" si="277"/>
        <v>0</v>
      </c>
      <c r="S404" s="1127" t="e">
        <f t="shared" si="267"/>
        <v>#N/A</v>
      </c>
      <c r="T404" s="1127" t="b">
        <f t="shared" si="278"/>
        <v>0</v>
      </c>
      <c r="U404" s="1127" t="e">
        <f t="shared" si="268"/>
        <v>#N/A</v>
      </c>
      <c r="V404" s="1127" t="e">
        <f t="shared" si="279"/>
        <v>#N/A</v>
      </c>
      <c r="W404" s="1127" t="e">
        <f>IF(F404="Offiho",J404,IF(_xlfn.XLOOKUP(F404,Proveedores!A$2:A$50,Proveedores!E$2:E$50,"")="Nacional",(J404/0.5)+(V404*H404),((J404/0.3/0.5)+(V404*H404))))</f>
        <v>#N/A</v>
      </c>
      <c r="X404" s="1127" t="e">
        <f t="shared" si="269"/>
        <v>#N/A</v>
      </c>
      <c r="Y404" s="1126" t="b">
        <f t="shared" si="270"/>
        <v>0</v>
      </c>
      <c r="Z404" s="43">
        <v>0</v>
      </c>
      <c r="AA404" s="1219" t="e">
        <f t="shared" si="280"/>
        <v>#N/A</v>
      </c>
      <c r="AB404" s="1219" t="e">
        <f t="shared" si="281"/>
        <v>#N/A</v>
      </c>
      <c r="AC404" s="1219" t="e">
        <f t="shared" si="271"/>
        <v>#N/A</v>
      </c>
      <c r="AD404" s="1126" t="e">
        <f t="shared" si="282"/>
        <v>#N/A</v>
      </c>
      <c r="AE404" s="1217" t="e">
        <f t="shared" si="272"/>
        <v>#N/A</v>
      </c>
      <c r="AF404" s="1220" t="e">
        <f t="shared" si="273"/>
        <v>#N/A</v>
      </c>
      <c r="AG404" s="1176" t="e">
        <f t="shared" si="274"/>
        <v>#N/A</v>
      </c>
      <c r="AH404" s="1221" t="e">
        <f t="shared" si="283"/>
        <v>#N/A</v>
      </c>
    </row>
    <row r="405" spans="1:34" ht="15.5">
      <c r="A405" s="1216" t="b">
        <f t="shared" si="262"/>
        <v>1</v>
      </c>
      <c r="B405" s="1217" t="b">
        <f t="shared" si="275"/>
        <v>1</v>
      </c>
      <c r="C405" s="1218" t="str">
        <f t="shared" si="276"/>
        <v>Dólares</v>
      </c>
      <c r="D405" s="44"/>
      <c r="E405" s="836"/>
      <c r="F405" s="50"/>
      <c r="G405" s="50" t="str">
        <f t="shared" si="263"/>
        <v xml:space="preserve"> </v>
      </c>
      <c r="H405" s="45">
        <v>0</v>
      </c>
      <c r="I405" s="49" t="str">
        <f>IFERROR(VLOOKUP(G405,Proveedores!B:C,2,0)," ")</f>
        <v xml:space="preserve"> </v>
      </c>
      <c r="J405" s="838">
        <v>0</v>
      </c>
      <c r="K405" s="1124"/>
      <c r="L405" s="1266">
        <f t="shared" si="264"/>
        <v>0</v>
      </c>
      <c r="M405" s="1267">
        <f t="shared" si="265"/>
        <v>0</v>
      </c>
      <c r="N405" s="1268">
        <f t="shared" si="284"/>
        <v>0</v>
      </c>
      <c r="O405" s="836" t="str">
        <f>IFERROR(VLOOKUP(G405,Proveedores!B:D,3,0)," ")</f>
        <v xml:space="preserve"> </v>
      </c>
      <c r="P405" s="836"/>
      <c r="Q405" s="1127" t="e">
        <f t="shared" si="266"/>
        <v>#N/A</v>
      </c>
      <c r="R405" s="1127" t="b">
        <f t="shared" si="277"/>
        <v>0</v>
      </c>
      <c r="S405" s="1127" t="e">
        <f t="shared" si="267"/>
        <v>#N/A</v>
      </c>
      <c r="T405" s="1127" t="b">
        <f t="shared" si="278"/>
        <v>0</v>
      </c>
      <c r="U405" s="1127" t="e">
        <f t="shared" si="268"/>
        <v>#N/A</v>
      </c>
      <c r="V405" s="1127" t="e">
        <f t="shared" si="279"/>
        <v>#N/A</v>
      </c>
      <c r="W405" s="1127" t="e">
        <f>IF(F405="Offiho",J405,IF(_xlfn.XLOOKUP(F405,Proveedores!A$2:A$50,Proveedores!E$2:E$50,"")="Nacional",(J405/0.5)+(V405*H405),((J405/0.3/0.5)+(V405*H405))))</f>
        <v>#N/A</v>
      </c>
      <c r="X405" s="1127" t="e">
        <f t="shared" si="269"/>
        <v>#N/A</v>
      </c>
      <c r="Y405" s="1126" t="b">
        <f t="shared" si="270"/>
        <v>0</v>
      </c>
      <c r="Z405" s="43">
        <v>0</v>
      </c>
      <c r="AA405" s="1219" t="e">
        <f t="shared" si="280"/>
        <v>#N/A</v>
      </c>
      <c r="AB405" s="1219" t="e">
        <f t="shared" si="281"/>
        <v>#N/A</v>
      </c>
      <c r="AC405" s="1219" t="e">
        <f t="shared" si="271"/>
        <v>#N/A</v>
      </c>
      <c r="AD405" s="1126" t="e">
        <f t="shared" si="282"/>
        <v>#N/A</v>
      </c>
      <c r="AE405" s="1217" t="e">
        <f t="shared" si="272"/>
        <v>#N/A</v>
      </c>
      <c r="AF405" s="1220" t="e">
        <f t="shared" si="273"/>
        <v>#N/A</v>
      </c>
      <c r="AG405" s="1176" t="e">
        <f t="shared" si="274"/>
        <v>#N/A</v>
      </c>
      <c r="AH405" s="1221" t="e">
        <f t="shared" si="283"/>
        <v>#N/A</v>
      </c>
    </row>
    <row r="406" spans="1:34" ht="15.5">
      <c r="A406" s="1216" t="b">
        <f t="shared" si="262"/>
        <v>1</v>
      </c>
      <c r="B406" s="1217" t="b">
        <f t="shared" si="275"/>
        <v>1</v>
      </c>
      <c r="C406" s="1218" t="str">
        <f t="shared" si="276"/>
        <v>Dólares</v>
      </c>
      <c r="D406" s="44"/>
      <c r="E406" s="836"/>
      <c r="F406" s="50"/>
      <c r="G406" s="50" t="str">
        <f t="shared" si="263"/>
        <v xml:space="preserve"> </v>
      </c>
      <c r="H406" s="45">
        <v>0</v>
      </c>
      <c r="I406" s="49" t="str">
        <f>IFERROR(VLOOKUP(G406,Proveedores!B:C,2,0)," ")</f>
        <v xml:space="preserve"> </v>
      </c>
      <c r="J406" s="838">
        <v>0</v>
      </c>
      <c r="K406" s="1124"/>
      <c r="L406" s="1266">
        <f t="shared" si="264"/>
        <v>0</v>
      </c>
      <c r="M406" s="1267">
        <f t="shared" si="265"/>
        <v>0</v>
      </c>
      <c r="N406" s="1268">
        <f t="shared" si="284"/>
        <v>0</v>
      </c>
      <c r="O406" s="836" t="str">
        <f>IFERROR(VLOOKUP(G406,Proveedores!B:D,3,0)," ")</f>
        <v xml:space="preserve"> </v>
      </c>
      <c r="P406" s="836"/>
      <c r="Q406" s="1127" t="e">
        <f t="shared" si="266"/>
        <v>#N/A</v>
      </c>
      <c r="R406" s="1127" t="b">
        <f t="shared" si="277"/>
        <v>0</v>
      </c>
      <c r="S406" s="1127" t="e">
        <f t="shared" si="267"/>
        <v>#N/A</v>
      </c>
      <c r="T406" s="1127" t="b">
        <f t="shared" si="278"/>
        <v>0</v>
      </c>
      <c r="U406" s="1127" t="e">
        <f t="shared" si="268"/>
        <v>#N/A</v>
      </c>
      <c r="V406" s="1127" t="e">
        <f t="shared" si="279"/>
        <v>#N/A</v>
      </c>
      <c r="W406" s="1127" t="e">
        <f>IF(F406="Offiho",J406,IF(_xlfn.XLOOKUP(F406,Proveedores!A$2:A$50,Proveedores!E$2:E$50,"")="Nacional",(J406/0.5)+(V406*H406),((J406/0.3/0.5)+(V406*H406))))</f>
        <v>#N/A</v>
      </c>
      <c r="X406" s="1127" t="e">
        <f t="shared" si="269"/>
        <v>#N/A</v>
      </c>
      <c r="Y406" s="1126" t="b">
        <f t="shared" si="270"/>
        <v>0</v>
      </c>
      <c r="Z406" s="43">
        <v>0</v>
      </c>
      <c r="AA406" s="1219" t="e">
        <f t="shared" si="280"/>
        <v>#N/A</v>
      </c>
      <c r="AB406" s="1219" t="e">
        <f t="shared" si="281"/>
        <v>#N/A</v>
      </c>
      <c r="AC406" s="1219" t="e">
        <f t="shared" si="271"/>
        <v>#N/A</v>
      </c>
      <c r="AD406" s="1126" t="e">
        <f t="shared" si="282"/>
        <v>#N/A</v>
      </c>
      <c r="AE406" s="1217" t="e">
        <f t="shared" si="272"/>
        <v>#N/A</v>
      </c>
      <c r="AF406" s="1220" t="e">
        <f t="shared" si="273"/>
        <v>#N/A</v>
      </c>
      <c r="AG406" s="1176" t="e">
        <f t="shared" si="274"/>
        <v>#N/A</v>
      </c>
      <c r="AH406" s="1221" t="e">
        <f t="shared" si="283"/>
        <v>#N/A</v>
      </c>
    </row>
    <row r="407" spans="1:34" ht="15.5">
      <c r="A407" s="1216" t="b">
        <f t="shared" si="262"/>
        <v>1</v>
      </c>
      <c r="B407" s="1217" t="b">
        <f t="shared" si="275"/>
        <v>1</v>
      </c>
      <c r="C407" s="1218" t="str">
        <f t="shared" si="276"/>
        <v>Dólares</v>
      </c>
      <c r="D407" s="44"/>
      <c r="E407" s="836"/>
      <c r="F407" s="50"/>
      <c r="G407" s="50" t="str">
        <f t="shared" si="263"/>
        <v xml:space="preserve"> </v>
      </c>
      <c r="H407" s="45">
        <v>0</v>
      </c>
      <c r="I407" s="49" t="str">
        <f>IFERROR(VLOOKUP(G407,Proveedores!B:C,2,0)," ")</f>
        <v xml:space="preserve"> </v>
      </c>
      <c r="J407" s="838">
        <v>0</v>
      </c>
      <c r="K407" s="1124"/>
      <c r="L407" s="1266">
        <f t="shared" si="264"/>
        <v>0</v>
      </c>
      <c r="M407" s="1267">
        <f t="shared" si="265"/>
        <v>0</v>
      </c>
      <c r="N407" s="1268">
        <f t="shared" si="284"/>
        <v>0</v>
      </c>
      <c r="O407" s="836" t="str">
        <f>IFERROR(VLOOKUP(G407,Proveedores!B:D,3,0)," ")</f>
        <v xml:space="preserve"> </v>
      </c>
      <c r="P407" s="836"/>
      <c r="Q407" s="1127" t="e">
        <f t="shared" si="266"/>
        <v>#N/A</v>
      </c>
      <c r="R407" s="1127" t="b">
        <f t="shared" si="277"/>
        <v>0</v>
      </c>
      <c r="S407" s="1127" t="e">
        <f t="shared" si="267"/>
        <v>#N/A</v>
      </c>
      <c r="T407" s="1127" t="b">
        <f t="shared" si="278"/>
        <v>0</v>
      </c>
      <c r="U407" s="1127" t="e">
        <f t="shared" si="268"/>
        <v>#N/A</v>
      </c>
      <c r="V407" s="1127" t="e">
        <f t="shared" si="279"/>
        <v>#N/A</v>
      </c>
      <c r="W407" s="1127" t="e">
        <f>IF(F407="Offiho",J407,IF(_xlfn.XLOOKUP(F407,Proveedores!A$2:A$50,Proveedores!E$2:E$50,"")="Nacional",(J407/0.5)+(V407*H407),((J407/0.3/0.5)+(V407*H407))))</f>
        <v>#N/A</v>
      </c>
      <c r="X407" s="1127" t="e">
        <f t="shared" si="269"/>
        <v>#N/A</v>
      </c>
      <c r="Y407" s="1126" t="b">
        <f t="shared" si="270"/>
        <v>0</v>
      </c>
      <c r="Z407" s="43">
        <v>0</v>
      </c>
      <c r="AA407" s="1219" t="e">
        <f t="shared" si="280"/>
        <v>#N/A</v>
      </c>
      <c r="AB407" s="1219" t="e">
        <f t="shared" si="281"/>
        <v>#N/A</v>
      </c>
      <c r="AC407" s="1219" t="e">
        <f t="shared" si="271"/>
        <v>#N/A</v>
      </c>
      <c r="AD407" s="1126" t="e">
        <f t="shared" si="282"/>
        <v>#N/A</v>
      </c>
      <c r="AE407" s="1217" t="e">
        <f t="shared" si="272"/>
        <v>#N/A</v>
      </c>
      <c r="AF407" s="1220" t="e">
        <f t="shared" si="273"/>
        <v>#N/A</v>
      </c>
      <c r="AG407" s="1176" t="e">
        <f t="shared" si="274"/>
        <v>#N/A</v>
      </c>
      <c r="AH407" s="1221" t="e">
        <f t="shared" si="283"/>
        <v>#N/A</v>
      </c>
    </row>
    <row r="408" spans="1:34" ht="15.5">
      <c r="A408" s="1216" t="b">
        <f t="shared" si="262"/>
        <v>1</v>
      </c>
      <c r="B408" s="1217" t="b">
        <f t="shared" si="275"/>
        <v>1</v>
      </c>
      <c r="C408" s="1218" t="str">
        <f t="shared" si="276"/>
        <v>Dólares</v>
      </c>
      <c r="D408" s="44"/>
      <c r="E408" s="836"/>
      <c r="F408" s="50"/>
      <c r="G408" s="50" t="str">
        <f t="shared" si="263"/>
        <v xml:space="preserve"> </v>
      </c>
      <c r="H408" s="45">
        <v>0</v>
      </c>
      <c r="I408" s="49" t="str">
        <f>IFERROR(VLOOKUP(G408,Proveedores!B:C,2,0)," ")</f>
        <v xml:space="preserve"> </v>
      </c>
      <c r="J408" s="838">
        <v>0</v>
      </c>
      <c r="K408" s="1124"/>
      <c r="L408" s="1266">
        <f t="shared" si="264"/>
        <v>0</v>
      </c>
      <c r="M408" s="1267">
        <f t="shared" si="265"/>
        <v>0</v>
      </c>
      <c r="N408" s="1268">
        <f t="shared" si="284"/>
        <v>0</v>
      </c>
      <c r="O408" s="836" t="str">
        <f>IFERROR(VLOOKUP(G408,Proveedores!B:D,3,0)," ")</f>
        <v xml:space="preserve"> </v>
      </c>
      <c r="P408" s="836"/>
      <c r="Q408" s="1127" t="e">
        <f t="shared" si="266"/>
        <v>#N/A</v>
      </c>
      <c r="R408" s="1127" t="b">
        <f t="shared" si="277"/>
        <v>0</v>
      </c>
      <c r="S408" s="1127" t="e">
        <f t="shared" si="267"/>
        <v>#N/A</v>
      </c>
      <c r="T408" s="1127" t="b">
        <f t="shared" si="278"/>
        <v>0</v>
      </c>
      <c r="U408" s="1127" t="e">
        <f t="shared" si="268"/>
        <v>#N/A</v>
      </c>
      <c r="V408" s="1127" t="e">
        <f t="shared" si="279"/>
        <v>#N/A</v>
      </c>
      <c r="W408" s="1127" t="e">
        <f>IF(F408="Offiho",J408,IF(_xlfn.XLOOKUP(F408,Proveedores!A$2:A$50,Proveedores!E$2:E$50,"")="Nacional",(J408/0.5)+(V408*H408),((J408/0.3/0.5)+(V408*H408))))</f>
        <v>#N/A</v>
      </c>
      <c r="X408" s="1127" t="e">
        <f t="shared" si="269"/>
        <v>#N/A</v>
      </c>
      <c r="Y408" s="1126" t="b">
        <f t="shared" si="270"/>
        <v>0</v>
      </c>
      <c r="Z408" s="43">
        <v>0</v>
      </c>
      <c r="AA408" s="1219" t="e">
        <f t="shared" si="280"/>
        <v>#N/A</v>
      </c>
      <c r="AB408" s="1219" t="e">
        <f t="shared" si="281"/>
        <v>#N/A</v>
      </c>
      <c r="AC408" s="1219" t="e">
        <f t="shared" si="271"/>
        <v>#N/A</v>
      </c>
      <c r="AD408" s="1126" t="e">
        <f t="shared" si="282"/>
        <v>#N/A</v>
      </c>
      <c r="AE408" s="1217" t="e">
        <f t="shared" si="272"/>
        <v>#N/A</v>
      </c>
      <c r="AF408" s="1220" t="e">
        <f t="shared" si="273"/>
        <v>#N/A</v>
      </c>
      <c r="AG408" s="1176" t="e">
        <f t="shared" si="274"/>
        <v>#N/A</v>
      </c>
      <c r="AH408" s="1221" t="e">
        <f t="shared" si="283"/>
        <v>#N/A</v>
      </c>
    </row>
    <row r="409" spans="1:34" ht="15.5">
      <c r="A409" s="1216" t="b">
        <f t="shared" si="262"/>
        <v>1</v>
      </c>
      <c r="B409" s="1217" t="b">
        <f t="shared" si="275"/>
        <v>1</v>
      </c>
      <c r="C409" s="1218" t="str">
        <f t="shared" si="276"/>
        <v>Dólares</v>
      </c>
      <c r="D409" s="46"/>
      <c r="E409" s="836"/>
      <c r="F409" s="50"/>
      <c r="G409" s="50" t="str">
        <f t="shared" si="263"/>
        <v xml:space="preserve"> </v>
      </c>
      <c r="H409" s="45">
        <v>0</v>
      </c>
      <c r="I409" s="49" t="str">
        <f>IFERROR(VLOOKUP(G409,Proveedores!B:C,2,0)," ")</f>
        <v xml:space="preserve"> </v>
      </c>
      <c r="J409" s="838">
        <v>0</v>
      </c>
      <c r="K409" s="1124"/>
      <c r="L409" s="1266">
        <f t="shared" si="264"/>
        <v>0</v>
      </c>
      <c r="M409" s="1267">
        <f t="shared" si="265"/>
        <v>0</v>
      </c>
      <c r="N409" s="1268">
        <f t="shared" si="284"/>
        <v>0</v>
      </c>
      <c r="O409" s="836" t="str">
        <f>IFERROR(VLOOKUP(G409,Proveedores!B:D,3,0)," ")</f>
        <v xml:space="preserve"> </v>
      </c>
      <c r="P409" s="836"/>
      <c r="Q409" s="1127" t="e">
        <f t="shared" si="266"/>
        <v>#N/A</v>
      </c>
      <c r="R409" s="1127" t="b">
        <f t="shared" si="277"/>
        <v>0</v>
      </c>
      <c r="S409" s="1127" t="e">
        <f t="shared" si="267"/>
        <v>#N/A</v>
      </c>
      <c r="T409" s="1127" t="b">
        <f t="shared" si="278"/>
        <v>0</v>
      </c>
      <c r="U409" s="1127" t="e">
        <f t="shared" si="268"/>
        <v>#N/A</v>
      </c>
      <c r="V409" s="1127" t="e">
        <f t="shared" si="279"/>
        <v>#N/A</v>
      </c>
      <c r="W409" s="1127" t="e">
        <f>IF(F409="Offiho",J409,IF(_xlfn.XLOOKUP(F409,Proveedores!A$2:A$50,Proveedores!E$2:E$50,"")="Nacional",(J409/0.5)+(V409*H409),((J409/0.3/0.5)+(V409*H409))))</f>
        <v>#N/A</v>
      </c>
      <c r="X409" s="1127" t="e">
        <f t="shared" si="269"/>
        <v>#N/A</v>
      </c>
      <c r="Y409" s="1126" t="b">
        <f t="shared" si="270"/>
        <v>0</v>
      </c>
      <c r="Z409" s="43">
        <v>0</v>
      </c>
      <c r="AA409" s="1219" t="e">
        <f t="shared" si="280"/>
        <v>#N/A</v>
      </c>
      <c r="AB409" s="1219" t="e">
        <f t="shared" si="281"/>
        <v>#N/A</v>
      </c>
      <c r="AC409" s="1219" t="e">
        <f t="shared" si="271"/>
        <v>#N/A</v>
      </c>
      <c r="AD409" s="1126" t="e">
        <f t="shared" si="282"/>
        <v>#N/A</v>
      </c>
      <c r="AE409" s="1217" t="e">
        <f t="shared" si="272"/>
        <v>#N/A</v>
      </c>
      <c r="AF409" s="1220" t="e">
        <f t="shared" si="273"/>
        <v>#N/A</v>
      </c>
      <c r="AG409" s="1176" t="e">
        <f t="shared" si="274"/>
        <v>#N/A</v>
      </c>
      <c r="AH409" s="1221" t="e">
        <f t="shared" si="283"/>
        <v>#N/A</v>
      </c>
    </row>
    <row r="410" spans="1:34" ht="15.5">
      <c r="A410" s="1216" t="b">
        <f t="shared" si="262"/>
        <v>1</v>
      </c>
      <c r="B410" s="1217" t="b">
        <f t="shared" si="275"/>
        <v>1</v>
      </c>
      <c r="C410" s="1218" t="str">
        <f t="shared" si="276"/>
        <v>Dólares</v>
      </c>
      <c r="D410" s="46"/>
      <c r="E410" s="836"/>
      <c r="F410" s="50"/>
      <c r="G410" s="50" t="str">
        <f t="shared" si="263"/>
        <v xml:space="preserve"> </v>
      </c>
      <c r="H410" s="45">
        <v>0</v>
      </c>
      <c r="I410" s="49" t="str">
        <f>IFERROR(VLOOKUP(G410,Proveedores!B:C,2,0)," ")</f>
        <v xml:space="preserve"> </v>
      </c>
      <c r="J410" s="838">
        <v>0</v>
      </c>
      <c r="K410" s="1124"/>
      <c r="L410" s="1266">
        <f t="shared" si="264"/>
        <v>0</v>
      </c>
      <c r="M410" s="1267">
        <f t="shared" si="265"/>
        <v>0</v>
      </c>
      <c r="N410" s="1268">
        <f t="shared" si="284"/>
        <v>0</v>
      </c>
      <c r="O410" s="836" t="str">
        <f>IFERROR(VLOOKUP(G410,Proveedores!B:D,3,0)," ")</f>
        <v xml:space="preserve"> </v>
      </c>
      <c r="P410" s="836"/>
      <c r="Q410" s="1127" t="e">
        <f t="shared" si="266"/>
        <v>#N/A</v>
      </c>
      <c r="R410" s="1127" t="b">
        <f t="shared" si="277"/>
        <v>0</v>
      </c>
      <c r="S410" s="1127" t="e">
        <f t="shared" si="267"/>
        <v>#N/A</v>
      </c>
      <c r="T410" s="1127" t="b">
        <f t="shared" si="278"/>
        <v>0</v>
      </c>
      <c r="U410" s="1127" t="e">
        <f t="shared" si="268"/>
        <v>#N/A</v>
      </c>
      <c r="V410" s="1127" t="e">
        <f t="shared" si="279"/>
        <v>#N/A</v>
      </c>
      <c r="W410" s="1127" t="e">
        <f>IF(F410="Offiho",J410,IF(_xlfn.XLOOKUP(F410,Proveedores!A$2:A$50,Proveedores!E$2:E$50,"")="Nacional",(J410/0.5)+(V410*H410),((J410/0.3/0.5)+(V410*H410))))</f>
        <v>#N/A</v>
      </c>
      <c r="X410" s="1127" t="e">
        <f t="shared" si="269"/>
        <v>#N/A</v>
      </c>
      <c r="Y410" s="1126" t="b">
        <f t="shared" si="270"/>
        <v>0</v>
      </c>
      <c r="Z410" s="43">
        <v>0</v>
      </c>
      <c r="AA410" s="1219" t="e">
        <f t="shared" si="280"/>
        <v>#N/A</v>
      </c>
      <c r="AB410" s="1219" t="e">
        <f t="shared" si="281"/>
        <v>#N/A</v>
      </c>
      <c r="AC410" s="1219" t="e">
        <f t="shared" si="271"/>
        <v>#N/A</v>
      </c>
      <c r="AD410" s="1126" t="e">
        <f t="shared" si="282"/>
        <v>#N/A</v>
      </c>
      <c r="AE410" s="1217" t="e">
        <f t="shared" si="272"/>
        <v>#N/A</v>
      </c>
      <c r="AF410" s="1220" t="e">
        <f t="shared" si="273"/>
        <v>#N/A</v>
      </c>
      <c r="AG410" s="1176" t="e">
        <f t="shared" si="274"/>
        <v>#N/A</v>
      </c>
      <c r="AH410" s="1221" t="e">
        <f t="shared" si="283"/>
        <v>#N/A</v>
      </c>
    </row>
    <row r="411" spans="1:34" ht="15.5">
      <c r="A411" s="1216" t="b">
        <f t="shared" si="262"/>
        <v>1</v>
      </c>
      <c r="B411" s="1217" t="b">
        <f t="shared" si="275"/>
        <v>1</v>
      </c>
      <c r="C411" s="1218" t="str">
        <f t="shared" si="276"/>
        <v>Dólares</v>
      </c>
      <c r="D411" s="46"/>
      <c r="E411" s="836"/>
      <c r="F411" s="50"/>
      <c r="G411" s="50" t="str">
        <f t="shared" si="263"/>
        <v xml:space="preserve"> </v>
      </c>
      <c r="H411" s="45">
        <v>0</v>
      </c>
      <c r="I411" s="49" t="str">
        <f>IFERROR(VLOOKUP(G411,Proveedores!B:C,2,0)," ")</f>
        <v xml:space="preserve"> </v>
      </c>
      <c r="J411" s="838">
        <v>0</v>
      </c>
      <c r="K411" s="1124"/>
      <c r="L411" s="1266">
        <f t="shared" si="264"/>
        <v>0</v>
      </c>
      <c r="M411" s="1267">
        <f t="shared" si="265"/>
        <v>0</v>
      </c>
      <c r="N411" s="1268">
        <f t="shared" si="284"/>
        <v>0</v>
      </c>
      <c r="O411" s="836" t="str">
        <f>IFERROR(VLOOKUP(G411,Proveedores!B:D,3,0)," ")</f>
        <v xml:space="preserve"> </v>
      </c>
      <c r="P411" s="836"/>
      <c r="Q411" s="1127" t="e">
        <f t="shared" si="266"/>
        <v>#N/A</v>
      </c>
      <c r="R411" s="1127" t="b">
        <f t="shared" si="277"/>
        <v>0</v>
      </c>
      <c r="S411" s="1127" t="e">
        <f t="shared" si="267"/>
        <v>#N/A</v>
      </c>
      <c r="T411" s="1127" t="b">
        <f t="shared" si="278"/>
        <v>0</v>
      </c>
      <c r="U411" s="1127" t="e">
        <f t="shared" si="268"/>
        <v>#N/A</v>
      </c>
      <c r="V411" s="1127" t="e">
        <f t="shared" si="279"/>
        <v>#N/A</v>
      </c>
      <c r="W411" s="1127" t="e">
        <f>IF(F411="Offiho",J411,IF(_xlfn.XLOOKUP(F411,Proveedores!A$2:A$50,Proveedores!E$2:E$50,"")="Nacional",(J411/0.5)+(V411*H411),((J411/0.3/0.5)+(V411*H411))))</f>
        <v>#N/A</v>
      </c>
      <c r="X411" s="1127" t="e">
        <f t="shared" si="269"/>
        <v>#N/A</v>
      </c>
      <c r="Y411" s="1126" t="b">
        <f t="shared" si="270"/>
        <v>0</v>
      </c>
      <c r="Z411" s="43">
        <v>0</v>
      </c>
      <c r="AA411" s="1219" t="e">
        <f t="shared" si="280"/>
        <v>#N/A</v>
      </c>
      <c r="AB411" s="1219" t="e">
        <f t="shared" si="281"/>
        <v>#N/A</v>
      </c>
      <c r="AC411" s="1219" t="e">
        <f t="shared" si="271"/>
        <v>#N/A</v>
      </c>
      <c r="AD411" s="1126" t="e">
        <f t="shared" si="282"/>
        <v>#N/A</v>
      </c>
      <c r="AE411" s="1217" t="e">
        <f t="shared" si="272"/>
        <v>#N/A</v>
      </c>
      <c r="AF411" s="1220" t="e">
        <f t="shared" si="273"/>
        <v>#N/A</v>
      </c>
      <c r="AG411" s="1176" t="e">
        <f t="shared" si="274"/>
        <v>#N/A</v>
      </c>
      <c r="AH411" s="1221" t="e">
        <f t="shared" si="283"/>
        <v>#N/A</v>
      </c>
    </row>
    <row r="412" spans="1:34" ht="15.5">
      <c r="A412" s="1216" t="b">
        <f t="shared" si="262"/>
        <v>1</v>
      </c>
      <c r="B412" s="1217" t="b">
        <f t="shared" si="275"/>
        <v>1</v>
      </c>
      <c r="C412" s="1218" t="str">
        <f t="shared" si="276"/>
        <v>Dólares</v>
      </c>
      <c r="D412" s="46"/>
      <c r="E412" s="836"/>
      <c r="F412" s="50"/>
      <c r="G412" s="50" t="str">
        <f t="shared" si="263"/>
        <v xml:space="preserve"> </v>
      </c>
      <c r="H412" s="45">
        <v>0</v>
      </c>
      <c r="I412" s="49" t="str">
        <f>IFERROR(VLOOKUP(G412,Proveedores!B:C,2,0)," ")</f>
        <v xml:space="preserve"> </v>
      </c>
      <c r="J412" s="838">
        <v>0</v>
      </c>
      <c r="K412" s="1124"/>
      <c r="L412" s="1266">
        <f t="shared" si="264"/>
        <v>0</v>
      </c>
      <c r="M412" s="1267">
        <f t="shared" si="265"/>
        <v>0</v>
      </c>
      <c r="N412" s="1268">
        <f t="shared" si="284"/>
        <v>0</v>
      </c>
      <c r="O412" s="836" t="str">
        <f>IFERROR(VLOOKUP(G412,Proveedores!B:D,3,0)," ")</f>
        <v xml:space="preserve"> </v>
      </c>
      <c r="P412" s="836"/>
      <c r="Q412" s="1127" t="e">
        <f t="shared" si="266"/>
        <v>#N/A</v>
      </c>
      <c r="R412" s="1127" t="b">
        <f t="shared" si="277"/>
        <v>0</v>
      </c>
      <c r="S412" s="1127" t="e">
        <f t="shared" si="267"/>
        <v>#N/A</v>
      </c>
      <c r="T412" s="1127" t="b">
        <f t="shared" si="278"/>
        <v>0</v>
      </c>
      <c r="U412" s="1127" t="e">
        <f t="shared" si="268"/>
        <v>#N/A</v>
      </c>
      <c r="V412" s="1127" t="e">
        <f t="shared" si="279"/>
        <v>#N/A</v>
      </c>
      <c r="W412" s="1127" t="e">
        <f>IF(F412="Offiho",J412,IF(_xlfn.XLOOKUP(F412,Proveedores!A$2:A$50,Proveedores!E$2:E$50,"")="Nacional",(J412/0.5)+(V412*H412),((J412/0.3/0.5)+(V412*H412))))</f>
        <v>#N/A</v>
      </c>
      <c r="X412" s="1127" t="e">
        <f t="shared" si="269"/>
        <v>#N/A</v>
      </c>
      <c r="Y412" s="1126" t="b">
        <f t="shared" si="270"/>
        <v>0</v>
      </c>
      <c r="Z412" s="43">
        <v>0</v>
      </c>
      <c r="AA412" s="1219" t="e">
        <f t="shared" si="280"/>
        <v>#N/A</v>
      </c>
      <c r="AB412" s="1219" t="e">
        <f t="shared" si="281"/>
        <v>#N/A</v>
      </c>
      <c r="AC412" s="1219" t="e">
        <f t="shared" si="271"/>
        <v>#N/A</v>
      </c>
      <c r="AD412" s="1126" t="e">
        <f t="shared" si="282"/>
        <v>#N/A</v>
      </c>
      <c r="AE412" s="1217" t="e">
        <f t="shared" si="272"/>
        <v>#N/A</v>
      </c>
      <c r="AF412" s="1220" t="e">
        <f t="shared" si="273"/>
        <v>#N/A</v>
      </c>
      <c r="AG412" s="1176" t="e">
        <f t="shared" si="274"/>
        <v>#N/A</v>
      </c>
      <c r="AH412" s="1221" t="e">
        <f t="shared" si="283"/>
        <v>#N/A</v>
      </c>
    </row>
    <row r="413" spans="1:34" ht="15.5">
      <c r="A413" s="1216" t="b">
        <f t="shared" si="262"/>
        <v>1</v>
      </c>
      <c r="B413" s="1217" t="b">
        <f t="shared" si="275"/>
        <v>1</v>
      </c>
      <c r="C413" s="1218" t="str">
        <f t="shared" si="276"/>
        <v>Dólares</v>
      </c>
      <c r="D413" s="46"/>
      <c r="E413" s="836"/>
      <c r="F413" s="50"/>
      <c r="G413" s="50" t="str">
        <f t="shared" si="263"/>
        <v xml:space="preserve"> </v>
      </c>
      <c r="H413" s="45">
        <v>0</v>
      </c>
      <c r="I413" s="49" t="str">
        <f>IFERROR(VLOOKUP(G413,Proveedores!B:C,2,0)," ")</f>
        <v xml:space="preserve"> </v>
      </c>
      <c r="J413" s="838">
        <v>0</v>
      </c>
      <c r="K413" s="1124"/>
      <c r="L413" s="1266">
        <f t="shared" si="264"/>
        <v>0</v>
      </c>
      <c r="M413" s="1267">
        <f t="shared" si="265"/>
        <v>0</v>
      </c>
      <c r="N413" s="1268">
        <f t="shared" si="284"/>
        <v>0</v>
      </c>
      <c r="O413" s="836" t="str">
        <f>IFERROR(VLOOKUP(G413,Proveedores!B:D,3,0)," ")</f>
        <v xml:space="preserve"> </v>
      </c>
      <c r="P413" s="836"/>
      <c r="Q413" s="1127" t="e">
        <f t="shared" si="266"/>
        <v>#N/A</v>
      </c>
      <c r="R413" s="1127" t="b">
        <f t="shared" si="277"/>
        <v>0</v>
      </c>
      <c r="S413" s="1127" t="e">
        <f t="shared" si="267"/>
        <v>#N/A</v>
      </c>
      <c r="T413" s="1127" t="b">
        <f t="shared" si="278"/>
        <v>0</v>
      </c>
      <c r="U413" s="1127" t="e">
        <f t="shared" si="268"/>
        <v>#N/A</v>
      </c>
      <c r="V413" s="1127" t="e">
        <f t="shared" si="279"/>
        <v>#N/A</v>
      </c>
      <c r="W413" s="1127" t="e">
        <f>IF(F413="Offiho",J413,IF(_xlfn.XLOOKUP(F413,Proveedores!A$2:A$50,Proveedores!E$2:E$50,"")="Nacional",(J413/0.5)+(V413*H413),((J413/0.3/0.5)+(V413*H413))))</f>
        <v>#N/A</v>
      </c>
      <c r="X413" s="1127" t="e">
        <f t="shared" si="269"/>
        <v>#N/A</v>
      </c>
      <c r="Y413" s="1126" t="b">
        <f t="shared" si="270"/>
        <v>0</v>
      </c>
      <c r="Z413" s="43">
        <v>0</v>
      </c>
      <c r="AA413" s="1219" t="e">
        <f t="shared" si="280"/>
        <v>#N/A</v>
      </c>
      <c r="AB413" s="1219" t="e">
        <f t="shared" si="281"/>
        <v>#N/A</v>
      </c>
      <c r="AC413" s="1219" t="e">
        <f t="shared" si="271"/>
        <v>#N/A</v>
      </c>
      <c r="AD413" s="1126" t="e">
        <f t="shared" si="282"/>
        <v>#N/A</v>
      </c>
      <c r="AE413" s="1217" t="e">
        <f t="shared" si="272"/>
        <v>#N/A</v>
      </c>
      <c r="AF413" s="1220" t="e">
        <f t="shared" si="273"/>
        <v>#N/A</v>
      </c>
      <c r="AG413" s="1176" t="e">
        <f t="shared" si="274"/>
        <v>#N/A</v>
      </c>
      <c r="AH413" s="1221" t="e">
        <f t="shared" si="283"/>
        <v>#N/A</v>
      </c>
    </row>
    <row r="414" spans="1:34" ht="15.5">
      <c r="A414" s="1216" t="b">
        <f t="shared" si="262"/>
        <v>1</v>
      </c>
      <c r="B414" s="1217" t="b">
        <f t="shared" si="275"/>
        <v>1</v>
      </c>
      <c r="C414" s="1218" t="str">
        <f t="shared" si="276"/>
        <v>Dólares</v>
      </c>
      <c r="D414" s="46"/>
      <c r="E414" s="836"/>
      <c r="F414" s="50"/>
      <c r="G414" s="50" t="str">
        <f t="shared" si="263"/>
        <v xml:space="preserve"> </v>
      </c>
      <c r="H414" s="45">
        <v>0</v>
      </c>
      <c r="I414" s="49" t="str">
        <f>IFERROR(VLOOKUP(G414,Proveedores!B:C,2,0)," ")</f>
        <v xml:space="preserve"> </v>
      </c>
      <c r="J414" s="838">
        <v>0</v>
      </c>
      <c r="K414" s="1124"/>
      <c r="L414" s="1266">
        <f t="shared" si="264"/>
        <v>0</v>
      </c>
      <c r="M414" s="1267">
        <f t="shared" si="265"/>
        <v>0</v>
      </c>
      <c r="N414" s="1268">
        <f t="shared" si="284"/>
        <v>0</v>
      </c>
      <c r="O414" s="836" t="str">
        <f>IFERROR(VLOOKUP(G414,Proveedores!B:D,3,0)," ")</f>
        <v xml:space="preserve"> </v>
      </c>
      <c r="P414" s="836"/>
      <c r="Q414" s="1127" t="e">
        <f t="shared" si="266"/>
        <v>#N/A</v>
      </c>
      <c r="R414" s="1127" t="b">
        <f t="shared" si="277"/>
        <v>0</v>
      </c>
      <c r="S414" s="1127" t="e">
        <f t="shared" si="267"/>
        <v>#N/A</v>
      </c>
      <c r="T414" s="1127" t="b">
        <f t="shared" si="278"/>
        <v>0</v>
      </c>
      <c r="U414" s="1127" t="e">
        <f t="shared" si="268"/>
        <v>#N/A</v>
      </c>
      <c r="V414" s="1127" t="e">
        <f t="shared" si="279"/>
        <v>#N/A</v>
      </c>
      <c r="W414" s="1127" t="e">
        <f>IF(F414="Offiho",J414,IF(_xlfn.XLOOKUP(F414,Proveedores!A$2:A$50,Proveedores!E$2:E$50,"")="Nacional",(J414/0.5)+(V414*H414),((J414/0.3/0.5)+(V414*H414))))</f>
        <v>#N/A</v>
      </c>
      <c r="X414" s="1127" t="e">
        <f t="shared" si="269"/>
        <v>#N/A</v>
      </c>
      <c r="Y414" s="1126" t="b">
        <f t="shared" si="270"/>
        <v>0</v>
      </c>
      <c r="Z414" s="43">
        <v>0</v>
      </c>
      <c r="AA414" s="1219" t="e">
        <f t="shared" si="280"/>
        <v>#N/A</v>
      </c>
      <c r="AB414" s="1219" t="e">
        <f t="shared" si="281"/>
        <v>#N/A</v>
      </c>
      <c r="AC414" s="1219" t="e">
        <f t="shared" si="271"/>
        <v>#N/A</v>
      </c>
      <c r="AD414" s="1126" t="e">
        <f t="shared" si="282"/>
        <v>#N/A</v>
      </c>
      <c r="AE414" s="1217" t="e">
        <f t="shared" si="272"/>
        <v>#N/A</v>
      </c>
      <c r="AF414" s="1220" t="e">
        <f t="shared" si="273"/>
        <v>#N/A</v>
      </c>
      <c r="AG414" s="1176" t="e">
        <f t="shared" si="274"/>
        <v>#N/A</v>
      </c>
      <c r="AH414" s="1221" t="e">
        <f t="shared" si="283"/>
        <v>#N/A</v>
      </c>
    </row>
    <row r="415" spans="1:34" ht="15.5">
      <c r="A415" s="1216" t="b">
        <f t="shared" si="262"/>
        <v>1</v>
      </c>
      <c r="B415" s="1217" t="b">
        <f t="shared" si="275"/>
        <v>1</v>
      </c>
      <c r="C415" s="1218" t="str">
        <f t="shared" si="276"/>
        <v>Dólares</v>
      </c>
      <c r="D415" s="46"/>
      <c r="E415" s="836"/>
      <c r="F415" s="50"/>
      <c r="G415" s="50" t="str">
        <f t="shared" si="263"/>
        <v xml:space="preserve"> </v>
      </c>
      <c r="H415" s="45">
        <v>0</v>
      </c>
      <c r="I415" s="49" t="str">
        <f>IFERROR(VLOOKUP(G415,Proveedores!B:C,2,0)," ")</f>
        <v xml:space="preserve"> </v>
      </c>
      <c r="J415" s="838">
        <v>0</v>
      </c>
      <c r="K415" s="1124"/>
      <c r="L415" s="1266">
        <f t="shared" si="264"/>
        <v>0</v>
      </c>
      <c r="M415" s="1267">
        <f t="shared" si="265"/>
        <v>0</v>
      </c>
      <c r="N415" s="1268">
        <f t="shared" si="284"/>
        <v>0</v>
      </c>
      <c r="O415" s="836" t="str">
        <f>IFERROR(VLOOKUP(G415,Proveedores!B:D,3,0)," ")</f>
        <v xml:space="preserve"> </v>
      </c>
      <c r="P415" s="836"/>
      <c r="Q415" s="1127" t="e">
        <f t="shared" si="266"/>
        <v>#N/A</v>
      </c>
      <c r="R415" s="1127" t="b">
        <f t="shared" si="277"/>
        <v>0</v>
      </c>
      <c r="S415" s="1127" t="e">
        <f t="shared" si="267"/>
        <v>#N/A</v>
      </c>
      <c r="T415" s="1127" t="b">
        <f t="shared" si="278"/>
        <v>0</v>
      </c>
      <c r="U415" s="1127" t="e">
        <f t="shared" si="268"/>
        <v>#N/A</v>
      </c>
      <c r="V415" s="1127" t="e">
        <f t="shared" si="279"/>
        <v>#N/A</v>
      </c>
      <c r="W415" s="1127" t="e">
        <f>IF(F415="Offiho",J415,IF(_xlfn.XLOOKUP(F415,Proveedores!A$2:A$50,Proveedores!E$2:E$50,"")="Nacional",(J415/0.5)+(V415*H415),((J415/0.3/0.5)+(V415*H415))))</f>
        <v>#N/A</v>
      </c>
      <c r="X415" s="1127" t="e">
        <f t="shared" si="269"/>
        <v>#N/A</v>
      </c>
      <c r="Y415" s="1126" t="b">
        <f t="shared" si="270"/>
        <v>0</v>
      </c>
      <c r="Z415" s="43">
        <v>0</v>
      </c>
      <c r="AA415" s="1219" t="e">
        <f t="shared" si="280"/>
        <v>#N/A</v>
      </c>
      <c r="AB415" s="1219" t="e">
        <f t="shared" si="281"/>
        <v>#N/A</v>
      </c>
      <c r="AC415" s="1219" t="e">
        <f t="shared" si="271"/>
        <v>#N/A</v>
      </c>
      <c r="AD415" s="1126" t="e">
        <f t="shared" si="282"/>
        <v>#N/A</v>
      </c>
      <c r="AE415" s="1217" t="e">
        <f t="shared" si="272"/>
        <v>#N/A</v>
      </c>
      <c r="AF415" s="1220" t="e">
        <f t="shared" si="273"/>
        <v>#N/A</v>
      </c>
      <c r="AG415" s="1176" t="e">
        <f t="shared" si="274"/>
        <v>#N/A</v>
      </c>
      <c r="AH415" s="1221" t="e">
        <f t="shared" si="283"/>
        <v>#N/A</v>
      </c>
    </row>
    <row r="416" spans="1:34" ht="15.5">
      <c r="A416" s="1216" t="b">
        <f t="shared" si="262"/>
        <v>1</v>
      </c>
      <c r="B416" s="1217" t="b">
        <f t="shared" si="275"/>
        <v>1</v>
      </c>
      <c r="C416" s="1218" t="str">
        <f t="shared" si="276"/>
        <v>Dólares</v>
      </c>
      <c r="D416" s="47"/>
      <c r="E416" s="836"/>
      <c r="F416" s="50"/>
      <c r="G416" s="50" t="str">
        <f t="shared" si="263"/>
        <v xml:space="preserve"> </v>
      </c>
      <c r="H416" s="45">
        <v>0</v>
      </c>
      <c r="I416" s="49" t="str">
        <f>IFERROR(VLOOKUP(G416,Proveedores!B:C,2,0)," ")</f>
        <v xml:space="preserve"> </v>
      </c>
      <c r="J416" s="838">
        <v>0</v>
      </c>
      <c r="K416" s="1124"/>
      <c r="L416" s="1266">
        <f t="shared" si="264"/>
        <v>0</v>
      </c>
      <c r="M416" s="1267">
        <f t="shared" si="265"/>
        <v>0</v>
      </c>
      <c r="N416" s="1268">
        <f t="shared" si="284"/>
        <v>0</v>
      </c>
      <c r="O416" s="836" t="str">
        <f>IFERROR(VLOOKUP(G416,Proveedores!B:D,3,0)," ")</f>
        <v xml:space="preserve"> </v>
      </c>
      <c r="P416" s="836"/>
      <c r="Q416" s="1127" t="e">
        <f t="shared" si="266"/>
        <v>#N/A</v>
      </c>
      <c r="R416" s="1127" t="b">
        <f t="shared" si="277"/>
        <v>0</v>
      </c>
      <c r="S416" s="1127" t="e">
        <f t="shared" si="267"/>
        <v>#N/A</v>
      </c>
      <c r="T416" s="1127" t="b">
        <f t="shared" si="278"/>
        <v>0</v>
      </c>
      <c r="U416" s="1127" t="e">
        <f t="shared" si="268"/>
        <v>#N/A</v>
      </c>
      <c r="V416" s="1127" t="e">
        <f t="shared" si="279"/>
        <v>#N/A</v>
      </c>
      <c r="W416" s="1127" t="e">
        <f>IF(F416="Offiho",J416,IF(_xlfn.XLOOKUP(F416,Proveedores!A$2:A$50,Proveedores!E$2:E$50,"")="Nacional",(J416/0.5)+(V416*H416),((J416/0.3/0.5)+(V416*H416))))</f>
        <v>#N/A</v>
      </c>
      <c r="X416" s="1127" t="e">
        <f t="shared" si="269"/>
        <v>#N/A</v>
      </c>
      <c r="Y416" s="1126" t="b">
        <f t="shared" si="270"/>
        <v>0</v>
      </c>
      <c r="Z416" s="43">
        <v>0</v>
      </c>
      <c r="AA416" s="1219" t="e">
        <f t="shared" si="280"/>
        <v>#N/A</v>
      </c>
      <c r="AB416" s="1219" t="e">
        <f t="shared" si="281"/>
        <v>#N/A</v>
      </c>
      <c r="AC416" s="1219" t="e">
        <f t="shared" si="271"/>
        <v>#N/A</v>
      </c>
      <c r="AD416" s="1126" t="e">
        <f t="shared" si="282"/>
        <v>#N/A</v>
      </c>
      <c r="AE416" s="1217" t="e">
        <f t="shared" si="272"/>
        <v>#N/A</v>
      </c>
      <c r="AF416" s="1220" t="e">
        <f t="shared" si="273"/>
        <v>#N/A</v>
      </c>
      <c r="AG416" s="1176" t="e">
        <f t="shared" si="274"/>
        <v>#N/A</v>
      </c>
      <c r="AH416" s="1221" t="e">
        <f t="shared" si="283"/>
        <v>#N/A</v>
      </c>
    </row>
    <row r="417" spans="1:34" ht="15.5">
      <c r="A417" s="1216" t="b">
        <f t="shared" si="262"/>
        <v>1</v>
      </c>
      <c r="B417" s="1217" t="b">
        <f t="shared" si="275"/>
        <v>1</v>
      </c>
      <c r="C417" s="1218" t="str">
        <f t="shared" si="276"/>
        <v>Dólares</v>
      </c>
      <c r="D417" s="48"/>
      <c r="E417" s="836"/>
      <c r="F417" s="50"/>
      <c r="G417" s="50" t="str">
        <f t="shared" si="263"/>
        <v xml:space="preserve"> </v>
      </c>
      <c r="H417" s="45">
        <v>0</v>
      </c>
      <c r="I417" s="49" t="str">
        <f>IFERROR(VLOOKUP(G417,Proveedores!B:C,2,0)," ")</f>
        <v xml:space="preserve"> </v>
      </c>
      <c r="J417" s="838">
        <v>0</v>
      </c>
      <c r="K417" s="1124"/>
      <c r="L417" s="1266">
        <f t="shared" si="264"/>
        <v>0</v>
      </c>
      <c r="M417" s="1267">
        <f t="shared" si="265"/>
        <v>0</v>
      </c>
      <c r="N417" s="1268">
        <f t="shared" si="284"/>
        <v>0</v>
      </c>
      <c r="O417" s="836" t="str">
        <f>IFERROR(VLOOKUP(G417,Proveedores!B:D,3,0)," ")</f>
        <v xml:space="preserve"> </v>
      </c>
      <c r="P417" s="836"/>
      <c r="Q417" s="1127" t="e">
        <f t="shared" si="266"/>
        <v>#N/A</v>
      </c>
      <c r="R417" s="1127" t="b">
        <f t="shared" si="277"/>
        <v>0</v>
      </c>
      <c r="S417" s="1127" t="e">
        <f t="shared" si="267"/>
        <v>#N/A</v>
      </c>
      <c r="T417" s="1127" t="b">
        <f t="shared" si="278"/>
        <v>0</v>
      </c>
      <c r="U417" s="1127" t="e">
        <f t="shared" si="268"/>
        <v>#N/A</v>
      </c>
      <c r="V417" s="1127" t="e">
        <f t="shared" si="279"/>
        <v>#N/A</v>
      </c>
      <c r="W417" s="1127" t="e">
        <f>IF(F417="Offiho",J417,IF(_xlfn.XLOOKUP(F417,Proveedores!A$2:A$50,Proveedores!E$2:E$50,"")="Nacional",(J417/0.5)+(V417*H417),((J417/0.3/0.5)+(V417*H417))))</f>
        <v>#N/A</v>
      </c>
      <c r="X417" s="1127" t="e">
        <f t="shared" si="269"/>
        <v>#N/A</v>
      </c>
      <c r="Y417" s="1126" t="b">
        <f t="shared" si="270"/>
        <v>0</v>
      </c>
      <c r="Z417" s="43">
        <v>0</v>
      </c>
      <c r="AA417" s="1219" t="e">
        <f t="shared" si="280"/>
        <v>#N/A</v>
      </c>
      <c r="AB417" s="1219" t="e">
        <f t="shared" si="281"/>
        <v>#N/A</v>
      </c>
      <c r="AC417" s="1219" t="e">
        <f t="shared" si="271"/>
        <v>#N/A</v>
      </c>
      <c r="AD417" s="1126" t="e">
        <f t="shared" si="282"/>
        <v>#N/A</v>
      </c>
      <c r="AE417" s="1217" t="e">
        <f t="shared" si="272"/>
        <v>#N/A</v>
      </c>
      <c r="AF417" s="1220" t="e">
        <f t="shared" si="273"/>
        <v>#N/A</v>
      </c>
      <c r="AG417" s="1176" t="e">
        <f t="shared" si="274"/>
        <v>#N/A</v>
      </c>
      <c r="AH417" s="1221" t="e">
        <f t="shared" si="283"/>
        <v>#N/A</v>
      </c>
    </row>
    <row r="418" spans="1:34" ht="15.5">
      <c r="A418" s="1216" t="b">
        <f t="shared" si="262"/>
        <v>1</v>
      </c>
      <c r="B418" s="1217" t="b">
        <f t="shared" si="275"/>
        <v>1</v>
      </c>
      <c r="C418" s="1218" t="str">
        <f t="shared" si="276"/>
        <v>Dólares</v>
      </c>
      <c r="D418" s="48"/>
      <c r="E418" s="836"/>
      <c r="F418" s="50"/>
      <c r="G418" s="50" t="str">
        <f t="shared" si="263"/>
        <v xml:space="preserve"> </v>
      </c>
      <c r="H418" s="45">
        <v>0</v>
      </c>
      <c r="I418" s="49" t="str">
        <f>IFERROR(VLOOKUP(G418,Proveedores!B:C,2,0)," ")</f>
        <v xml:space="preserve"> </v>
      </c>
      <c r="J418" s="838">
        <v>0</v>
      </c>
      <c r="K418" s="1124"/>
      <c r="L418" s="1266">
        <f t="shared" si="264"/>
        <v>0</v>
      </c>
      <c r="M418" s="1267">
        <f t="shared" si="265"/>
        <v>0</v>
      </c>
      <c r="N418" s="1268">
        <f t="shared" si="284"/>
        <v>0</v>
      </c>
      <c r="O418" s="836" t="str">
        <f>IFERROR(VLOOKUP(G418,Proveedores!B:D,3,0)," ")</f>
        <v xml:space="preserve"> </v>
      </c>
      <c r="P418" s="836"/>
      <c r="Q418" s="1127" t="e">
        <f t="shared" si="266"/>
        <v>#N/A</v>
      </c>
      <c r="R418" s="1127" t="b">
        <f t="shared" si="277"/>
        <v>0</v>
      </c>
      <c r="S418" s="1127" t="e">
        <f t="shared" si="267"/>
        <v>#N/A</v>
      </c>
      <c r="T418" s="1127" t="b">
        <f t="shared" si="278"/>
        <v>0</v>
      </c>
      <c r="U418" s="1127" t="e">
        <f t="shared" si="268"/>
        <v>#N/A</v>
      </c>
      <c r="V418" s="1127" t="e">
        <f t="shared" si="279"/>
        <v>#N/A</v>
      </c>
      <c r="W418" s="1127" t="e">
        <f>IF(F418="Offiho",J418,IF(_xlfn.XLOOKUP(F418,Proveedores!A$2:A$50,Proveedores!E$2:E$50,"")="Nacional",(J418/0.5)+(V418*H418),((J418/0.3/0.5)+(V418*H418))))</f>
        <v>#N/A</v>
      </c>
      <c r="X418" s="1127" t="e">
        <f t="shared" si="269"/>
        <v>#N/A</v>
      </c>
      <c r="Y418" s="1126" t="b">
        <f t="shared" si="270"/>
        <v>0</v>
      </c>
      <c r="Z418" s="43">
        <v>0</v>
      </c>
      <c r="AA418" s="1219" t="e">
        <f t="shared" si="280"/>
        <v>#N/A</v>
      </c>
      <c r="AB418" s="1219" t="e">
        <f t="shared" si="281"/>
        <v>#N/A</v>
      </c>
      <c r="AC418" s="1219" t="e">
        <f t="shared" si="271"/>
        <v>#N/A</v>
      </c>
      <c r="AD418" s="1126" t="e">
        <f t="shared" si="282"/>
        <v>#N/A</v>
      </c>
      <c r="AE418" s="1217" t="e">
        <f t="shared" si="272"/>
        <v>#N/A</v>
      </c>
      <c r="AF418" s="1220" t="e">
        <f t="shared" si="273"/>
        <v>#N/A</v>
      </c>
      <c r="AG418" s="1176" t="e">
        <f t="shared" si="274"/>
        <v>#N/A</v>
      </c>
      <c r="AH418" s="1221" t="e">
        <f t="shared" si="283"/>
        <v>#N/A</v>
      </c>
    </row>
    <row r="419" spans="1:34" ht="15.5">
      <c r="A419" s="1216" t="b">
        <f t="shared" si="262"/>
        <v>1</v>
      </c>
      <c r="B419" s="1217" t="b">
        <f t="shared" si="275"/>
        <v>1</v>
      </c>
      <c r="C419" s="1218" t="str">
        <f t="shared" si="276"/>
        <v>Dólares</v>
      </c>
      <c r="D419" s="48"/>
      <c r="E419" s="836"/>
      <c r="F419" s="50"/>
      <c r="G419" s="50" t="str">
        <f t="shared" si="263"/>
        <v xml:space="preserve"> </v>
      </c>
      <c r="H419" s="45">
        <v>0</v>
      </c>
      <c r="I419" s="49" t="str">
        <f>IFERROR(VLOOKUP(G419,Proveedores!B:C,2,0)," ")</f>
        <v xml:space="preserve"> </v>
      </c>
      <c r="J419" s="838">
        <v>0</v>
      </c>
      <c r="K419" s="1124"/>
      <c r="L419" s="1266">
        <f t="shared" si="264"/>
        <v>0</v>
      </c>
      <c r="M419" s="1267">
        <f t="shared" si="265"/>
        <v>0</v>
      </c>
      <c r="N419" s="1268">
        <f t="shared" si="284"/>
        <v>0</v>
      </c>
      <c r="O419" s="836" t="str">
        <f>IFERROR(VLOOKUP(G419,Proveedores!B:D,3,0)," ")</f>
        <v xml:space="preserve"> </v>
      </c>
      <c r="P419" s="836"/>
      <c r="Q419" s="1127" t="e">
        <f t="shared" si="266"/>
        <v>#N/A</v>
      </c>
      <c r="R419" s="1127" t="b">
        <f t="shared" si="277"/>
        <v>0</v>
      </c>
      <c r="S419" s="1127" t="e">
        <f t="shared" si="267"/>
        <v>#N/A</v>
      </c>
      <c r="T419" s="1127" t="b">
        <f t="shared" si="278"/>
        <v>0</v>
      </c>
      <c r="U419" s="1127" t="e">
        <f t="shared" si="268"/>
        <v>#N/A</v>
      </c>
      <c r="V419" s="1127" t="e">
        <f t="shared" si="279"/>
        <v>#N/A</v>
      </c>
      <c r="W419" s="1127" t="e">
        <f>IF(F419="Offiho",J419,IF(_xlfn.XLOOKUP(F419,Proveedores!A$2:A$50,Proveedores!E$2:E$50,"")="Nacional",(J419/0.5)+(V419*H419),((J419/0.3/0.5)+(V419*H419))))</f>
        <v>#N/A</v>
      </c>
      <c r="X419" s="1127" t="e">
        <f t="shared" si="269"/>
        <v>#N/A</v>
      </c>
      <c r="Y419" s="1126" t="b">
        <f t="shared" si="270"/>
        <v>0</v>
      </c>
      <c r="Z419" s="43">
        <v>0</v>
      </c>
      <c r="AA419" s="1219" t="e">
        <f t="shared" si="280"/>
        <v>#N/A</v>
      </c>
      <c r="AB419" s="1219" t="e">
        <f t="shared" si="281"/>
        <v>#N/A</v>
      </c>
      <c r="AC419" s="1219" t="e">
        <f t="shared" si="271"/>
        <v>#N/A</v>
      </c>
      <c r="AD419" s="1126" t="e">
        <f t="shared" si="282"/>
        <v>#N/A</v>
      </c>
      <c r="AE419" s="1217" t="e">
        <f t="shared" si="272"/>
        <v>#N/A</v>
      </c>
      <c r="AF419" s="1220" t="e">
        <f t="shared" si="273"/>
        <v>#N/A</v>
      </c>
      <c r="AG419" s="1176" t="e">
        <f t="shared" si="274"/>
        <v>#N/A</v>
      </c>
      <c r="AH419" s="1221" t="e">
        <f t="shared" si="283"/>
        <v>#N/A</v>
      </c>
    </row>
    <row r="420" spans="1:34" ht="15.5">
      <c r="A420" s="1216" t="b">
        <f t="shared" si="262"/>
        <v>1</v>
      </c>
      <c r="B420" s="1217" t="b">
        <f t="shared" si="275"/>
        <v>1</v>
      </c>
      <c r="C420" s="1218" t="str">
        <f t="shared" si="276"/>
        <v>Dólares</v>
      </c>
      <c r="D420" s="48"/>
      <c r="E420" s="836"/>
      <c r="F420" s="50"/>
      <c r="G420" s="50" t="str">
        <f t="shared" si="263"/>
        <v xml:space="preserve"> </v>
      </c>
      <c r="H420" s="45">
        <v>0</v>
      </c>
      <c r="I420" s="49" t="str">
        <f>IFERROR(VLOOKUP(G420,Proveedores!B:C,2,0)," ")</f>
        <v xml:space="preserve"> </v>
      </c>
      <c r="J420" s="838">
        <v>0</v>
      </c>
      <c r="K420" s="1124"/>
      <c r="L420" s="1266">
        <f t="shared" si="264"/>
        <v>0</v>
      </c>
      <c r="M420" s="1267">
        <f t="shared" si="265"/>
        <v>0</v>
      </c>
      <c r="N420" s="1268">
        <f t="shared" si="284"/>
        <v>0</v>
      </c>
      <c r="O420" s="836" t="str">
        <f>IFERROR(VLOOKUP(G420,Proveedores!B:D,3,0)," ")</f>
        <v xml:space="preserve"> </v>
      </c>
      <c r="P420" s="836"/>
      <c r="Q420" s="1127" t="e">
        <f t="shared" si="266"/>
        <v>#N/A</v>
      </c>
      <c r="R420" s="1127" t="b">
        <f t="shared" si="277"/>
        <v>0</v>
      </c>
      <c r="S420" s="1127" t="e">
        <f t="shared" si="267"/>
        <v>#N/A</v>
      </c>
      <c r="T420" s="1127" t="b">
        <f t="shared" si="278"/>
        <v>0</v>
      </c>
      <c r="U420" s="1127" t="e">
        <f t="shared" si="268"/>
        <v>#N/A</v>
      </c>
      <c r="V420" s="1127" t="e">
        <f t="shared" si="279"/>
        <v>#N/A</v>
      </c>
      <c r="W420" s="1127" t="e">
        <f>IF(F420="Offiho",J420,IF(_xlfn.XLOOKUP(F420,Proveedores!A$2:A$50,Proveedores!E$2:E$50,"")="Nacional",(J420/0.5)+(V420*H420),((J420/0.3/0.5)+(V420*H420))))</f>
        <v>#N/A</v>
      </c>
      <c r="X420" s="1127" t="e">
        <f t="shared" si="269"/>
        <v>#N/A</v>
      </c>
      <c r="Y420" s="1126" t="b">
        <f t="shared" si="270"/>
        <v>0</v>
      </c>
      <c r="Z420" s="43">
        <v>0</v>
      </c>
      <c r="AA420" s="1219" t="e">
        <f t="shared" si="280"/>
        <v>#N/A</v>
      </c>
      <c r="AB420" s="1219" t="e">
        <f t="shared" si="281"/>
        <v>#N/A</v>
      </c>
      <c r="AC420" s="1219" t="e">
        <f t="shared" si="271"/>
        <v>#N/A</v>
      </c>
      <c r="AD420" s="1126" t="e">
        <f t="shared" si="282"/>
        <v>#N/A</v>
      </c>
      <c r="AE420" s="1217" t="e">
        <f t="shared" si="272"/>
        <v>#N/A</v>
      </c>
      <c r="AF420" s="1220" t="e">
        <f t="shared" si="273"/>
        <v>#N/A</v>
      </c>
      <c r="AG420" s="1176" t="e">
        <f t="shared" si="274"/>
        <v>#N/A</v>
      </c>
      <c r="AH420" s="1221" t="e">
        <f t="shared" si="283"/>
        <v>#N/A</v>
      </c>
    </row>
    <row r="421" spans="1:34" ht="15.5">
      <c r="A421" s="1216" t="b">
        <f t="shared" si="262"/>
        <v>1</v>
      </c>
      <c r="B421" s="1217" t="b">
        <f t="shared" si="275"/>
        <v>1</v>
      </c>
      <c r="C421" s="1218" t="str">
        <f t="shared" si="276"/>
        <v>Dólares</v>
      </c>
      <c r="D421" s="47"/>
      <c r="E421" s="836"/>
      <c r="F421" s="50"/>
      <c r="G421" s="50" t="str">
        <f t="shared" si="263"/>
        <v xml:space="preserve"> </v>
      </c>
      <c r="H421" s="45">
        <v>0</v>
      </c>
      <c r="I421" s="49" t="str">
        <f>IFERROR(VLOOKUP(G421,Proveedores!B:C,2,0)," ")</f>
        <v xml:space="preserve"> </v>
      </c>
      <c r="J421" s="838">
        <v>0</v>
      </c>
      <c r="K421" s="1124"/>
      <c r="L421" s="1266">
        <f t="shared" si="264"/>
        <v>0</v>
      </c>
      <c r="M421" s="1267">
        <f t="shared" si="265"/>
        <v>0</v>
      </c>
      <c r="N421" s="1268">
        <f t="shared" si="284"/>
        <v>0</v>
      </c>
      <c r="O421" s="836" t="str">
        <f>IFERROR(VLOOKUP(G421,Proveedores!B:D,3,0)," ")</f>
        <v xml:space="preserve"> </v>
      </c>
      <c r="P421" s="836"/>
      <c r="Q421" s="1127" t="e">
        <f t="shared" si="266"/>
        <v>#N/A</v>
      </c>
      <c r="R421" s="1127" t="b">
        <f t="shared" si="277"/>
        <v>0</v>
      </c>
      <c r="S421" s="1127" t="e">
        <f t="shared" si="267"/>
        <v>#N/A</v>
      </c>
      <c r="T421" s="1127" t="b">
        <f t="shared" si="278"/>
        <v>0</v>
      </c>
      <c r="U421" s="1127" t="e">
        <f t="shared" si="268"/>
        <v>#N/A</v>
      </c>
      <c r="V421" s="1127" t="e">
        <f t="shared" si="279"/>
        <v>#N/A</v>
      </c>
      <c r="W421" s="1127" t="e">
        <f>IF(F421="Offiho",J421,IF(_xlfn.XLOOKUP(F421,Proveedores!A$2:A$50,Proveedores!E$2:E$50,"")="Nacional",(J421/0.5)+(V421*H421),((J421/0.3/0.5)+(V421*H421))))</f>
        <v>#N/A</v>
      </c>
      <c r="X421" s="1127" t="e">
        <f t="shared" si="269"/>
        <v>#N/A</v>
      </c>
      <c r="Y421" s="1126" t="b">
        <f t="shared" si="270"/>
        <v>0</v>
      </c>
      <c r="Z421" s="43">
        <v>0</v>
      </c>
      <c r="AA421" s="1219" t="e">
        <f t="shared" si="280"/>
        <v>#N/A</v>
      </c>
      <c r="AB421" s="1219" t="e">
        <f t="shared" si="281"/>
        <v>#N/A</v>
      </c>
      <c r="AC421" s="1219" t="e">
        <f t="shared" si="271"/>
        <v>#N/A</v>
      </c>
      <c r="AD421" s="1126" t="e">
        <f t="shared" si="282"/>
        <v>#N/A</v>
      </c>
      <c r="AE421" s="1217" t="e">
        <f t="shared" si="272"/>
        <v>#N/A</v>
      </c>
      <c r="AF421" s="1220" t="e">
        <f t="shared" si="273"/>
        <v>#N/A</v>
      </c>
      <c r="AG421" s="1176" t="e">
        <f t="shared" si="274"/>
        <v>#N/A</v>
      </c>
      <c r="AH421" s="1221" t="e">
        <f t="shared" si="283"/>
        <v>#N/A</v>
      </c>
    </row>
    <row r="422" spans="1:34" ht="15.5">
      <c r="A422" s="1216" t="b">
        <f t="shared" si="262"/>
        <v>1</v>
      </c>
      <c r="B422" s="1217" t="b">
        <f t="shared" si="275"/>
        <v>1</v>
      </c>
      <c r="C422" s="1218" t="str">
        <f t="shared" si="276"/>
        <v>Dólares</v>
      </c>
      <c r="D422" s="47"/>
      <c r="E422" s="836"/>
      <c r="F422" s="50"/>
      <c r="G422" s="50" t="str">
        <f t="shared" si="263"/>
        <v xml:space="preserve"> </v>
      </c>
      <c r="H422" s="45">
        <v>0</v>
      </c>
      <c r="I422" s="49" t="str">
        <f>IFERROR(VLOOKUP(G422,Proveedores!B:C,2,0)," ")</f>
        <v xml:space="preserve"> </v>
      </c>
      <c r="J422" s="838">
        <v>0</v>
      </c>
      <c r="K422" s="1124"/>
      <c r="L422" s="1266">
        <f t="shared" si="264"/>
        <v>0</v>
      </c>
      <c r="M422" s="1267">
        <f t="shared" si="265"/>
        <v>0</v>
      </c>
      <c r="N422" s="1268">
        <f t="shared" si="284"/>
        <v>0</v>
      </c>
      <c r="O422" s="836" t="str">
        <f>IFERROR(VLOOKUP(G422,Proveedores!B:D,3,0)," ")</f>
        <v xml:space="preserve"> </v>
      </c>
      <c r="P422" s="836"/>
      <c r="Q422" s="1127" t="e">
        <f t="shared" si="266"/>
        <v>#N/A</v>
      </c>
      <c r="R422" s="1127" t="b">
        <f t="shared" si="277"/>
        <v>0</v>
      </c>
      <c r="S422" s="1127" t="e">
        <f t="shared" si="267"/>
        <v>#N/A</v>
      </c>
      <c r="T422" s="1127" t="b">
        <f t="shared" si="278"/>
        <v>0</v>
      </c>
      <c r="U422" s="1127" t="e">
        <f t="shared" si="268"/>
        <v>#N/A</v>
      </c>
      <c r="V422" s="1127" t="e">
        <f t="shared" si="279"/>
        <v>#N/A</v>
      </c>
      <c r="W422" s="1127" t="e">
        <f>IF(F422="Offiho",J422,IF(_xlfn.XLOOKUP(F422,Proveedores!A$2:A$50,Proveedores!E$2:E$50,"")="Nacional",(J422/0.5)+(V422*H422),((J422/0.3/0.5)+(V422*H422))))</f>
        <v>#N/A</v>
      </c>
      <c r="X422" s="1127" t="e">
        <f t="shared" si="269"/>
        <v>#N/A</v>
      </c>
      <c r="Y422" s="1126" t="b">
        <f t="shared" si="270"/>
        <v>0</v>
      </c>
      <c r="Z422" s="43">
        <v>0</v>
      </c>
      <c r="AA422" s="1219" t="e">
        <f t="shared" si="280"/>
        <v>#N/A</v>
      </c>
      <c r="AB422" s="1219" t="e">
        <f t="shared" si="281"/>
        <v>#N/A</v>
      </c>
      <c r="AC422" s="1219" t="e">
        <f t="shared" si="271"/>
        <v>#N/A</v>
      </c>
      <c r="AD422" s="1126" t="e">
        <f t="shared" si="282"/>
        <v>#N/A</v>
      </c>
      <c r="AE422" s="1217" t="e">
        <f t="shared" si="272"/>
        <v>#N/A</v>
      </c>
      <c r="AF422" s="1220" t="e">
        <f t="shared" si="273"/>
        <v>#N/A</v>
      </c>
      <c r="AG422" s="1176" t="e">
        <f t="shared" si="274"/>
        <v>#N/A</v>
      </c>
      <c r="AH422" s="1221" t="e">
        <f t="shared" si="283"/>
        <v>#N/A</v>
      </c>
    </row>
    <row r="423" spans="1:34" ht="15.5">
      <c r="A423" s="1216" t="b">
        <f t="shared" si="262"/>
        <v>1</v>
      </c>
      <c r="B423" s="1217" t="b">
        <f t="shared" si="275"/>
        <v>1</v>
      </c>
      <c r="C423" s="1218" t="str">
        <f t="shared" si="276"/>
        <v>Dólares</v>
      </c>
      <c r="D423" s="47"/>
      <c r="E423" s="836"/>
      <c r="F423" s="50"/>
      <c r="G423" s="50" t="str">
        <f t="shared" si="263"/>
        <v xml:space="preserve"> </v>
      </c>
      <c r="H423" s="45">
        <v>0</v>
      </c>
      <c r="I423" s="49" t="str">
        <f>IFERROR(VLOOKUP(G423,Proveedores!B:C,2,0)," ")</f>
        <v xml:space="preserve"> </v>
      </c>
      <c r="J423" s="838">
        <v>0</v>
      </c>
      <c r="K423" s="1124"/>
      <c r="L423" s="1266">
        <f t="shared" si="264"/>
        <v>0</v>
      </c>
      <c r="M423" s="1267">
        <f t="shared" si="265"/>
        <v>0</v>
      </c>
      <c r="N423" s="1268">
        <f t="shared" si="284"/>
        <v>0</v>
      </c>
      <c r="O423" s="836" t="str">
        <f>IFERROR(VLOOKUP(G423,Proveedores!B:D,3,0)," ")</f>
        <v xml:space="preserve"> </v>
      </c>
      <c r="P423" s="836"/>
      <c r="Q423" s="1127" t="e">
        <f t="shared" si="266"/>
        <v>#N/A</v>
      </c>
      <c r="R423" s="1127" t="b">
        <f t="shared" si="277"/>
        <v>0</v>
      </c>
      <c r="S423" s="1127" t="e">
        <f t="shared" si="267"/>
        <v>#N/A</v>
      </c>
      <c r="T423" s="1127" t="b">
        <f t="shared" si="278"/>
        <v>0</v>
      </c>
      <c r="U423" s="1127" t="e">
        <f t="shared" si="268"/>
        <v>#N/A</v>
      </c>
      <c r="V423" s="1127" t="e">
        <f t="shared" si="279"/>
        <v>#N/A</v>
      </c>
      <c r="W423" s="1127" t="e">
        <f>IF(F423="Offiho",J423,IF(_xlfn.XLOOKUP(F423,Proveedores!A$2:A$50,Proveedores!E$2:E$50,"")="Nacional",(J423/0.5)+(V423*H423),((J423/0.3/0.5)+(V423*H423))))</f>
        <v>#N/A</v>
      </c>
      <c r="X423" s="1127" t="e">
        <f t="shared" si="269"/>
        <v>#N/A</v>
      </c>
      <c r="Y423" s="1126" t="b">
        <f t="shared" si="270"/>
        <v>0</v>
      </c>
      <c r="Z423" s="43">
        <v>0</v>
      </c>
      <c r="AA423" s="1219" t="e">
        <f t="shared" si="280"/>
        <v>#N/A</v>
      </c>
      <c r="AB423" s="1219" t="e">
        <f t="shared" si="281"/>
        <v>#N/A</v>
      </c>
      <c r="AC423" s="1219" t="e">
        <f t="shared" si="271"/>
        <v>#N/A</v>
      </c>
      <c r="AD423" s="1126" t="e">
        <f t="shared" si="282"/>
        <v>#N/A</v>
      </c>
      <c r="AE423" s="1217" t="e">
        <f t="shared" si="272"/>
        <v>#N/A</v>
      </c>
      <c r="AF423" s="1220" t="e">
        <f t="shared" si="273"/>
        <v>#N/A</v>
      </c>
      <c r="AG423" s="1176" t="e">
        <f t="shared" si="274"/>
        <v>#N/A</v>
      </c>
      <c r="AH423" s="1221" t="e">
        <f t="shared" si="283"/>
        <v>#N/A</v>
      </c>
    </row>
    <row r="424" spans="1:34" ht="15.5">
      <c r="A424" s="1216" t="b">
        <f t="shared" si="262"/>
        <v>1</v>
      </c>
      <c r="B424" s="1217" t="b">
        <f t="shared" si="275"/>
        <v>1</v>
      </c>
      <c r="C424" s="1218" t="str">
        <f t="shared" si="276"/>
        <v>Dólares</v>
      </c>
      <c r="D424" s="48"/>
      <c r="E424" s="836"/>
      <c r="F424" s="50"/>
      <c r="G424" s="50" t="str">
        <f t="shared" si="263"/>
        <v xml:space="preserve"> </v>
      </c>
      <c r="H424" s="45">
        <v>0</v>
      </c>
      <c r="I424" s="49" t="str">
        <f>IFERROR(VLOOKUP(G424,Proveedores!B:C,2,0)," ")</f>
        <v xml:space="preserve"> </v>
      </c>
      <c r="J424" s="838">
        <v>0</v>
      </c>
      <c r="K424" s="1124"/>
      <c r="L424" s="1266">
        <f t="shared" si="264"/>
        <v>0</v>
      </c>
      <c r="M424" s="1267">
        <f t="shared" si="265"/>
        <v>0</v>
      </c>
      <c r="N424" s="1268">
        <f t="shared" si="284"/>
        <v>0</v>
      </c>
      <c r="O424" s="836" t="str">
        <f>IFERROR(VLOOKUP(G424,Proveedores!B:D,3,0)," ")</f>
        <v xml:space="preserve"> </v>
      </c>
      <c r="P424" s="836"/>
      <c r="Q424" s="1127" t="e">
        <f t="shared" si="266"/>
        <v>#N/A</v>
      </c>
      <c r="R424" s="1127" t="b">
        <f t="shared" si="277"/>
        <v>0</v>
      </c>
      <c r="S424" s="1127" t="e">
        <f t="shared" si="267"/>
        <v>#N/A</v>
      </c>
      <c r="T424" s="1127" t="b">
        <f t="shared" si="278"/>
        <v>0</v>
      </c>
      <c r="U424" s="1127" t="e">
        <f t="shared" si="268"/>
        <v>#N/A</v>
      </c>
      <c r="V424" s="1127" t="e">
        <f t="shared" si="279"/>
        <v>#N/A</v>
      </c>
      <c r="W424" s="1127" t="e">
        <f>IF(F424="Offiho",J424,IF(_xlfn.XLOOKUP(F424,Proveedores!A$2:A$50,Proveedores!E$2:E$50,"")="Nacional",(J424/0.5)+(V424*H424),((J424/0.3/0.5)+(V424*H424))))</f>
        <v>#N/A</v>
      </c>
      <c r="X424" s="1127" t="e">
        <f t="shared" si="269"/>
        <v>#N/A</v>
      </c>
      <c r="Y424" s="1126" t="b">
        <f t="shared" si="270"/>
        <v>0</v>
      </c>
      <c r="Z424" s="43">
        <v>0</v>
      </c>
      <c r="AA424" s="1219" t="e">
        <f t="shared" si="280"/>
        <v>#N/A</v>
      </c>
      <c r="AB424" s="1219" t="e">
        <f t="shared" si="281"/>
        <v>#N/A</v>
      </c>
      <c r="AC424" s="1219" t="e">
        <f t="shared" si="271"/>
        <v>#N/A</v>
      </c>
      <c r="AD424" s="1126" t="e">
        <f t="shared" si="282"/>
        <v>#N/A</v>
      </c>
      <c r="AE424" s="1217" t="e">
        <f t="shared" si="272"/>
        <v>#N/A</v>
      </c>
      <c r="AF424" s="1220" t="e">
        <f t="shared" si="273"/>
        <v>#N/A</v>
      </c>
      <c r="AG424" s="1176" t="e">
        <f t="shared" si="274"/>
        <v>#N/A</v>
      </c>
      <c r="AH424" s="1221" t="e">
        <f t="shared" si="283"/>
        <v>#N/A</v>
      </c>
    </row>
    <row r="425" spans="1:34" ht="15.5">
      <c r="A425" s="1216" t="b">
        <f t="shared" si="262"/>
        <v>1</v>
      </c>
      <c r="B425" s="1217" t="b">
        <f t="shared" si="275"/>
        <v>1</v>
      </c>
      <c r="C425" s="1218" t="str">
        <f t="shared" si="276"/>
        <v>Dólares</v>
      </c>
      <c r="D425" s="48"/>
      <c r="E425" s="836"/>
      <c r="F425" s="50"/>
      <c r="G425" s="50" t="str">
        <f t="shared" si="263"/>
        <v xml:space="preserve"> </v>
      </c>
      <c r="H425" s="45">
        <v>0</v>
      </c>
      <c r="I425" s="49" t="str">
        <f>IFERROR(VLOOKUP(G425,Proveedores!B:C,2,0)," ")</f>
        <v xml:space="preserve"> </v>
      </c>
      <c r="J425" s="838">
        <v>0</v>
      </c>
      <c r="K425" s="1124"/>
      <c r="L425" s="1266">
        <f t="shared" si="264"/>
        <v>0</v>
      </c>
      <c r="M425" s="1267">
        <f t="shared" si="265"/>
        <v>0</v>
      </c>
      <c r="N425" s="1268">
        <f t="shared" si="284"/>
        <v>0</v>
      </c>
      <c r="O425" s="836" t="str">
        <f>IFERROR(VLOOKUP(G425,Proveedores!B:D,3,0)," ")</f>
        <v xml:space="preserve"> </v>
      </c>
      <c r="P425" s="836"/>
      <c r="Q425" s="1127" t="e">
        <f t="shared" si="266"/>
        <v>#N/A</v>
      </c>
      <c r="R425" s="1127" t="b">
        <f t="shared" si="277"/>
        <v>0</v>
      </c>
      <c r="S425" s="1127" t="e">
        <f t="shared" si="267"/>
        <v>#N/A</v>
      </c>
      <c r="T425" s="1127" t="b">
        <f t="shared" si="278"/>
        <v>0</v>
      </c>
      <c r="U425" s="1127" t="e">
        <f t="shared" si="268"/>
        <v>#N/A</v>
      </c>
      <c r="V425" s="1127" t="e">
        <f t="shared" si="279"/>
        <v>#N/A</v>
      </c>
      <c r="W425" s="1127" t="e">
        <f>IF(F425="Offiho",J425,IF(_xlfn.XLOOKUP(F425,Proveedores!A$2:A$50,Proveedores!E$2:E$50,"")="Nacional",(J425/0.5)+(V425*H425),((J425/0.3/0.5)+(V425*H425))))</f>
        <v>#N/A</v>
      </c>
      <c r="X425" s="1127" t="e">
        <f t="shared" si="269"/>
        <v>#N/A</v>
      </c>
      <c r="Y425" s="1126" t="b">
        <f t="shared" si="270"/>
        <v>0</v>
      </c>
      <c r="Z425" s="43">
        <v>0</v>
      </c>
      <c r="AA425" s="1219" t="e">
        <f t="shared" si="280"/>
        <v>#N/A</v>
      </c>
      <c r="AB425" s="1219" t="e">
        <f t="shared" si="281"/>
        <v>#N/A</v>
      </c>
      <c r="AC425" s="1219" t="e">
        <f t="shared" si="271"/>
        <v>#N/A</v>
      </c>
      <c r="AD425" s="1126" t="e">
        <f t="shared" si="282"/>
        <v>#N/A</v>
      </c>
      <c r="AE425" s="1217" t="e">
        <f t="shared" si="272"/>
        <v>#N/A</v>
      </c>
      <c r="AF425" s="1220" t="e">
        <f t="shared" si="273"/>
        <v>#N/A</v>
      </c>
      <c r="AG425" s="1176" t="e">
        <f t="shared" si="274"/>
        <v>#N/A</v>
      </c>
      <c r="AH425" s="1221" t="e">
        <f t="shared" si="283"/>
        <v>#N/A</v>
      </c>
    </row>
    <row r="426" spans="1:34" ht="15.5">
      <c r="A426" s="1216" t="b">
        <f t="shared" si="262"/>
        <v>1</v>
      </c>
      <c r="B426" s="1217" t="b">
        <f t="shared" si="275"/>
        <v>1</v>
      </c>
      <c r="C426" s="1218" t="str">
        <f t="shared" si="276"/>
        <v>Dólares</v>
      </c>
      <c r="D426" s="47"/>
      <c r="E426" s="836"/>
      <c r="F426" s="50"/>
      <c r="G426" s="50" t="str">
        <f t="shared" si="263"/>
        <v xml:space="preserve"> </v>
      </c>
      <c r="H426" s="45">
        <v>0</v>
      </c>
      <c r="I426" s="49" t="str">
        <f>IFERROR(VLOOKUP(G426,Proveedores!B:C,2,0)," ")</f>
        <v xml:space="preserve"> </v>
      </c>
      <c r="J426" s="838">
        <v>0</v>
      </c>
      <c r="K426" s="1124"/>
      <c r="L426" s="1266">
        <f t="shared" si="264"/>
        <v>0</v>
      </c>
      <c r="M426" s="1267">
        <f t="shared" si="265"/>
        <v>0</v>
      </c>
      <c r="N426" s="1268">
        <f t="shared" si="284"/>
        <v>0</v>
      </c>
      <c r="O426" s="836" t="str">
        <f>IFERROR(VLOOKUP(G426,Proveedores!B:D,3,0)," ")</f>
        <v xml:space="preserve"> </v>
      </c>
      <c r="P426" s="836"/>
      <c r="Q426" s="1127" t="e">
        <f t="shared" si="266"/>
        <v>#N/A</v>
      </c>
      <c r="R426" s="1127" t="b">
        <f t="shared" si="277"/>
        <v>0</v>
      </c>
      <c r="S426" s="1127" t="e">
        <f t="shared" si="267"/>
        <v>#N/A</v>
      </c>
      <c r="T426" s="1127" t="b">
        <f t="shared" si="278"/>
        <v>0</v>
      </c>
      <c r="U426" s="1127" t="e">
        <f t="shared" si="268"/>
        <v>#N/A</v>
      </c>
      <c r="V426" s="1127" t="e">
        <f t="shared" si="279"/>
        <v>#N/A</v>
      </c>
      <c r="W426" s="1127" t="e">
        <f>IF(F426="Offiho",J426,IF(_xlfn.XLOOKUP(F426,Proveedores!A$2:A$50,Proveedores!E$2:E$50,"")="Nacional",(J426/0.5)+(V426*H426),((J426/0.3/0.5)+(V426*H426))))</f>
        <v>#N/A</v>
      </c>
      <c r="X426" s="1127" t="e">
        <f t="shared" si="269"/>
        <v>#N/A</v>
      </c>
      <c r="Y426" s="1126" t="b">
        <f t="shared" si="270"/>
        <v>0</v>
      </c>
      <c r="Z426" s="43">
        <v>0</v>
      </c>
      <c r="AA426" s="1219" t="e">
        <f t="shared" si="280"/>
        <v>#N/A</v>
      </c>
      <c r="AB426" s="1219" t="e">
        <f t="shared" si="281"/>
        <v>#N/A</v>
      </c>
      <c r="AC426" s="1219" t="e">
        <f t="shared" si="271"/>
        <v>#N/A</v>
      </c>
      <c r="AD426" s="1126" t="e">
        <f t="shared" si="282"/>
        <v>#N/A</v>
      </c>
      <c r="AE426" s="1217" t="e">
        <f t="shared" si="272"/>
        <v>#N/A</v>
      </c>
      <c r="AF426" s="1220" t="e">
        <f t="shared" si="273"/>
        <v>#N/A</v>
      </c>
      <c r="AG426" s="1176" t="e">
        <f t="shared" si="274"/>
        <v>#N/A</v>
      </c>
      <c r="AH426" s="1221" t="e">
        <f t="shared" si="283"/>
        <v>#N/A</v>
      </c>
    </row>
    <row r="427" spans="1:34" ht="15.5">
      <c r="A427" s="1216" t="b">
        <f t="shared" si="262"/>
        <v>1</v>
      </c>
      <c r="B427" s="1217" t="b">
        <f t="shared" si="275"/>
        <v>1</v>
      </c>
      <c r="C427" s="1218" t="str">
        <f t="shared" si="276"/>
        <v>Dólares</v>
      </c>
      <c r="D427" s="47"/>
      <c r="E427" s="836"/>
      <c r="F427" s="50"/>
      <c r="G427" s="50" t="str">
        <f t="shared" si="263"/>
        <v xml:space="preserve"> </v>
      </c>
      <c r="H427" s="45">
        <v>0</v>
      </c>
      <c r="I427" s="49" t="str">
        <f>IFERROR(VLOOKUP(G427,Proveedores!B:C,2,0)," ")</f>
        <v xml:space="preserve"> </v>
      </c>
      <c r="J427" s="838">
        <v>0</v>
      </c>
      <c r="K427" s="1124"/>
      <c r="L427" s="1266">
        <f t="shared" si="264"/>
        <v>0</v>
      </c>
      <c r="M427" s="1267">
        <f t="shared" si="265"/>
        <v>0</v>
      </c>
      <c r="N427" s="1268">
        <f t="shared" si="284"/>
        <v>0</v>
      </c>
      <c r="O427" s="836" t="str">
        <f>IFERROR(VLOOKUP(G427,Proveedores!B:D,3,0)," ")</f>
        <v xml:space="preserve"> </v>
      </c>
      <c r="P427" s="836"/>
      <c r="Q427" s="1127" t="e">
        <f t="shared" si="266"/>
        <v>#N/A</v>
      </c>
      <c r="R427" s="1127" t="b">
        <f t="shared" si="277"/>
        <v>0</v>
      </c>
      <c r="S427" s="1127" t="e">
        <f t="shared" si="267"/>
        <v>#N/A</v>
      </c>
      <c r="T427" s="1127" t="b">
        <f t="shared" si="278"/>
        <v>0</v>
      </c>
      <c r="U427" s="1127" t="e">
        <f t="shared" si="268"/>
        <v>#N/A</v>
      </c>
      <c r="V427" s="1127" t="e">
        <f t="shared" si="279"/>
        <v>#N/A</v>
      </c>
      <c r="W427" s="1127" t="e">
        <f>IF(F427="Offiho",J427,IF(_xlfn.XLOOKUP(F427,Proveedores!A$2:A$50,Proveedores!E$2:E$50,"")="Nacional",(J427/0.5)+(V427*H427),((J427/0.3/0.5)+(V427*H427))))</f>
        <v>#N/A</v>
      </c>
      <c r="X427" s="1127" t="e">
        <f t="shared" si="269"/>
        <v>#N/A</v>
      </c>
      <c r="Y427" s="1126" t="b">
        <f t="shared" si="270"/>
        <v>0</v>
      </c>
      <c r="Z427" s="43">
        <v>0</v>
      </c>
      <c r="AA427" s="1219" t="e">
        <f t="shared" si="280"/>
        <v>#N/A</v>
      </c>
      <c r="AB427" s="1219" t="e">
        <f t="shared" si="281"/>
        <v>#N/A</v>
      </c>
      <c r="AC427" s="1219" t="e">
        <f t="shared" si="271"/>
        <v>#N/A</v>
      </c>
      <c r="AD427" s="1126" t="e">
        <f t="shared" si="282"/>
        <v>#N/A</v>
      </c>
      <c r="AE427" s="1217" t="e">
        <f t="shared" si="272"/>
        <v>#N/A</v>
      </c>
      <c r="AF427" s="1220" t="e">
        <f t="shared" si="273"/>
        <v>#N/A</v>
      </c>
      <c r="AG427" s="1176" t="e">
        <f t="shared" si="274"/>
        <v>#N/A</v>
      </c>
      <c r="AH427" s="1221" t="e">
        <f t="shared" si="283"/>
        <v>#N/A</v>
      </c>
    </row>
    <row r="428" spans="1:34" ht="15.5">
      <c r="A428" s="1216" t="b">
        <f t="shared" si="262"/>
        <v>1</v>
      </c>
      <c r="B428" s="1217" t="b">
        <f t="shared" si="275"/>
        <v>1</v>
      </c>
      <c r="C428" s="1218" t="str">
        <f t="shared" si="276"/>
        <v>Dólares</v>
      </c>
      <c r="D428" s="47"/>
      <c r="E428" s="836"/>
      <c r="F428" s="50"/>
      <c r="G428" s="50" t="str">
        <f t="shared" si="263"/>
        <v xml:space="preserve"> </v>
      </c>
      <c r="H428" s="45">
        <v>0</v>
      </c>
      <c r="I428" s="49" t="str">
        <f>IFERROR(VLOOKUP(G428,Proveedores!B:C,2,0)," ")</f>
        <v xml:space="preserve"> </v>
      </c>
      <c r="J428" s="838">
        <v>0</v>
      </c>
      <c r="K428" s="1124"/>
      <c r="L428" s="1266">
        <f t="shared" si="264"/>
        <v>0</v>
      </c>
      <c r="M428" s="1267">
        <f t="shared" si="265"/>
        <v>0</v>
      </c>
      <c r="N428" s="1268">
        <f t="shared" si="284"/>
        <v>0</v>
      </c>
      <c r="O428" s="836" t="str">
        <f>IFERROR(VLOOKUP(G428,Proveedores!B:D,3,0)," ")</f>
        <v xml:space="preserve"> </v>
      </c>
      <c r="P428" s="836"/>
      <c r="Q428" s="1127" t="e">
        <f t="shared" si="266"/>
        <v>#N/A</v>
      </c>
      <c r="R428" s="1127" t="b">
        <f t="shared" si="277"/>
        <v>0</v>
      </c>
      <c r="S428" s="1127" t="e">
        <f t="shared" si="267"/>
        <v>#N/A</v>
      </c>
      <c r="T428" s="1127" t="b">
        <f t="shared" si="278"/>
        <v>0</v>
      </c>
      <c r="U428" s="1127" t="e">
        <f t="shared" si="268"/>
        <v>#N/A</v>
      </c>
      <c r="V428" s="1127" t="e">
        <f t="shared" si="279"/>
        <v>#N/A</v>
      </c>
      <c r="W428" s="1127" t="e">
        <f>IF(F428="Offiho",J428,IF(_xlfn.XLOOKUP(F428,Proveedores!A$2:A$50,Proveedores!E$2:E$50,"")="Nacional",(J428/0.5)+(V428*H428),((J428/0.3/0.5)+(V428*H428))))</f>
        <v>#N/A</v>
      </c>
      <c r="X428" s="1127" t="e">
        <f t="shared" si="269"/>
        <v>#N/A</v>
      </c>
      <c r="Y428" s="1126" t="b">
        <f t="shared" si="270"/>
        <v>0</v>
      </c>
      <c r="Z428" s="43">
        <v>0</v>
      </c>
      <c r="AA428" s="1219" t="e">
        <f t="shared" si="280"/>
        <v>#N/A</v>
      </c>
      <c r="AB428" s="1219" t="e">
        <f t="shared" si="281"/>
        <v>#N/A</v>
      </c>
      <c r="AC428" s="1219" t="e">
        <f t="shared" si="271"/>
        <v>#N/A</v>
      </c>
      <c r="AD428" s="1126" t="e">
        <f t="shared" si="282"/>
        <v>#N/A</v>
      </c>
      <c r="AE428" s="1217" t="e">
        <f t="shared" si="272"/>
        <v>#N/A</v>
      </c>
      <c r="AF428" s="1220" t="e">
        <f t="shared" si="273"/>
        <v>#N/A</v>
      </c>
      <c r="AG428" s="1176" t="e">
        <f t="shared" si="274"/>
        <v>#N/A</v>
      </c>
      <c r="AH428" s="1221" t="e">
        <f t="shared" si="283"/>
        <v>#N/A</v>
      </c>
    </row>
    <row r="429" spans="1:34" ht="15.5">
      <c r="A429" s="1216" t="b">
        <f t="shared" si="262"/>
        <v>1</v>
      </c>
      <c r="B429" s="1217" t="b">
        <f t="shared" si="275"/>
        <v>1</v>
      </c>
      <c r="C429" s="1218" t="str">
        <f t="shared" si="276"/>
        <v>Dólares</v>
      </c>
      <c r="D429" s="47"/>
      <c r="E429" s="836"/>
      <c r="F429" s="50"/>
      <c r="G429" s="50" t="str">
        <f t="shared" si="263"/>
        <v xml:space="preserve"> </v>
      </c>
      <c r="H429" s="45">
        <v>0</v>
      </c>
      <c r="I429" s="49" t="str">
        <f>IFERROR(VLOOKUP(G429,Proveedores!B:C,2,0)," ")</f>
        <v xml:space="preserve"> </v>
      </c>
      <c r="J429" s="838">
        <v>0</v>
      </c>
      <c r="K429" s="1124"/>
      <c r="L429" s="1266">
        <f t="shared" si="264"/>
        <v>0</v>
      </c>
      <c r="M429" s="1267">
        <f t="shared" si="265"/>
        <v>0</v>
      </c>
      <c r="N429" s="1268">
        <f t="shared" si="284"/>
        <v>0</v>
      </c>
      <c r="O429" s="836" t="str">
        <f>IFERROR(VLOOKUP(G429,Proveedores!B:D,3,0)," ")</f>
        <v xml:space="preserve"> </v>
      </c>
      <c r="P429" s="836"/>
      <c r="Q429" s="1127" t="e">
        <f t="shared" si="266"/>
        <v>#N/A</v>
      </c>
      <c r="R429" s="1127" t="b">
        <f t="shared" si="277"/>
        <v>0</v>
      </c>
      <c r="S429" s="1127" t="e">
        <f t="shared" si="267"/>
        <v>#N/A</v>
      </c>
      <c r="T429" s="1127" t="b">
        <f t="shared" si="278"/>
        <v>0</v>
      </c>
      <c r="U429" s="1127" t="e">
        <f t="shared" si="268"/>
        <v>#N/A</v>
      </c>
      <c r="V429" s="1127" t="e">
        <f t="shared" si="279"/>
        <v>#N/A</v>
      </c>
      <c r="W429" s="1127" t="e">
        <f>IF(F429="Offiho",J429,IF(_xlfn.XLOOKUP(F429,Proveedores!A$2:A$50,Proveedores!E$2:E$50,"")="Nacional",(J429/0.5)+(V429*H429),((J429/0.3/0.5)+(V429*H429))))</f>
        <v>#N/A</v>
      </c>
      <c r="X429" s="1127" t="e">
        <f t="shared" si="269"/>
        <v>#N/A</v>
      </c>
      <c r="Y429" s="1126" t="b">
        <f t="shared" si="270"/>
        <v>0</v>
      </c>
      <c r="Z429" s="43">
        <v>0</v>
      </c>
      <c r="AA429" s="1219" t="e">
        <f t="shared" si="280"/>
        <v>#N/A</v>
      </c>
      <c r="AB429" s="1219" t="e">
        <f t="shared" si="281"/>
        <v>#N/A</v>
      </c>
      <c r="AC429" s="1219" t="e">
        <f t="shared" si="271"/>
        <v>#N/A</v>
      </c>
      <c r="AD429" s="1126" t="e">
        <f t="shared" si="282"/>
        <v>#N/A</v>
      </c>
      <c r="AE429" s="1217" t="e">
        <f t="shared" si="272"/>
        <v>#N/A</v>
      </c>
      <c r="AF429" s="1220" t="e">
        <f t="shared" si="273"/>
        <v>#N/A</v>
      </c>
      <c r="AG429" s="1176" t="e">
        <f t="shared" si="274"/>
        <v>#N/A</v>
      </c>
      <c r="AH429" s="1221" t="e">
        <f t="shared" si="283"/>
        <v>#N/A</v>
      </c>
    </row>
    <row r="430" spans="1:34" ht="15.5">
      <c r="A430" s="1216" t="b">
        <f t="shared" si="262"/>
        <v>1</v>
      </c>
      <c r="B430" s="1217" t="b">
        <f t="shared" si="275"/>
        <v>1</v>
      </c>
      <c r="C430" s="1218" t="str">
        <f t="shared" si="276"/>
        <v>Dólares</v>
      </c>
      <c r="D430" s="47"/>
      <c r="E430" s="836"/>
      <c r="F430" s="50"/>
      <c r="G430" s="50" t="str">
        <f t="shared" si="263"/>
        <v xml:space="preserve"> </v>
      </c>
      <c r="H430" s="45">
        <v>0</v>
      </c>
      <c r="I430" s="49" t="str">
        <f>IFERROR(VLOOKUP(G430,Proveedores!B:C,2,0)," ")</f>
        <v xml:space="preserve"> </v>
      </c>
      <c r="J430" s="838">
        <v>0</v>
      </c>
      <c r="K430" s="1124"/>
      <c r="L430" s="1266">
        <f t="shared" si="264"/>
        <v>0</v>
      </c>
      <c r="M430" s="1267">
        <f t="shared" si="265"/>
        <v>0</v>
      </c>
      <c r="N430" s="1268">
        <f t="shared" si="284"/>
        <v>0</v>
      </c>
      <c r="O430" s="836" t="str">
        <f>IFERROR(VLOOKUP(G430,Proveedores!B:D,3,0)," ")</f>
        <v xml:space="preserve"> </v>
      </c>
      <c r="P430" s="836"/>
      <c r="Q430" s="1127" t="e">
        <f t="shared" si="266"/>
        <v>#N/A</v>
      </c>
      <c r="R430" s="1127" t="b">
        <f t="shared" si="277"/>
        <v>0</v>
      </c>
      <c r="S430" s="1127" t="e">
        <f t="shared" si="267"/>
        <v>#N/A</v>
      </c>
      <c r="T430" s="1127" t="b">
        <f t="shared" si="278"/>
        <v>0</v>
      </c>
      <c r="U430" s="1127" t="e">
        <f t="shared" si="268"/>
        <v>#N/A</v>
      </c>
      <c r="V430" s="1127" t="e">
        <f t="shared" si="279"/>
        <v>#N/A</v>
      </c>
      <c r="W430" s="1127" t="e">
        <f>IF(F430="Offiho",J430,IF(_xlfn.XLOOKUP(F430,Proveedores!A$2:A$50,Proveedores!E$2:E$50,"")="Nacional",(J430/0.5)+(V430*H430),((J430/0.3/0.5)+(V430*H430))))</f>
        <v>#N/A</v>
      </c>
      <c r="X430" s="1127" t="e">
        <f t="shared" si="269"/>
        <v>#N/A</v>
      </c>
      <c r="Y430" s="1126" t="b">
        <f t="shared" si="270"/>
        <v>0</v>
      </c>
      <c r="Z430" s="43">
        <v>0</v>
      </c>
      <c r="AA430" s="1219" t="e">
        <f t="shared" si="280"/>
        <v>#N/A</v>
      </c>
      <c r="AB430" s="1219" t="e">
        <f t="shared" si="281"/>
        <v>#N/A</v>
      </c>
      <c r="AC430" s="1219" t="e">
        <f t="shared" si="271"/>
        <v>#N/A</v>
      </c>
      <c r="AD430" s="1126" t="e">
        <f t="shared" si="282"/>
        <v>#N/A</v>
      </c>
      <c r="AE430" s="1217" t="e">
        <f t="shared" si="272"/>
        <v>#N/A</v>
      </c>
      <c r="AF430" s="1220" t="e">
        <f t="shared" si="273"/>
        <v>#N/A</v>
      </c>
      <c r="AG430" s="1176" t="e">
        <f t="shared" si="274"/>
        <v>#N/A</v>
      </c>
      <c r="AH430" s="1221" t="e">
        <f t="shared" si="283"/>
        <v>#N/A</v>
      </c>
    </row>
    <row r="431" spans="1:34" ht="15.5">
      <c r="A431" s="1216" t="b">
        <f t="shared" si="262"/>
        <v>1</v>
      </c>
      <c r="B431" s="1217" t="b">
        <f t="shared" si="275"/>
        <v>1</v>
      </c>
      <c r="C431" s="1218" t="str">
        <f t="shared" si="276"/>
        <v>Dólares</v>
      </c>
      <c r="D431" s="47"/>
      <c r="E431" s="836"/>
      <c r="F431" s="50"/>
      <c r="G431" s="50" t="str">
        <f t="shared" si="263"/>
        <v xml:space="preserve"> </v>
      </c>
      <c r="H431" s="45">
        <v>0</v>
      </c>
      <c r="I431" s="49" t="str">
        <f>IFERROR(VLOOKUP(G431,Proveedores!B:C,2,0)," ")</f>
        <v xml:space="preserve"> </v>
      </c>
      <c r="J431" s="838">
        <v>0</v>
      </c>
      <c r="K431" s="1124"/>
      <c r="L431" s="1266">
        <f t="shared" si="264"/>
        <v>0</v>
      </c>
      <c r="M431" s="1267">
        <f t="shared" si="265"/>
        <v>0</v>
      </c>
      <c r="N431" s="1268">
        <f t="shared" si="284"/>
        <v>0</v>
      </c>
      <c r="O431" s="836" t="str">
        <f>IFERROR(VLOOKUP(G431,Proveedores!B:D,3,0)," ")</f>
        <v xml:space="preserve"> </v>
      </c>
      <c r="P431" s="836"/>
      <c r="Q431" s="1127" t="e">
        <f t="shared" si="266"/>
        <v>#N/A</v>
      </c>
      <c r="R431" s="1127" t="b">
        <f t="shared" si="277"/>
        <v>0</v>
      </c>
      <c r="S431" s="1127" t="e">
        <f t="shared" si="267"/>
        <v>#N/A</v>
      </c>
      <c r="T431" s="1127" t="b">
        <f t="shared" si="278"/>
        <v>0</v>
      </c>
      <c r="U431" s="1127" t="e">
        <f t="shared" si="268"/>
        <v>#N/A</v>
      </c>
      <c r="V431" s="1127" t="e">
        <f t="shared" si="279"/>
        <v>#N/A</v>
      </c>
      <c r="W431" s="1127" t="e">
        <f>IF(F431="Offiho",J431,IF(_xlfn.XLOOKUP(F431,Proveedores!A$2:A$50,Proveedores!E$2:E$50,"")="Nacional",(J431/0.5)+(V431*H431),((J431/0.3/0.5)+(V431*H431))))</f>
        <v>#N/A</v>
      </c>
      <c r="X431" s="1127" t="e">
        <f t="shared" si="269"/>
        <v>#N/A</v>
      </c>
      <c r="Y431" s="1126" t="b">
        <f t="shared" si="270"/>
        <v>0</v>
      </c>
      <c r="Z431" s="43">
        <v>0</v>
      </c>
      <c r="AA431" s="1219" t="e">
        <f t="shared" si="280"/>
        <v>#N/A</v>
      </c>
      <c r="AB431" s="1219" t="e">
        <f t="shared" si="281"/>
        <v>#N/A</v>
      </c>
      <c r="AC431" s="1219" t="e">
        <f t="shared" si="271"/>
        <v>#N/A</v>
      </c>
      <c r="AD431" s="1126" t="str">
        <f t="shared" si="282"/>
        <v>NA</v>
      </c>
      <c r="AE431" s="1217" t="e">
        <f t="shared" si="272"/>
        <v>#N/A</v>
      </c>
      <c r="AF431" s="1220" t="e">
        <f t="shared" si="273"/>
        <v>#N/A</v>
      </c>
      <c r="AG431" s="1176" t="e">
        <f t="shared" si="274"/>
        <v>#N/A</v>
      </c>
      <c r="AH431" s="1221" t="e">
        <f t="shared" si="283"/>
        <v>#N/A</v>
      </c>
    </row>
    <row r="432" spans="1:34" ht="24" customHeight="1">
      <c r="A432" s="1422" t="s">
        <v>138</v>
      </c>
      <c r="B432" s="1422"/>
      <c r="C432" s="1422"/>
      <c r="D432" s="1422"/>
      <c r="E432" s="1422"/>
      <c r="F432" s="1422"/>
      <c r="G432" s="1228"/>
      <c r="H432" s="1229" cm="1">
        <f t="array" ref="H432">SUM(IFERROR(H399:H431,0))</f>
        <v>0</v>
      </c>
      <c r="I432" s="1228"/>
      <c r="J432" s="1230"/>
      <c r="K432" s="1231"/>
      <c r="L432" s="1229" cm="1">
        <f t="array" ref="L432">SUM(IFERROR(L399:L431,0))</f>
        <v>0</v>
      </c>
      <c r="M432" s="1235"/>
      <c r="N432" s="1232" cm="1">
        <f t="array" ref="N432">SUM(IFERROR(N399:N431,0))</f>
        <v>0</v>
      </c>
      <c r="O432" s="1233"/>
      <c r="P432" s="1233"/>
      <c r="Q432" s="1233"/>
      <c r="R432" s="1233"/>
      <c r="S432" s="1233"/>
      <c r="T432" s="1233"/>
      <c r="U432" s="1233"/>
      <c r="V432" s="1233"/>
      <c r="W432" s="1231"/>
      <c r="X432" s="1232" cm="1">
        <f t="array" ref="X432">SUM(IFERROR(X399:X431,0))</f>
        <v>0</v>
      </c>
      <c r="Y432" s="1233" t="s">
        <v>116</v>
      </c>
      <c r="Z432" s="1233"/>
      <c r="AA432" s="1233"/>
      <c r="AB432" s="1233"/>
      <c r="AC432" s="1232" cm="1">
        <f t="array" ref="AC432">SUM(IFERROR(AC399:AC431,0))</f>
        <v>0</v>
      </c>
      <c r="AD432" s="1232"/>
      <c r="AE432" s="1232"/>
      <c r="AF432" s="1232" cm="1">
        <f t="array" ref="AF432">SUM(IFERROR(AF399:AF431,0))</f>
        <v>0</v>
      </c>
      <c r="AG432" s="1177">
        <f>IFERROR(1-(N432/AC432),0)</f>
        <v>0</v>
      </c>
      <c r="AH432"/>
    </row>
    <row r="433" spans="1:34" ht="26" customHeight="1">
      <c r="A433" s="1419" t="s">
        <v>139</v>
      </c>
      <c r="B433" s="1419"/>
      <c r="C433" s="1419"/>
      <c r="D433" s="1419"/>
      <c r="E433" s="1419"/>
      <c r="F433" s="1419"/>
      <c r="G433" s="1419"/>
      <c r="H433" s="1419"/>
      <c r="I433" s="1419"/>
      <c r="J433" s="1420"/>
      <c r="K433" s="1214"/>
      <c r="L433" s="1214"/>
      <c r="M433" s="1236"/>
      <c r="N433" s="1214"/>
      <c r="O433" s="1213"/>
      <c r="P433" s="1213"/>
      <c r="Q433" s="1213"/>
      <c r="R433" s="1213"/>
      <c r="S433" s="1213"/>
      <c r="T433" s="1213"/>
      <c r="U433" s="1213"/>
      <c r="V433" s="1213"/>
      <c r="W433" s="1178"/>
      <c r="X433" s="1178"/>
      <c r="Y433" s="1178"/>
      <c r="Z433" s="1213"/>
      <c r="AA433" s="1213"/>
      <c r="AB433" s="1213"/>
      <c r="AC433" s="1213"/>
      <c r="AD433" s="1213"/>
      <c r="AE433" s="1213"/>
      <c r="AF433" s="1213"/>
      <c r="AG433" s="1215"/>
      <c r="AH433"/>
    </row>
    <row r="434" spans="1:34" ht="15.5">
      <c r="A434" s="1216" t="b">
        <f t="shared" ref="A434:A466" si="285">$A$13</f>
        <v>1</v>
      </c>
      <c r="B434" s="1217" t="b">
        <f>A434</f>
        <v>1</v>
      </c>
      <c r="C434" s="1218" t="str">
        <f>$C$13</f>
        <v>Dólares</v>
      </c>
      <c r="D434" s="44"/>
      <c r="E434" s="836"/>
      <c r="F434" s="50"/>
      <c r="G434" s="50" t="str">
        <f t="shared" ref="G434:G466" si="286">IFERROR(VLOOKUP(F434,Tabla_Proveedores_1,2,0)," ")</f>
        <v xml:space="preserve"> </v>
      </c>
      <c r="H434" s="45">
        <v>0</v>
      </c>
      <c r="I434" s="49" t="str">
        <f>IFERROR(VLOOKUP(G434,Proveedores!B:C,2,0)," ")</f>
        <v xml:space="preserve"> </v>
      </c>
      <c r="J434" s="838">
        <v>0</v>
      </c>
      <c r="K434" s="1124"/>
      <c r="L434" s="1266">
        <f t="shared" ref="L434:L466" si="287">K434*H434</f>
        <v>0</v>
      </c>
      <c r="M434" s="1267">
        <f t="shared" ref="M434:M466" si="288">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Brasil"),J434,IFERROR(IF(K993&lt;=$AO$578,J434*2.14,IF(K993&lt;=$AN$579,J434*1.8,IF(K993&gt;$AN$580,J434*1.5))),J434))*1.1)</f>
        <v>0</v>
      </c>
      <c r="N434" s="1268">
        <f>M434*H434</f>
        <v>0</v>
      </c>
      <c r="O434" s="836" t="str">
        <f>IFERROR(VLOOKUP(G434,Proveedores!B:D,3,0)," ")</f>
        <v xml:space="preserve"> </v>
      </c>
      <c r="P434" s="836"/>
      <c r="Q434" s="1127" t="e">
        <f t="shared" ref="Q434:Q466" si="289">VLOOKUP(E434,Tabla_Fletes,3,FALSE)</f>
        <v>#N/A</v>
      </c>
      <c r="R434" s="1127" t="b">
        <f>IF(P434="Centro",Q434,IF(P434="Norte",Q434*1.6,IF(P434="Occidente",Q434*1.2,IF(P434="Sur",Q434*2))))</f>
        <v>0</v>
      </c>
      <c r="S434" s="1127" t="e">
        <f t="shared" ref="S434:S466" si="290">VLOOKUP(E434,Tabla_Instalacion,2,FALSE)</f>
        <v>#N/A</v>
      </c>
      <c r="T434" s="1127" t="b">
        <f>IF(P434="Centro",S434,IF(P434="Norte",S434*1.1,IF(P434="Occidente",S434*1.1,IF(P434="Sur",S434*1.1))))</f>
        <v>0</v>
      </c>
      <c r="U434" s="1127" t="e">
        <f t="shared" ref="U434:U466" si="291">IF(F434="Offiho",0,Q434+S434)</f>
        <v>#N/A</v>
      </c>
      <c r="V434" s="1127" t="e">
        <f>IF(K434=0,U434/$H$573,U434*(K434/L434))*H434</f>
        <v>#N/A</v>
      </c>
      <c r="W434" s="1127" t="e">
        <f>IF(F434="Offiho",J434,IF(_xlfn.XLOOKUP(F434,Proveedores!A$2:A$50,Proveedores!E$2:E$50,"")="Nacional",(J434/0.5)+(V434*H434),((J434/0.3/0.5)+(V434*H434))))</f>
        <v>#N/A</v>
      </c>
      <c r="X434" s="1127" t="e">
        <f t="shared" ref="X434:X466" si="292">W434*H434</f>
        <v>#N/A</v>
      </c>
      <c r="Y434" s="1126" t="b">
        <f t="shared" ref="Y434:Y466" si="293">IF(F434="Sunon Inc",$AJ$577,IF(F434="Alma - Exterior",$AJ$578,IF(F434="Yabo - Hotelería",$AJ$579,IF(F434="OSJ - Medical",$AJ$580,IF(F434="Seezo - Home",$AJ$581,IF(F434="A&amp;D - Home",$AJ$582,IF(F434="Encore Alfombras Hoteleria Asia",$AJ$583,IF(F434="Zhong Xian - Leds",$AJ$584,IF(F434="Tarkett Europa",$AJ$585,IF(F434="2tec2",$AJ$586,IF(F434="Balsan Europa",$AJ$587,IF(F434="Armstrong Pisos USA",$AJ$588,IF(F434="Tarkett USA",$AJ$589,IF(F434="Tarkett Brasil",$AJ$590,IF(F434="Tarkett MX",$AJ$591,IF(F434="Jome",$AJ$592,IF(F434="Offiho",$AJ$593,IF(F434="Lumbro",$AJ$594,IF(F434="Sunon Mty",$AJ$595,IF(F434="Conceptos Sofas",$AJ$596,IF(F434="Lauco Sofas",$AJ$597,IF(F434="CR Global - Mesas Ajustables",$AJ$598,IF(F434="Vandesk",$AJ$599,IF(F434="Mamparas Tela",$AJ$600,IF(F434="Mampara Cristales",$AJ$601,IF(F434="Herrajes",$AJ$602,IF(F434="MetalWork",$AJ$603,IF(F434="Requiez",$AJ$604,IF(F434="Labenze",$AJ$605,IF(F434="Infinity",$AJ$606,IF(F434="Proveedor Externo",$AJ$607)))))))))))))))))))))))))))))))</f>
        <v>0</v>
      </c>
      <c r="Z434" s="43">
        <v>0</v>
      </c>
      <c r="AA434" s="1219" t="e">
        <f>W434*Z434</f>
        <v>#N/A</v>
      </c>
      <c r="AB434" s="1219" t="e">
        <f>IF(Z434&gt;Y434,"ERROR",(W434-AA434))</f>
        <v>#N/A</v>
      </c>
      <c r="AC434" s="1219" t="e">
        <f t="shared" ref="AC434:AC466" si="294">AB434*H434</f>
        <v>#N/A</v>
      </c>
      <c r="AD434" s="1126" t="e">
        <f>IF(A435=TRUE,MAX(0,1-(AE434/W434)),"NA")</f>
        <v>#N/A</v>
      </c>
      <c r="AE434" s="1217" t="e">
        <f t="shared" ref="AE434:AE466" si="295">IF(A433=FALSE,"NO APLICA",AB434*1.2)</f>
        <v>#N/A</v>
      </c>
      <c r="AF434" s="1220" t="e">
        <f t="shared" ref="AF434:AF466" si="296">AE434*H434</f>
        <v>#N/A</v>
      </c>
      <c r="AG434" s="1176" t="e">
        <f t="shared" ref="AG434:AG466" si="297">(AC434-N434)/AC434</f>
        <v>#N/A</v>
      </c>
      <c r="AH434" s="1221" t="e">
        <f>IF(AG434&lt;30%,"ERROR","OK")</f>
        <v>#N/A</v>
      </c>
    </row>
    <row r="435" spans="1:34" ht="15.5">
      <c r="A435" s="1216" t="b">
        <f t="shared" si="285"/>
        <v>1</v>
      </c>
      <c r="B435" s="1217" t="b">
        <f t="shared" ref="B435:B466" si="298">A435</f>
        <v>1</v>
      </c>
      <c r="C435" s="1218" t="str">
        <f t="shared" ref="C435:C466" si="299">$C$13</f>
        <v>Dólares</v>
      </c>
      <c r="D435" s="46"/>
      <c r="E435" s="836"/>
      <c r="F435" s="50"/>
      <c r="G435" s="50" t="str">
        <f t="shared" si="286"/>
        <v xml:space="preserve"> </v>
      </c>
      <c r="H435" s="45">
        <v>0</v>
      </c>
      <c r="I435" s="49" t="str">
        <f>IFERROR(VLOOKUP(G435,Proveedores!B:C,2,0)," ")</f>
        <v xml:space="preserve"> </v>
      </c>
      <c r="J435" s="838">
        <v>0</v>
      </c>
      <c r="K435" s="1124"/>
      <c r="L435" s="1266">
        <f t="shared" si="287"/>
        <v>0</v>
      </c>
      <c r="M435" s="1267">
        <f t="shared" si="288"/>
        <v>0</v>
      </c>
      <c r="N435" s="1268">
        <f>M435*H435</f>
        <v>0</v>
      </c>
      <c r="O435" s="836" t="str">
        <f>IFERROR(VLOOKUP(G435,Proveedores!B:D,3,0)," ")</f>
        <v xml:space="preserve"> </v>
      </c>
      <c r="P435" s="836"/>
      <c r="Q435" s="1127" t="e">
        <f t="shared" si="289"/>
        <v>#N/A</v>
      </c>
      <c r="R435" s="1127" t="b">
        <f t="shared" ref="R435:R466" si="300">IF(P435="Centro",Q435,IF(P435="Norte",Q435*1.6,IF(P435="Occidente",Q435*1.2,IF(P435="Sur",Q435*2))))</f>
        <v>0</v>
      </c>
      <c r="S435" s="1127" t="e">
        <f t="shared" si="290"/>
        <v>#N/A</v>
      </c>
      <c r="T435" s="1127" t="b">
        <f t="shared" ref="T435:T466" si="301">IF(P435="Centro",S435,IF(P435="Norte",S435*1.1,IF(P435="Occidente",S435*1.1,IF(P435="Sur",S435*1.1))))</f>
        <v>0</v>
      </c>
      <c r="U435" s="1127" t="e">
        <f t="shared" si="291"/>
        <v>#N/A</v>
      </c>
      <c r="V435" s="1127" t="e">
        <f t="shared" ref="V435:V466" si="302">IF(K435=0,U435/$H$573,U435*(K435/L435))*H435</f>
        <v>#N/A</v>
      </c>
      <c r="W435" s="1127" t="e">
        <f>IF(F435="Offiho",J435,IF(_xlfn.XLOOKUP(F435,Proveedores!A$2:A$50,Proveedores!E$2:E$50,"")="Nacional",(J435/0.5)+(V435*H435),((J435/0.3/0.5)+(V435*H435))))</f>
        <v>#N/A</v>
      </c>
      <c r="X435" s="1127" t="e">
        <f t="shared" si="292"/>
        <v>#N/A</v>
      </c>
      <c r="Y435" s="1126" t="b">
        <f t="shared" si="293"/>
        <v>0</v>
      </c>
      <c r="Z435" s="43">
        <v>0</v>
      </c>
      <c r="AA435" s="1219" t="e">
        <f t="shared" ref="AA435:AA466" si="303">W435*Z435</f>
        <v>#N/A</v>
      </c>
      <c r="AB435" s="1219" t="e">
        <f t="shared" ref="AB435:AB466" si="304">IF(Z435&gt;Y435,"ERROR",(W435-AA435))</f>
        <v>#N/A</v>
      </c>
      <c r="AC435" s="1219" t="e">
        <f t="shared" si="294"/>
        <v>#N/A</v>
      </c>
      <c r="AD435" s="1126" t="e">
        <f t="shared" ref="AD435:AD466" si="305">IF(A436=TRUE,MAX(0,1-(AE435/W435)),"NA")</f>
        <v>#N/A</v>
      </c>
      <c r="AE435" s="1217" t="e">
        <f t="shared" si="295"/>
        <v>#N/A</v>
      </c>
      <c r="AF435" s="1220" t="e">
        <f t="shared" si="296"/>
        <v>#N/A</v>
      </c>
      <c r="AG435" s="1176" t="e">
        <f t="shared" si="297"/>
        <v>#N/A</v>
      </c>
      <c r="AH435" s="1221" t="e">
        <f t="shared" ref="AH435:AH466" si="306">IF(AG435&lt;30%,"ERROR","OK")</f>
        <v>#N/A</v>
      </c>
    </row>
    <row r="436" spans="1:34" ht="15.5">
      <c r="A436" s="1216" t="b">
        <f t="shared" si="285"/>
        <v>1</v>
      </c>
      <c r="B436" s="1217" t="b">
        <f t="shared" si="298"/>
        <v>1</v>
      </c>
      <c r="C436" s="1218" t="str">
        <f t="shared" si="299"/>
        <v>Dólares</v>
      </c>
      <c r="D436" s="46"/>
      <c r="E436" s="836"/>
      <c r="F436" s="50"/>
      <c r="G436" s="50" t="str">
        <f t="shared" si="286"/>
        <v xml:space="preserve"> </v>
      </c>
      <c r="H436" s="45">
        <v>0</v>
      </c>
      <c r="I436" s="49" t="str">
        <f>IFERROR(VLOOKUP(G436,Proveedores!B:C,2,0)," ")</f>
        <v xml:space="preserve"> </v>
      </c>
      <c r="J436" s="838">
        <v>0</v>
      </c>
      <c r="K436" s="1124"/>
      <c r="L436" s="1266">
        <f t="shared" si="287"/>
        <v>0</v>
      </c>
      <c r="M436" s="1267">
        <f t="shared" si="288"/>
        <v>0</v>
      </c>
      <c r="N436" s="1268">
        <f>(M436*H436)</f>
        <v>0</v>
      </c>
      <c r="O436" s="836" t="str">
        <f>IFERROR(VLOOKUP(G436,Proveedores!B:D,3,0)," ")</f>
        <v xml:space="preserve"> </v>
      </c>
      <c r="P436" s="836"/>
      <c r="Q436" s="1127" t="e">
        <f t="shared" si="289"/>
        <v>#N/A</v>
      </c>
      <c r="R436" s="1127" t="b">
        <f t="shared" si="300"/>
        <v>0</v>
      </c>
      <c r="S436" s="1127" t="e">
        <f t="shared" si="290"/>
        <v>#N/A</v>
      </c>
      <c r="T436" s="1127" t="b">
        <f t="shared" si="301"/>
        <v>0</v>
      </c>
      <c r="U436" s="1127" t="e">
        <f t="shared" si="291"/>
        <v>#N/A</v>
      </c>
      <c r="V436" s="1127" t="e">
        <f t="shared" si="302"/>
        <v>#N/A</v>
      </c>
      <c r="W436" s="1127" t="e">
        <f>IF(F436="Offiho",J436,IF(_xlfn.XLOOKUP(F436,Proveedores!A$2:A$50,Proveedores!E$2:E$50,"")="Nacional",(J436/0.5)+(V436*H436),((J436/0.3/0.5)+(V436*H436))))</f>
        <v>#N/A</v>
      </c>
      <c r="X436" s="1127" t="e">
        <f t="shared" si="292"/>
        <v>#N/A</v>
      </c>
      <c r="Y436" s="1126" t="b">
        <f t="shared" si="293"/>
        <v>0</v>
      </c>
      <c r="Z436" s="43">
        <v>0</v>
      </c>
      <c r="AA436" s="1219" t="e">
        <f t="shared" si="303"/>
        <v>#N/A</v>
      </c>
      <c r="AB436" s="1219" t="e">
        <f t="shared" si="304"/>
        <v>#N/A</v>
      </c>
      <c r="AC436" s="1219" t="e">
        <f t="shared" si="294"/>
        <v>#N/A</v>
      </c>
      <c r="AD436" s="1126" t="e">
        <f t="shared" si="305"/>
        <v>#N/A</v>
      </c>
      <c r="AE436" s="1217" t="e">
        <f t="shared" si="295"/>
        <v>#N/A</v>
      </c>
      <c r="AF436" s="1220" t="e">
        <f t="shared" si="296"/>
        <v>#N/A</v>
      </c>
      <c r="AG436" s="1176" t="e">
        <f t="shared" si="297"/>
        <v>#N/A</v>
      </c>
      <c r="AH436" s="1221" t="e">
        <f t="shared" si="306"/>
        <v>#N/A</v>
      </c>
    </row>
    <row r="437" spans="1:34" ht="15.5">
      <c r="A437" s="1216" t="b">
        <f t="shared" si="285"/>
        <v>1</v>
      </c>
      <c r="B437" s="1217" t="b">
        <f t="shared" si="298"/>
        <v>1</v>
      </c>
      <c r="C437" s="1218" t="str">
        <f t="shared" si="299"/>
        <v>Dólares</v>
      </c>
      <c r="D437" s="46"/>
      <c r="E437" s="836"/>
      <c r="F437" s="50"/>
      <c r="G437" s="50" t="str">
        <f t="shared" si="286"/>
        <v xml:space="preserve"> </v>
      </c>
      <c r="H437" s="45">
        <v>0</v>
      </c>
      <c r="I437" s="49" t="str">
        <f>IFERROR(VLOOKUP(G437,Proveedores!B:C,2,0)," ")</f>
        <v xml:space="preserve"> </v>
      </c>
      <c r="J437" s="838">
        <v>0</v>
      </c>
      <c r="K437" s="1124"/>
      <c r="L437" s="1266">
        <f t="shared" si="287"/>
        <v>0</v>
      </c>
      <c r="M437" s="1267">
        <f t="shared" si="288"/>
        <v>0</v>
      </c>
      <c r="N437" s="1268">
        <f t="shared" ref="N437:N466" si="307">M437*H437</f>
        <v>0</v>
      </c>
      <c r="O437" s="836" t="str">
        <f>IFERROR(VLOOKUP(G437,Proveedores!B:D,3,0)," ")</f>
        <v xml:space="preserve"> </v>
      </c>
      <c r="P437" s="836"/>
      <c r="Q437" s="1127" t="e">
        <f t="shared" si="289"/>
        <v>#N/A</v>
      </c>
      <c r="R437" s="1127" t="b">
        <f t="shared" si="300"/>
        <v>0</v>
      </c>
      <c r="S437" s="1127" t="e">
        <f t="shared" si="290"/>
        <v>#N/A</v>
      </c>
      <c r="T437" s="1127" t="b">
        <f t="shared" si="301"/>
        <v>0</v>
      </c>
      <c r="U437" s="1127" t="e">
        <f t="shared" si="291"/>
        <v>#N/A</v>
      </c>
      <c r="V437" s="1127" t="e">
        <f t="shared" si="302"/>
        <v>#N/A</v>
      </c>
      <c r="W437" s="1127" t="e">
        <f>IF(F437="Offiho",J437,IF(_xlfn.XLOOKUP(F437,Proveedores!A$2:A$50,Proveedores!E$2:E$50,"")="Nacional",(J437/0.5)+(V437*H437),((J437/0.3/0.5)+(V437*H437))))</f>
        <v>#N/A</v>
      </c>
      <c r="X437" s="1127" t="e">
        <f t="shared" si="292"/>
        <v>#N/A</v>
      </c>
      <c r="Y437" s="1126" t="b">
        <f t="shared" si="293"/>
        <v>0</v>
      </c>
      <c r="Z437" s="43">
        <v>0</v>
      </c>
      <c r="AA437" s="1219" t="e">
        <f t="shared" si="303"/>
        <v>#N/A</v>
      </c>
      <c r="AB437" s="1219" t="e">
        <f t="shared" si="304"/>
        <v>#N/A</v>
      </c>
      <c r="AC437" s="1219" t="e">
        <f t="shared" si="294"/>
        <v>#N/A</v>
      </c>
      <c r="AD437" s="1126" t="e">
        <f t="shared" si="305"/>
        <v>#N/A</v>
      </c>
      <c r="AE437" s="1217" t="e">
        <f t="shared" si="295"/>
        <v>#N/A</v>
      </c>
      <c r="AF437" s="1220" t="e">
        <f t="shared" si="296"/>
        <v>#N/A</v>
      </c>
      <c r="AG437" s="1176" t="e">
        <f t="shared" si="297"/>
        <v>#N/A</v>
      </c>
      <c r="AH437" s="1221" t="e">
        <f t="shared" si="306"/>
        <v>#N/A</v>
      </c>
    </row>
    <row r="438" spans="1:34" ht="15.5">
      <c r="A438" s="1216" t="b">
        <f t="shared" si="285"/>
        <v>1</v>
      </c>
      <c r="B438" s="1217" t="b">
        <f t="shared" si="298"/>
        <v>1</v>
      </c>
      <c r="C438" s="1218" t="str">
        <f t="shared" si="299"/>
        <v>Dólares</v>
      </c>
      <c r="D438" s="46"/>
      <c r="E438" s="836"/>
      <c r="F438" s="50"/>
      <c r="G438" s="50" t="str">
        <f t="shared" si="286"/>
        <v xml:space="preserve"> </v>
      </c>
      <c r="H438" s="45">
        <v>0</v>
      </c>
      <c r="I438" s="49" t="str">
        <f>IFERROR(VLOOKUP(G438,Proveedores!B:C,2,0)," ")</f>
        <v xml:space="preserve"> </v>
      </c>
      <c r="J438" s="838">
        <v>0</v>
      </c>
      <c r="K438" s="1124"/>
      <c r="L438" s="1266">
        <f t="shared" si="287"/>
        <v>0</v>
      </c>
      <c r="M438" s="1267">
        <f t="shared" si="288"/>
        <v>0</v>
      </c>
      <c r="N438" s="1268">
        <f t="shared" si="307"/>
        <v>0</v>
      </c>
      <c r="O438" s="836" t="str">
        <f>IFERROR(VLOOKUP(G438,Proveedores!B:D,3,0)," ")</f>
        <v xml:space="preserve"> </v>
      </c>
      <c r="P438" s="836"/>
      <c r="Q438" s="1127" t="e">
        <f t="shared" si="289"/>
        <v>#N/A</v>
      </c>
      <c r="R438" s="1127" t="b">
        <f t="shared" si="300"/>
        <v>0</v>
      </c>
      <c r="S438" s="1127" t="e">
        <f t="shared" si="290"/>
        <v>#N/A</v>
      </c>
      <c r="T438" s="1127" t="b">
        <f t="shared" si="301"/>
        <v>0</v>
      </c>
      <c r="U438" s="1127" t="e">
        <f t="shared" si="291"/>
        <v>#N/A</v>
      </c>
      <c r="V438" s="1127" t="e">
        <f t="shared" si="302"/>
        <v>#N/A</v>
      </c>
      <c r="W438" s="1127" t="e">
        <f>IF(F438="Offiho",J438,IF(_xlfn.XLOOKUP(F438,Proveedores!A$2:A$50,Proveedores!E$2:E$50,"")="Nacional",(J438/0.5)+(V438*H438),((J438/0.3/0.5)+(V438*H438))))</f>
        <v>#N/A</v>
      </c>
      <c r="X438" s="1127" t="e">
        <f t="shared" si="292"/>
        <v>#N/A</v>
      </c>
      <c r="Y438" s="1126" t="b">
        <f t="shared" si="293"/>
        <v>0</v>
      </c>
      <c r="Z438" s="43">
        <v>0</v>
      </c>
      <c r="AA438" s="1219" t="e">
        <f t="shared" si="303"/>
        <v>#N/A</v>
      </c>
      <c r="AB438" s="1219" t="e">
        <f t="shared" si="304"/>
        <v>#N/A</v>
      </c>
      <c r="AC438" s="1219" t="e">
        <f t="shared" si="294"/>
        <v>#N/A</v>
      </c>
      <c r="AD438" s="1126" t="e">
        <f t="shared" si="305"/>
        <v>#N/A</v>
      </c>
      <c r="AE438" s="1217" t="e">
        <f t="shared" si="295"/>
        <v>#N/A</v>
      </c>
      <c r="AF438" s="1220" t="e">
        <f t="shared" si="296"/>
        <v>#N/A</v>
      </c>
      <c r="AG438" s="1176" t="e">
        <f t="shared" si="297"/>
        <v>#N/A</v>
      </c>
      <c r="AH438" s="1221" t="e">
        <f t="shared" si="306"/>
        <v>#N/A</v>
      </c>
    </row>
    <row r="439" spans="1:34" ht="15.5">
      <c r="A439" s="1216" t="b">
        <f t="shared" si="285"/>
        <v>1</v>
      </c>
      <c r="B439" s="1217" t="b">
        <f t="shared" si="298"/>
        <v>1</v>
      </c>
      <c r="C439" s="1218" t="str">
        <f t="shared" si="299"/>
        <v>Dólares</v>
      </c>
      <c r="D439" s="46"/>
      <c r="E439" s="836"/>
      <c r="F439" s="50"/>
      <c r="G439" s="50" t="str">
        <f t="shared" si="286"/>
        <v xml:space="preserve"> </v>
      </c>
      <c r="H439" s="45">
        <v>0</v>
      </c>
      <c r="I439" s="49" t="str">
        <f>IFERROR(VLOOKUP(G439,Proveedores!B:C,2,0)," ")</f>
        <v xml:space="preserve"> </v>
      </c>
      <c r="J439" s="838">
        <v>0</v>
      </c>
      <c r="K439" s="1124"/>
      <c r="L439" s="1266">
        <f t="shared" si="287"/>
        <v>0</v>
      </c>
      <c r="M439" s="1267">
        <f t="shared" si="288"/>
        <v>0</v>
      </c>
      <c r="N439" s="1268">
        <f t="shared" si="307"/>
        <v>0</v>
      </c>
      <c r="O439" s="836" t="str">
        <f>IFERROR(VLOOKUP(G439,Proveedores!B:D,3,0)," ")</f>
        <v xml:space="preserve"> </v>
      </c>
      <c r="P439" s="836"/>
      <c r="Q439" s="1127" t="e">
        <f t="shared" si="289"/>
        <v>#N/A</v>
      </c>
      <c r="R439" s="1127" t="b">
        <f t="shared" si="300"/>
        <v>0</v>
      </c>
      <c r="S439" s="1127" t="e">
        <f t="shared" si="290"/>
        <v>#N/A</v>
      </c>
      <c r="T439" s="1127" t="b">
        <f t="shared" si="301"/>
        <v>0</v>
      </c>
      <c r="U439" s="1127" t="e">
        <f t="shared" si="291"/>
        <v>#N/A</v>
      </c>
      <c r="V439" s="1127" t="e">
        <f t="shared" si="302"/>
        <v>#N/A</v>
      </c>
      <c r="W439" s="1127" t="e">
        <f>IF(F439="Offiho",J439,IF(_xlfn.XLOOKUP(F439,Proveedores!A$2:A$50,Proveedores!E$2:E$50,"")="Nacional",(J439/0.5)+(V439*H439),((J439/0.3/0.5)+(V439*H439))))</f>
        <v>#N/A</v>
      </c>
      <c r="X439" s="1127" t="e">
        <f t="shared" si="292"/>
        <v>#N/A</v>
      </c>
      <c r="Y439" s="1126" t="b">
        <f t="shared" si="293"/>
        <v>0</v>
      </c>
      <c r="Z439" s="43">
        <v>0</v>
      </c>
      <c r="AA439" s="1219" t="e">
        <f t="shared" si="303"/>
        <v>#N/A</v>
      </c>
      <c r="AB439" s="1219" t="e">
        <f t="shared" si="304"/>
        <v>#N/A</v>
      </c>
      <c r="AC439" s="1219" t="e">
        <f t="shared" si="294"/>
        <v>#N/A</v>
      </c>
      <c r="AD439" s="1126" t="e">
        <f t="shared" si="305"/>
        <v>#N/A</v>
      </c>
      <c r="AE439" s="1217" t="e">
        <f t="shared" si="295"/>
        <v>#N/A</v>
      </c>
      <c r="AF439" s="1220" t="e">
        <f t="shared" si="296"/>
        <v>#N/A</v>
      </c>
      <c r="AG439" s="1176" t="e">
        <f t="shared" si="297"/>
        <v>#N/A</v>
      </c>
      <c r="AH439" s="1221" t="e">
        <f t="shared" si="306"/>
        <v>#N/A</v>
      </c>
    </row>
    <row r="440" spans="1:34" ht="15.5">
      <c r="A440" s="1216" t="b">
        <f t="shared" si="285"/>
        <v>1</v>
      </c>
      <c r="B440" s="1217" t="b">
        <f t="shared" si="298"/>
        <v>1</v>
      </c>
      <c r="C440" s="1218" t="str">
        <f t="shared" si="299"/>
        <v>Dólares</v>
      </c>
      <c r="D440" s="44"/>
      <c r="E440" s="836"/>
      <c r="F440" s="50"/>
      <c r="G440" s="50" t="str">
        <f t="shared" si="286"/>
        <v xml:space="preserve"> </v>
      </c>
      <c r="H440" s="45">
        <v>0</v>
      </c>
      <c r="I440" s="49" t="str">
        <f>IFERROR(VLOOKUP(G440,Proveedores!B:C,2,0)," ")</f>
        <v xml:space="preserve"> </v>
      </c>
      <c r="J440" s="838">
        <v>0</v>
      </c>
      <c r="K440" s="1124"/>
      <c r="L440" s="1266">
        <f t="shared" si="287"/>
        <v>0</v>
      </c>
      <c r="M440" s="1267">
        <f t="shared" si="288"/>
        <v>0</v>
      </c>
      <c r="N440" s="1268">
        <f t="shared" si="307"/>
        <v>0</v>
      </c>
      <c r="O440" s="836" t="str">
        <f>IFERROR(VLOOKUP(G440,Proveedores!B:D,3,0)," ")</f>
        <v xml:space="preserve"> </v>
      </c>
      <c r="P440" s="836"/>
      <c r="Q440" s="1127" t="e">
        <f t="shared" si="289"/>
        <v>#N/A</v>
      </c>
      <c r="R440" s="1127" t="b">
        <f t="shared" si="300"/>
        <v>0</v>
      </c>
      <c r="S440" s="1127" t="e">
        <f t="shared" si="290"/>
        <v>#N/A</v>
      </c>
      <c r="T440" s="1127" t="b">
        <f t="shared" si="301"/>
        <v>0</v>
      </c>
      <c r="U440" s="1127" t="e">
        <f t="shared" si="291"/>
        <v>#N/A</v>
      </c>
      <c r="V440" s="1127" t="e">
        <f t="shared" si="302"/>
        <v>#N/A</v>
      </c>
      <c r="W440" s="1127" t="e">
        <f>IF(F440="Offiho",J440,IF(_xlfn.XLOOKUP(F440,Proveedores!A$2:A$50,Proveedores!E$2:E$50,"")="Nacional",(J440/0.5)+(V440*H440),((J440/0.3/0.5)+(V440*H440))))</f>
        <v>#N/A</v>
      </c>
      <c r="X440" s="1127" t="e">
        <f t="shared" si="292"/>
        <v>#N/A</v>
      </c>
      <c r="Y440" s="1126" t="b">
        <f t="shared" si="293"/>
        <v>0</v>
      </c>
      <c r="Z440" s="43">
        <v>0</v>
      </c>
      <c r="AA440" s="1219" t="e">
        <f t="shared" si="303"/>
        <v>#N/A</v>
      </c>
      <c r="AB440" s="1219" t="e">
        <f t="shared" si="304"/>
        <v>#N/A</v>
      </c>
      <c r="AC440" s="1219" t="e">
        <f t="shared" si="294"/>
        <v>#N/A</v>
      </c>
      <c r="AD440" s="1126" t="e">
        <f t="shared" si="305"/>
        <v>#N/A</v>
      </c>
      <c r="AE440" s="1217" t="e">
        <f t="shared" si="295"/>
        <v>#N/A</v>
      </c>
      <c r="AF440" s="1220" t="e">
        <f t="shared" si="296"/>
        <v>#N/A</v>
      </c>
      <c r="AG440" s="1176" t="e">
        <f t="shared" si="297"/>
        <v>#N/A</v>
      </c>
      <c r="AH440" s="1221" t="e">
        <f t="shared" si="306"/>
        <v>#N/A</v>
      </c>
    </row>
    <row r="441" spans="1:34" ht="15.5">
      <c r="A441" s="1216" t="b">
        <f t="shared" si="285"/>
        <v>1</v>
      </c>
      <c r="B441" s="1217" t="b">
        <f t="shared" si="298"/>
        <v>1</v>
      </c>
      <c r="C441" s="1218" t="str">
        <f t="shared" si="299"/>
        <v>Dólares</v>
      </c>
      <c r="D441" s="44"/>
      <c r="E441" s="836"/>
      <c r="F441" s="50"/>
      <c r="G441" s="50" t="str">
        <f t="shared" si="286"/>
        <v xml:space="preserve"> </v>
      </c>
      <c r="H441" s="45">
        <v>0</v>
      </c>
      <c r="I441" s="49" t="str">
        <f>IFERROR(VLOOKUP(G441,Proveedores!B:C,2,0)," ")</f>
        <v xml:space="preserve"> </v>
      </c>
      <c r="J441" s="838">
        <v>0</v>
      </c>
      <c r="K441" s="1124"/>
      <c r="L441" s="1266">
        <f t="shared" si="287"/>
        <v>0</v>
      </c>
      <c r="M441" s="1267">
        <f t="shared" si="288"/>
        <v>0</v>
      </c>
      <c r="N441" s="1268">
        <f t="shared" si="307"/>
        <v>0</v>
      </c>
      <c r="O441" s="836" t="str">
        <f>IFERROR(VLOOKUP(G441,Proveedores!B:D,3,0)," ")</f>
        <v xml:space="preserve"> </v>
      </c>
      <c r="P441" s="836"/>
      <c r="Q441" s="1127" t="e">
        <f t="shared" si="289"/>
        <v>#N/A</v>
      </c>
      <c r="R441" s="1127" t="b">
        <f t="shared" si="300"/>
        <v>0</v>
      </c>
      <c r="S441" s="1127" t="e">
        <f t="shared" si="290"/>
        <v>#N/A</v>
      </c>
      <c r="T441" s="1127" t="b">
        <f t="shared" si="301"/>
        <v>0</v>
      </c>
      <c r="U441" s="1127" t="e">
        <f t="shared" si="291"/>
        <v>#N/A</v>
      </c>
      <c r="V441" s="1127" t="e">
        <f t="shared" si="302"/>
        <v>#N/A</v>
      </c>
      <c r="W441" s="1127" t="e">
        <f>IF(F441="Offiho",J441,IF(_xlfn.XLOOKUP(F441,Proveedores!A$2:A$50,Proveedores!E$2:E$50,"")="Nacional",(J441/0.5)+(V441*H441),((J441/0.3/0.5)+(V441*H441))))</f>
        <v>#N/A</v>
      </c>
      <c r="X441" s="1127" t="e">
        <f t="shared" si="292"/>
        <v>#N/A</v>
      </c>
      <c r="Y441" s="1126" t="b">
        <f t="shared" si="293"/>
        <v>0</v>
      </c>
      <c r="Z441" s="43">
        <v>0</v>
      </c>
      <c r="AA441" s="1219" t="e">
        <f t="shared" si="303"/>
        <v>#N/A</v>
      </c>
      <c r="AB441" s="1219" t="e">
        <f t="shared" si="304"/>
        <v>#N/A</v>
      </c>
      <c r="AC441" s="1219" t="e">
        <f t="shared" si="294"/>
        <v>#N/A</v>
      </c>
      <c r="AD441" s="1126" t="e">
        <f t="shared" si="305"/>
        <v>#N/A</v>
      </c>
      <c r="AE441" s="1217" t="e">
        <f t="shared" si="295"/>
        <v>#N/A</v>
      </c>
      <c r="AF441" s="1220" t="e">
        <f t="shared" si="296"/>
        <v>#N/A</v>
      </c>
      <c r="AG441" s="1176" t="e">
        <f t="shared" si="297"/>
        <v>#N/A</v>
      </c>
      <c r="AH441" s="1221" t="e">
        <f t="shared" si="306"/>
        <v>#N/A</v>
      </c>
    </row>
    <row r="442" spans="1:34" ht="15.5">
      <c r="A442" s="1216" t="b">
        <f t="shared" si="285"/>
        <v>1</v>
      </c>
      <c r="B442" s="1217" t="b">
        <f t="shared" si="298"/>
        <v>1</v>
      </c>
      <c r="C442" s="1218" t="str">
        <f t="shared" si="299"/>
        <v>Dólares</v>
      </c>
      <c r="D442" s="44"/>
      <c r="E442" s="836"/>
      <c r="F442" s="50"/>
      <c r="G442" s="50" t="str">
        <f t="shared" si="286"/>
        <v xml:space="preserve"> </v>
      </c>
      <c r="H442" s="45">
        <v>0</v>
      </c>
      <c r="I442" s="49" t="str">
        <f>IFERROR(VLOOKUP(G442,Proveedores!B:C,2,0)," ")</f>
        <v xml:space="preserve"> </v>
      </c>
      <c r="J442" s="838">
        <v>0</v>
      </c>
      <c r="K442" s="1124"/>
      <c r="L442" s="1266">
        <f t="shared" si="287"/>
        <v>0</v>
      </c>
      <c r="M442" s="1267">
        <f t="shared" si="288"/>
        <v>0</v>
      </c>
      <c r="N442" s="1268">
        <f t="shared" si="307"/>
        <v>0</v>
      </c>
      <c r="O442" s="836" t="str">
        <f>IFERROR(VLOOKUP(G442,Proveedores!B:D,3,0)," ")</f>
        <v xml:space="preserve"> </v>
      </c>
      <c r="P442" s="836"/>
      <c r="Q442" s="1127" t="e">
        <f t="shared" si="289"/>
        <v>#N/A</v>
      </c>
      <c r="R442" s="1127" t="b">
        <f t="shared" si="300"/>
        <v>0</v>
      </c>
      <c r="S442" s="1127" t="e">
        <f t="shared" si="290"/>
        <v>#N/A</v>
      </c>
      <c r="T442" s="1127" t="b">
        <f t="shared" si="301"/>
        <v>0</v>
      </c>
      <c r="U442" s="1127" t="e">
        <f t="shared" si="291"/>
        <v>#N/A</v>
      </c>
      <c r="V442" s="1127" t="e">
        <f t="shared" si="302"/>
        <v>#N/A</v>
      </c>
      <c r="W442" s="1127" t="e">
        <f>IF(F442="Offiho",J442,IF(_xlfn.XLOOKUP(F442,Proveedores!A$2:A$50,Proveedores!E$2:E$50,"")="Nacional",(J442/0.5)+(V442*H442),((J442/0.3/0.5)+(V442*H442))))</f>
        <v>#N/A</v>
      </c>
      <c r="X442" s="1127" t="e">
        <f t="shared" si="292"/>
        <v>#N/A</v>
      </c>
      <c r="Y442" s="1126" t="b">
        <f t="shared" si="293"/>
        <v>0</v>
      </c>
      <c r="Z442" s="43">
        <v>0</v>
      </c>
      <c r="AA442" s="1219" t="e">
        <f t="shared" si="303"/>
        <v>#N/A</v>
      </c>
      <c r="AB442" s="1219" t="e">
        <f t="shared" si="304"/>
        <v>#N/A</v>
      </c>
      <c r="AC442" s="1219" t="e">
        <f t="shared" si="294"/>
        <v>#N/A</v>
      </c>
      <c r="AD442" s="1126" t="e">
        <f t="shared" si="305"/>
        <v>#N/A</v>
      </c>
      <c r="AE442" s="1217" t="e">
        <f t="shared" si="295"/>
        <v>#N/A</v>
      </c>
      <c r="AF442" s="1220" t="e">
        <f t="shared" si="296"/>
        <v>#N/A</v>
      </c>
      <c r="AG442" s="1176" t="e">
        <f t="shared" si="297"/>
        <v>#N/A</v>
      </c>
      <c r="AH442" s="1221" t="e">
        <f t="shared" si="306"/>
        <v>#N/A</v>
      </c>
    </row>
    <row r="443" spans="1:34" ht="15.5">
      <c r="A443" s="1216" t="b">
        <f t="shared" si="285"/>
        <v>1</v>
      </c>
      <c r="B443" s="1217" t="b">
        <f t="shared" si="298"/>
        <v>1</v>
      </c>
      <c r="C443" s="1218" t="str">
        <f t="shared" si="299"/>
        <v>Dólares</v>
      </c>
      <c r="D443" s="44"/>
      <c r="E443" s="836"/>
      <c r="F443" s="50"/>
      <c r="G443" s="50" t="str">
        <f t="shared" si="286"/>
        <v xml:space="preserve"> </v>
      </c>
      <c r="H443" s="45">
        <v>0</v>
      </c>
      <c r="I443" s="49" t="str">
        <f>IFERROR(VLOOKUP(G443,Proveedores!B:C,2,0)," ")</f>
        <v xml:space="preserve"> </v>
      </c>
      <c r="J443" s="838">
        <v>0</v>
      </c>
      <c r="K443" s="1124"/>
      <c r="L443" s="1266">
        <f t="shared" si="287"/>
        <v>0</v>
      </c>
      <c r="M443" s="1267">
        <f t="shared" si="288"/>
        <v>0</v>
      </c>
      <c r="N443" s="1268">
        <f t="shared" si="307"/>
        <v>0</v>
      </c>
      <c r="O443" s="836" t="str">
        <f>IFERROR(VLOOKUP(G443,Proveedores!B:D,3,0)," ")</f>
        <v xml:space="preserve"> </v>
      </c>
      <c r="P443" s="836"/>
      <c r="Q443" s="1127" t="e">
        <f t="shared" si="289"/>
        <v>#N/A</v>
      </c>
      <c r="R443" s="1127" t="b">
        <f t="shared" si="300"/>
        <v>0</v>
      </c>
      <c r="S443" s="1127" t="e">
        <f t="shared" si="290"/>
        <v>#N/A</v>
      </c>
      <c r="T443" s="1127" t="b">
        <f t="shared" si="301"/>
        <v>0</v>
      </c>
      <c r="U443" s="1127" t="e">
        <f t="shared" si="291"/>
        <v>#N/A</v>
      </c>
      <c r="V443" s="1127" t="e">
        <f t="shared" si="302"/>
        <v>#N/A</v>
      </c>
      <c r="W443" s="1127" t="e">
        <f>IF(F443="Offiho",J443,IF(_xlfn.XLOOKUP(F443,Proveedores!A$2:A$50,Proveedores!E$2:E$50,"")="Nacional",(J443/0.5)+(V443*H443),((J443/0.3/0.5)+(V443*H443))))</f>
        <v>#N/A</v>
      </c>
      <c r="X443" s="1127" t="e">
        <f t="shared" si="292"/>
        <v>#N/A</v>
      </c>
      <c r="Y443" s="1126" t="b">
        <f t="shared" si="293"/>
        <v>0</v>
      </c>
      <c r="Z443" s="43">
        <v>0</v>
      </c>
      <c r="AA443" s="1219" t="e">
        <f t="shared" si="303"/>
        <v>#N/A</v>
      </c>
      <c r="AB443" s="1219" t="e">
        <f t="shared" si="304"/>
        <v>#N/A</v>
      </c>
      <c r="AC443" s="1219" t="e">
        <f t="shared" si="294"/>
        <v>#N/A</v>
      </c>
      <c r="AD443" s="1126" t="e">
        <f t="shared" si="305"/>
        <v>#N/A</v>
      </c>
      <c r="AE443" s="1217" t="e">
        <f t="shared" si="295"/>
        <v>#N/A</v>
      </c>
      <c r="AF443" s="1220" t="e">
        <f t="shared" si="296"/>
        <v>#N/A</v>
      </c>
      <c r="AG443" s="1176" t="e">
        <f t="shared" si="297"/>
        <v>#N/A</v>
      </c>
      <c r="AH443" s="1221" t="e">
        <f t="shared" si="306"/>
        <v>#N/A</v>
      </c>
    </row>
    <row r="444" spans="1:34" ht="15.5">
      <c r="A444" s="1216" t="b">
        <f t="shared" si="285"/>
        <v>1</v>
      </c>
      <c r="B444" s="1217" t="b">
        <f t="shared" si="298"/>
        <v>1</v>
      </c>
      <c r="C444" s="1218" t="str">
        <f t="shared" si="299"/>
        <v>Dólares</v>
      </c>
      <c r="D444" s="46"/>
      <c r="E444" s="836"/>
      <c r="F444" s="50"/>
      <c r="G444" s="50" t="str">
        <f t="shared" si="286"/>
        <v xml:space="preserve"> </v>
      </c>
      <c r="H444" s="45">
        <v>0</v>
      </c>
      <c r="I444" s="49" t="str">
        <f>IFERROR(VLOOKUP(G444,Proveedores!B:C,2,0)," ")</f>
        <v xml:space="preserve"> </v>
      </c>
      <c r="J444" s="838">
        <v>0</v>
      </c>
      <c r="K444" s="1124"/>
      <c r="L444" s="1266">
        <f t="shared" si="287"/>
        <v>0</v>
      </c>
      <c r="M444" s="1267">
        <f t="shared" si="288"/>
        <v>0</v>
      </c>
      <c r="N444" s="1268">
        <f t="shared" si="307"/>
        <v>0</v>
      </c>
      <c r="O444" s="836" t="str">
        <f>IFERROR(VLOOKUP(G444,Proveedores!B:D,3,0)," ")</f>
        <v xml:space="preserve"> </v>
      </c>
      <c r="P444" s="836"/>
      <c r="Q444" s="1127" t="e">
        <f t="shared" si="289"/>
        <v>#N/A</v>
      </c>
      <c r="R444" s="1127" t="b">
        <f t="shared" si="300"/>
        <v>0</v>
      </c>
      <c r="S444" s="1127" t="e">
        <f t="shared" si="290"/>
        <v>#N/A</v>
      </c>
      <c r="T444" s="1127" t="b">
        <f t="shared" si="301"/>
        <v>0</v>
      </c>
      <c r="U444" s="1127" t="e">
        <f t="shared" si="291"/>
        <v>#N/A</v>
      </c>
      <c r="V444" s="1127" t="e">
        <f t="shared" si="302"/>
        <v>#N/A</v>
      </c>
      <c r="W444" s="1127" t="e">
        <f>IF(F444="Offiho",J444,IF(_xlfn.XLOOKUP(F444,Proveedores!A$2:A$50,Proveedores!E$2:E$50,"")="Nacional",(J444/0.5)+(V444*H444),((J444/0.3/0.5)+(V444*H444))))</f>
        <v>#N/A</v>
      </c>
      <c r="X444" s="1127" t="e">
        <f t="shared" si="292"/>
        <v>#N/A</v>
      </c>
      <c r="Y444" s="1126" t="b">
        <f t="shared" si="293"/>
        <v>0</v>
      </c>
      <c r="Z444" s="43">
        <v>0</v>
      </c>
      <c r="AA444" s="1219" t="e">
        <f t="shared" si="303"/>
        <v>#N/A</v>
      </c>
      <c r="AB444" s="1219" t="e">
        <f t="shared" si="304"/>
        <v>#N/A</v>
      </c>
      <c r="AC444" s="1219" t="e">
        <f t="shared" si="294"/>
        <v>#N/A</v>
      </c>
      <c r="AD444" s="1126" t="e">
        <f t="shared" si="305"/>
        <v>#N/A</v>
      </c>
      <c r="AE444" s="1217" t="e">
        <f t="shared" si="295"/>
        <v>#N/A</v>
      </c>
      <c r="AF444" s="1220" t="e">
        <f t="shared" si="296"/>
        <v>#N/A</v>
      </c>
      <c r="AG444" s="1176" t="e">
        <f t="shared" si="297"/>
        <v>#N/A</v>
      </c>
      <c r="AH444" s="1221" t="e">
        <f t="shared" si="306"/>
        <v>#N/A</v>
      </c>
    </row>
    <row r="445" spans="1:34" ht="15.5">
      <c r="A445" s="1216" t="b">
        <f t="shared" si="285"/>
        <v>1</v>
      </c>
      <c r="B445" s="1217" t="b">
        <f t="shared" si="298"/>
        <v>1</v>
      </c>
      <c r="C445" s="1218" t="str">
        <f t="shared" si="299"/>
        <v>Dólares</v>
      </c>
      <c r="D445" s="46"/>
      <c r="E445" s="836"/>
      <c r="F445" s="50"/>
      <c r="G445" s="50" t="str">
        <f t="shared" si="286"/>
        <v xml:space="preserve"> </v>
      </c>
      <c r="H445" s="45">
        <v>0</v>
      </c>
      <c r="I445" s="49" t="str">
        <f>IFERROR(VLOOKUP(G445,Proveedores!B:C,2,0)," ")</f>
        <v xml:space="preserve"> </v>
      </c>
      <c r="J445" s="838">
        <v>0</v>
      </c>
      <c r="K445" s="1124"/>
      <c r="L445" s="1266">
        <f t="shared" si="287"/>
        <v>0</v>
      </c>
      <c r="M445" s="1267">
        <f t="shared" si="288"/>
        <v>0</v>
      </c>
      <c r="N445" s="1268">
        <f t="shared" si="307"/>
        <v>0</v>
      </c>
      <c r="O445" s="836" t="str">
        <f>IFERROR(VLOOKUP(G445,Proveedores!B:D,3,0)," ")</f>
        <v xml:space="preserve"> </v>
      </c>
      <c r="P445" s="836"/>
      <c r="Q445" s="1127" t="e">
        <f t="shared" si="289"/>
        <v>#N/A</v>
      </c>
      <c r="R445" s="1127" t="b">
        <f t="shared" si="300"/>
        <v>0</v>
      </c>
      <c r="S445" s="1127" t="e">
        <f t="shared" si="290"/>
        <v>#N/A</v>
      </c>
      <c r="T445" s="1127" t="b">
        <f t="shared" si="301"/>
        <v>0</v>
      </c>
      <c r="U445" s="1127" t="e">
        <f t="shared" si="291"/>
        <v>#N/A</v>
      </c>
      <c r="V445" s="1127" t="e">
        <f t="shared" si="302"/>
        <v>#N/A</v>
      </c>
      <c r="W445" s="1127" t="e">
        <f>IF(F445="Offiho",J445,IF(_xlfn.XLOOKUP(F445,Proveedores!A$2:A$50,Proveedores!E$2:E$50,"")="Nacional",(J445/0.5)+(V445*H445),((J445/0.3/0.5)+(V445*H445))))</f>
        <v>#N/A</v>
      </c>
      <c r="X445" s="1127" t="e">
        <f t="shared" si="292"/>
        <v>#N/A</v>
      </c>
      <c r="Y445" s="1126" t="b">
        <f t="shared" si="293"/>
        <v>0</v>
      </c>
      <c r="Z445" s="43">
        <v>0</v>
      </c>
      <c r="AA445" s="1219" t="e">
        <f t="shared" si="303"/>
        <v>#N/A</v>
      </c>
      <c r="AB445" s="1219" t="e">
        <f t="shared" si="304"/>
        <v>#N/A</v>
      </c>
      <c r="AC445" s="1219" t="e">
        <f t="shared" si="294"/>
        <v>#N/A</v>
      </c>
      <c r="AD445" s="1126" t="e">
        <f t="shared" si="305"/>
        <v>#N/A</v>
      </c>
      <c r="AE445" s="1217" t="e">
        <f t="shared" si="295"/>
        <v>#N/A</v>
      </c>
      <c r="AF445" s="1220" t="e">
        <f t="shared" si="296"/>
        <v>#N/A</v>
      </c>
      <c r="AG445" s="1176" t="e">
        <f t="shared" si="297"/>
        <v>#N/A</v>
      </c>
      <c r="AH445" s="1221" t="e">
        <f t="shared" si="306"/>
        <v>#N/A</v>
      </c>
    </row>
    <row r="446" spans="1:34" ht="15.5">
      <c r="A446" s="1216" t="b">
        <f t="shared" si="285"/>
        <v>1</v>
      </c>
      <c r="B446" s="1217" t="b">
        <f t="shared" si="298"/>
        <v>1</v>
      </c>
      <c r="C446" s="1218" t="str">
        <f t="shared" si="299"/>
        <v>Dólares</v>
      </c>
      <c r="D446" s="46"/>
      <c r="E446" s="836"/>
      <c r="F446" s="50"/>
      <c r="G446" s="50" t="str">
        <f t="shared" si="286"/>
        <v xml:space="preserve"> </v>
      </c>
      <c r="H446" s="45">
        <v>0</v>
      </c>
      <c r="I446" s="49" t="str">
        <f>IFERROR(VLOOKUP(G446,Proveedores!B:C,2,0)," ")</f>
        <v xml:space="preserve"> </v>
      </c>
      <c r="J446" s="838">
        <v>0</v>
      </c>
      <c r="K446" s="1124"/>
      <c r="L446" s="1266">
        <f t="shared" si="287"/>
        <v>0</v>
      </c>
      <c r="M446" s="1267">
        <f t="shared" si="288"/>
        <v>0</v>
      </c>
      <c r="N446" s="1268">
        <f t="shared" si="307"/>
        <v>0</v>
      </c>
      <c r="O446" s="836" t="str">
        <f>IFERROR(VLOOKUP(G446,Proveedores!B:D,3,0)," ")</f>
        <v xml:space="preserve"> </v>
      </c>
      <c r="P446" s="836"/>
      <c r="Q446" s="1127" t="e">
        <f t="shared" si="289"/>
        <v>#N/A</v>
      </c>
      <c r="R446" s="1127" t="b">
        <f t="shared" si="300"/>
        <v>0</v>
      </c>
      <c r="S446" s="1127" t="e">
        <f t="shared" si="290"/>
        <v>#N/A</v>
      </c>
      <c r="T446" s="1127" t="b">
        <f t="shared" si="301"/>
        <v>0</v>
      </c>
      <c r="U446" s="1127" t="e">
        <f t="shared" si="291"/>
        <v>#N/A</v>
      </c>
      <c r="V446" s="1127" t="e">
        <f t="shared" si="302"/>
        <v>#N/A</v>
      </c>
      <c r="W446" s="1127" t="e">
        <f>IF(F446="Offiho",J446,IF(_xlfn.XLOOKUP(F446,Proveedores!A$2:A$50,Proveedores!E$2:E$50,"")="Nacional",(J446/0.5)+(V446*H446),((J446/0.3/0.5)+(V446*H446))))</f>
        <v>#N/A</v>
      </c>
      <c r="X446" s="1127" t="e">
        <f t="shared" si="292"/>
        <v>#N/A</v>
      </c>
      <c r="Y446" s="1126" t="b">
        <f t="shared" si="293"/>
        <v>0</v>
      </c>
      <c r="Z446" s="43">
        <v>0</v>
      </c>
      <c r="AA446" s="1219" t="e">
        <f t="shared" si="303"/>
        <v>#N/A</v>
      </c>
      <c r="AB446" s="1219" t="e">
        <f t="shared" si="304"/>
        <v>#N/A</v>
      </c>
      <c r="AC446" s="1219" t="e">
        <f t="shared" si="294"/>
        <v>#N/A</v>
      </c>
      <c r="AD446" s="1126" t="e">
        <f t="shared" si="305"/>
        <v>#N/A</v>
      </c>
      <c r="AE446" s="1217" t="e">
        <f t="shared" si="295"/>
        <v>#N/A</v>
      </c>
      <c r="AF446" s="1220" t="e">
        <f t="shared" si="296"/>
        <v>#N/A</v>
      </c>
      <c r="AG446" s="1176" t="e">
        <f t="shared" si="297"/>
        <v>#N/A</v>
      </c>
      <c r="AH446" s="1221" t="e">
        <f t="shared" si="306"/>
        <v>#N/A</v>
      </c>
    </row>
    <row r="447" spans="1:34" ht="15.5">
      <c r="A447" s="1216" t="b">
        <f t="shared" si="285"/>
        <v>1</v>
      </c>
      <c r="B447" s="1217" t="b">
        <f t="shared" si="298"/>
        <v>1</v>
      </c>
      <c r="C447" s="1218" t="str">
        <f t="shared" si="299"/>
        <v>Dólares</v>
      </c>
      <c r="D447" s="46"/>
      <c r="E447" s="836"/>
      <c r="F447" s="50"/>
      <c r="G447" s="50" t="str">
        <f t="shared" si="286"/>
        <v xml:space="preserve"> </v>
      </c>
      <c r="H447" s="45">
        <v>0</v>
      </c>
      <c r="I447" s="49" t="str">
        <f>IFERROR(VLOOKUP(G447,Proveedores!B:C,2,0)," ")</f>
        <v xml:space="preserve"> </v>
      </c>
      <c r="J447" s="838">
        <v>0</v>
      </c>
      <c r="K447" s="1124"/>
      <c r="L447" s="1266">
        <f t="shared" si="287"/>
        <v>0</v>
      </c>
      <c r="M447" s="1267">
        <f t="shared" si="288"/>
        <v>0</v>
      </c>
      <c r="N447" s="1268">
        <f t="shared" si="307"/>
        <v>0</v>
      </c>
      <c r="O447" s="836" t="str">
        <f>IFERROR(VLOOKUP(G447,Proveedores!B:D,3,0)," ")</f>
        <v xml:space="preserve"> </v>
      </c>
      <c r="P447" s="836"/>
      <c r="Q447" s="1127" t="e">
        <f t="shared" si="289"/>
        <v>#N/A</v>
      </c>
      <c r="R447" s="1127" t="b">
        <f t="shared" si="300"/>
        <v>0</v>
      </c>
      <c r="S447" s="1127" t="e">
        <f t="shared" si="290"/>
        <v>#N/A</v>
      </c>
      <c r="T447" s="1127" t="b">
        <f t="shared" si="301"/>
        <v>0</v>
      </c>
      <c r="U447" s="1127" t="e">
        <f t="shared" si="291"/>
        <v>#N/A</v>
      </c>
      <c r="V447" s="1127" t="e">
        <f t="shared" si="302"/>
        <v>#N/A</v>
      </c>
      <c r="W447" s="1127" t="e">
        <f>IF(F447="Offiho",J447,IF(_xlfn.XLOOKUP(F447,Proveedores!A$2:A$50,Proveedores!E$2:E$50,"")="Nacional",(J447/0.5)+(V447*H447),((J447/0.3/0.5)+(V447*H447))))</f>
        <v>#N/A</v>
      </c>
      <c r="X447" s="1127" t="e">
        <f t="shared" si="292"/>
        <v>#N/A</v>
      </c>
      <c r="Y447" s="1126" t="b">
        <f t="shared" si="293"/>
        <v>0</v>
      </c>
      <c r="Z447" s="43">
        <v>0</v>
      </c>
      <c r="AA447" s="1219" t="e">
        <f t="shared" si="303"/>
        <v>#N/A</v>
      </c>
      <c r="AB447" s="1219" t="e">
        <f t="shared" si="304"/>
        <v>#N/A</v>
      </c>
      <c r="AC447" s="1219" t="e">
        <f t="shared" si="294"/>
        <v>#N/A</v>
      </c>
      <c r="AD447" s="1126" t="e">
        <f t="shared" si="305"/>
        <v>#N/A</v>
      </c>
      <c r="AE447" s="1217" t="e">
        <f t="shared" si="295"/>
        <v>#N/A</v>
      </c>
      <c r="AF447" s="1220" t="e">
        <f t="shared" si="296"/>
        <v>#N/A</v>
      </c>
      <c r="AG447" s="1176" t="e">
        <f t="shared" si="297"/>
        <v>#N/A</v>
      </c>
      <c r="AH447" s="1221" t="e">
        <f t="shared" si="306"/>
        <v>#N/A</v>
      </c>
    </row>
    <row r="448" spans="1:34" ht="15.5">
      <c r="A448" s="1216" t="b">
        <f t="shared" si="285"/>
        <v>1</v>
      </c>
      <c r="B448" s="1217" t="b">
        <f t="shared" si="298"/>
        <v>1</v>
      </c>
      <c r="C448" s="1218" t="str">
        <f t="shared" si="299"/>
        <v>Dólares</v>
      </c>
      <c r="D448" s="46"/>
      <c r="E448" s="836"/>
      <c r="F448" s="50"/>
      <c r="G448" s="50" t="str">
        <f t="shared" si="286"/>
        <v xml:space="preserve"> </v>
      </c>
      <c r="H448" s="45">
        <v>0</v>
      </c>
      <c r="I448" s="49" t="str">
        <f>IFERROR(VLOOKUP(G448,Proveedores!B:C,2,0)," ")</f>
        <v xml:space="preserve"> </v>
      </c>
      <c r="J448" s="838">
        <v>0</v>
      </c>
      <c r="K448" s="1124"/>
      <c r="L448" s="1266">
        <f t="shared" si="287"/>
        <v>0</v>
      </c>
      <c r="M448" s="1267">
        <f t="shared" si="288"/>
        <v>0</v>
      </c>
      <c r="N448" s="1268">
        <f t="shared" si="307"/>
        <v>0</v>
      </c>
      <c r="O448" s="836" t="str">
        <f>IFERROR(VLOOKUP(G448,Proveedores!B:D,3,0)," ")</f>
        <v xml:space="preserve"> </v>
      </c>
      <c r="P448" s="836"/>
      <c r="Q448" s="1127" t="e">
        <f t="shared" si="289"/>
        <v>#N/A</v>
      </c>
      <c r="R448" s="1127" t="b">
        <f t="shared" si="300"/>
        <v>0</v>
      </c>
      <c r="S448" s="1127" t="e">
        <f t="shared" si="290"/>
        <v>#N/A</v>
      </c>
      <c r="T448" s="1127" t="b">
        <f t="shared" si="301"/>
        <v>0</v>
      </c>
      <c r="U448" s="1127" t="e">
        <f t="shared" si="291"/>
        <v>#N/A</v>
      </c>
      <c r="V448" s="1127" t="e">
        <f t="shared" si="302"/>
        <v>#N/A</v>
      </c>
      <c r="W448" s="1127" t="e">
        <f>IF(F448="Offiho",J448,IF(_xlfn.XLOOKUP(F448,Proveedores!A$2:A$50,Proveedores!E$2:E$50,"")="Nacional",(J448/0.5)+(V448*H448),((J448/0.3/0.5)+(V448*H448))))</f>
        <v>#N/A</v>
      </c>
      <c r="X448" s="1127" t="e">
        <f t="shared" si="292"/>
        <v>#N/A</v>
      </c>
      <c r="Y448" s="1126" t="b">
        <f t="shared" si="293"/>
        <v>0</v>
      </c>
      <c r="Z448" s="43">
        <v>0</v>
      </c>
      <c r="AA448" s="1219" t="e">
        <f t="shared" si="303"/>
        <v>#N/A</v>
      </c>
      <c r="AB448" s="1219" t="e">
        <f t="shared" si="304"/>
        <v>#N/A</v>
      </c>
      <c r="AC448" s="1219" t="e">
        <f t="shared" si="294"/>
        <v>#N/A</v>
      </c>
      <c r="AD448" s="1126" t="e">
        <f t="shared" si="305"/>
        <v>#N/A</v>
      </c>
      <c r="AE448" s="1217" t="e">
        <f t="shared" si="295"/>
        <v>#N/A</v>
      </c>
      <c r="AF448" s="1220" t="e">
        <f t="shared" si="296"/>
        <v>#N/A</v>
      </c>
      <c r="AG448" s="1176" t="e">
        <f t="shared" si="297"/>
        <v>#N/A</v>
      </c>
      <c r="AH448" s="1221" t="e">
        <f t="shared" si="306"/>
        <v>#N/A</v>
      </c>
    </row>
    <row r="449" spans="1:34" ht="15.5">
      <c r="A449" s="1216" t="b">
        <f t="shared" si="285"/>
        <v>1</v>
      </c>
      <c r="B449" s="1217" t="b">
        <f t="shared" si="298"/>
        <v>1</v>
      </c>
      <c r="C449" s="1218" t="str">
        <f t="shared" si="299"/>
        <v>Dólares</v>
      </c>
      <c r="D449" s="46"/>
      <c r="E449" s="836"/>
      <c r="F449" s="50"/>
      <c r="G449" s="50" t="str">
        <f t="shared" si="286"/>
        <v xml:space="preserve"> </v>
      </c>
      <c r="H449" s="45">
        <v>0</v>
      </c>
      <c r="I449" s="49" t="str">
        <f>IFERROR(VLOOKUP(G449,Proveedores!B:C,2,0)," ")</f>
        <v xml:space="preserve"> </v>
      </c>
      <c r="J449" s="838">
        <v>0</v>
      </c>
      <c r="K449" s="1124"/>
      <c r="L449" s="1266">
        <f t="shared" si="287"/>
        <v>0</v>
      </c>
      <c r="M449" s="1267">
        <f t="shared" si="288"/>
        <v>0</v>
      </c>
      <c r="N449" s="1268">
        <f t="shared" si="307"/>
        <v>0</v>
      </c>
      <c r="O449" s="836" t="str">
        <f>IFERROR(VLOOKUP(G449,Proveedores!B:D,3,0)," ")</f>
        <v xml:space="preserve"> </v>
      </c>
      <c r="P449" s="836"/>
      <c r="Q449" s="1127" t="e">
        <f t="shared" si="289"/>
        <v>#N/A</v>
      </c>
      <c r="R449" s="1127" t="b">
        <f t="shared" si="300"/>
        <v>0</v>
      </c>
      <c r="S449" s="1127" t="e">
        <f t="shared" si="290"/>
        <v>#N/A</v>
      </c>
      <c r="T449" s="1127" t="b">
        <f t="shared" si="301"/>
        <v>0</v>
      </c>
      <c r="U449" s="1127" t="e">
        <f t="shared" si="291"/>
        <v>#N/A</v>
      </c>
      <c r="V449" s="1127" t="e">
        <f t="shared" si="302"/>
        <v>#N/A</v>
      </c>
      <c r="W449" s="1127" t="e">
        <f>IF(F449="Offiho",J449,IF(_xlfn.XLOOKUP(F449,Proveedores!A$2:A$50,Proveedores!E$2:E$50,"")="Nacional",(J449/0.5)+(V449*H449),((J449/0.3/0.5)+(V449*H449))))</f>
        <v>#N/A</v>
      </c>
      <c r="X449" s="1127" t="e">
        <f t="shared" si="292"/>
        <v>#N/A</v>
      </c>
      <c r="Y449" s="1126" t="b">
        <f t="shared" si="293"/>
        <v>0</v>
      </c>
      <c r="Z449" s="43">
        <v>0</v>
      </c>
      <c r="AA449" s="1219" t="e">
        <f t="shared" si="303"/>
        <v>#N/A</v>
      </c>
      <c r="AB449" s="1219" t="e">
        <f t="shared" si="304"/>
        <v>#N/A</v>
      </c>
      <c r="AC449" s="1219" t="e">
        <f t="shared" si="294"/>
        <v>#N/A</v>
      </c>
      <c r="AD449" s="1126" t="e">
        <f t="shared" si="305"/>
        <v>#N/A</v>
      </c>
      <c r="AE449" s="1217" t="e">
        <f t="shared" si="295"/>
        <v>#N/A</v>
      </c>
      <c r="AF449" s="1220" t="e">
        <f t="shared" si="296"/>
        <v>#N/A</v>
      </c>
      <c r="AG449" s="1176" t="e">
        <f t="shared" si="297"/>
        <v>#N/A</v>
      </c>
      <c r="AH449" s="1221" t="e">
        <f t="shared" si="306"/>
        <v>#N/A</v>
      </c>
    </row>
    <row r="450" spans="1:34" ht="15.5">
      <c r="A450" s="1216" t="b">
        <f t="shared" si="285"/>
        <v>1</v>
      </c>
      <c r="B450" s="1217" t="b">
        <f t="shared" si="298"/>
        <v>1</v>
      </c>
      <c r="C450" s="1218" t="str">
        <f t="shared" si="299"/>
        <v>Dólares</v>
      </c>
      <c r="D450" s="46"/>
      <c r="E450" s="836"/>
      <c r="F450" s="50"/>
      <c r="G450" s="50" t="str">
        <f t="shared" si="286"/>
        <v xml:space="preserve"> </v>
      </c>
      <c r="H450" s="45">
        <v>0</v>
      </c>
      <c r="I450" s="49" t="str">
        <f>IFERROR(VLOOKUP(G450,Proveedores!B:C,2,0)," ")</f>
        <v xml:space="preserve"> </v>
      </c>
      <c r="J450" s="838">
        <v>0</v>
      </c>
      <c r="K450" s="1124"/>
      <c r="L450" s="1266">
        <f t="shared" si="287"/>
        <v>0</v>
      </c>
      <c r="M450" s="1267">
        <f t="shared" si="288"/>
        <v>0</v>
      </c>
      <c r="N450" s="1268">
        <f t="shared" si="307"/>
        <v>0</v>
      </c>
      <c r="O450" s="836" t="str">
        <f>IFERROR(VLOOKUP(G450,Proveedores!B:D,3,0)," ")</f>
        <v xml:space="preserve"> </v>
      </c>
      <c r="P450" s="836"/>
      <c r="Q450" s="1127" t="e">
        <f t="shared" si="289"/>
        <v>#N/A</v>
      </c>
      <c r="R450" s="1127" t="b">
        <f t="shared" si="300"/>
        <v>0</v>
      </c>
      <c r="S450" s="1127" t="e">
        <f t="shared" si="290"/>
        <v>#N/A</v>
      </c>
      <c r="T450" s="1127" t="b">
        <f t="shared" si="301"/>
        <v>0</v>
      </c>
      <c r="U450" s="1127" t="e">
        <f t="shared" si="291"/>
        <v>#N/A</v>
      </c>
      <c r="V450" s="1127" t="e">
        <f t="shared" si="302"/>
        <v>#N/A</v>
      </c>
      <c r="W450" s="1127" t="e">
        <f>IF(F450="Offiho",J450,IF(_xlfn.XLOOKUP(F450,Proveedores!A$2:A$50,Proveedores!E$2:E$50,"")="Nacional",(J450/0.5)+(V450*H450),((J450/0.3/0.5)+(V450*H450))))</f>
        <v>#N/A</v>
      </c>
      <c r="X450" s="1127" t="e">
        <f t="shared" si="292"/>
        <v>#N/A</v>
      </c>
      <c r="Y450" s="1126" t="b">
        <f t="shared" si="293"/>
        <v>0</v>
      </c>
      <c r="Z450" s="43">
        <v>0</v>
      </c>
      <c r="AA450" s="1219" t="e">
        <f t="shared" si="303"/>
        <v>#N/A</v>
      </c>
      <c r="AB450" s="1219" t="e">
        <f t="shared" si="304"/>
        <v>#N/A</v>
      </c>
      <c r="AC450" s="1219" t="e">
        <f t="shared" si="294"/>
        <v>#N/A</v>
      </c>
      <c r="AD450" s="1126" t="e">
        <f t="shared" si="305"/>
        <v>#N/A</v>
      </c>
      <c r="AE450" s="1217" t="e">
        <f t="shared" si="295"/>
        <v>#N/A</v>
      </c>
      <c r="AF450" s="1220" t="e">
        <f t="shared" si="296"/>
        <v>#N/A</v>
      </c>
      <c r="AG450" s="1176" t="e">
        <f t="shared" si="297"/>
        <v>#N/A</v>
      </c>
      <c r="AH450" s="1221" t="e">
        <f t="shared" si="306"/>
        <v>#N/A</v>
      </c>
    </row>
    <row r="451" spans="1:34" ht="15.5">
      <c r="A451" s="1216" t="b">
        <f t="shared" si="285"/>
        <v>1</v>
      </c>
      <c r="B451" s="1217" t="b">
        <f t="shared" si="298"/>
        <v>1</v>
      </c>
      <c r="C451" s="1218" t="str">
        <f t="shared" si="299"/>
        <v>Dólares</v>
      </c>
      <c r="D451" s="47"/>
      <c r="E451" s="836"/>
      <c r="F451" s="50"/>
      <c r="G451" s="50" t="str">
        <f t="shared" si="286"/>
        <v xml:space="preserve"> </v>
      </c>
      <c r="H451" s="45">
        <v>0</v>
      </c>
      <c r="I451" s="49" t="str">
        <f>IFERROR(VLOOKUP(G451,Proveedores!B:C,2,0)," ")</f>
        <v xml:space="preserve"> </v>
      </c>
      <c r="J451" s="838">
        <v>0</v>
      </c>
      <c r="K451" s="1124"/>
      <c r="L451" s="1266">
        <f t="shared" si="287"/>
        <v>0</v>
      </c>
      <c r="M451" s="1267">
        <f t="shared" si="288"/>
        <v>0</v>
      </c>
      <c r="N451" s="1268">
        <f t="shared" si="307"/>
        <v>0</v>
      </c>
      <c r="O451" s="836" t="str">
        <f>IFERROR(VLOOKUP(G451,Proveedores!B:D,3,0)," ")</f>
        <v xml:space="preserve"> </v>
      </c>
      <c r="P451" s="836"/>
      <c r="Q451" s="1127" t="e">
        <f t="shared" si="289"/>
        <v>#N/A</v>
      </c>
      <c r="R451" s="1127" t="b">
        <f t="shared" si="300"/>
        <v>0</v>
      </c>
      <c r="S451" s="1127" t="e">
        <f t="shared" si="290"/>
        <v>#N/A</v>
      </c>
      <c r="T451" s="1127" t="b">
        <f t="shared" si="301"/>
        <v>0</v>
      </c>
      <c r="U451" s="1127" t="e">
        <f t="shared" si="291"/>
        <v>#N/A</v>
      </c>
      <c r="V451" s="1127" t="e">
        <f t="shared" si="302"/>
        <v>#N/A</v>
      </c>
      <c r="W451" s="1127" t="e">
        <f>IF(F451="Offiho",J451,IF(_xlfn.XLOOKUP(F451,Proveedores!A$2:A$50,Proveedores!E$2:E$50,"")="Nacional",(J451/0.5)+(V451*H451),((J451/0.3/0.5)+(V451*H451))))</f>
        <v>#N/A</v>
      </c>
      <c r="X451" s="1127" t="e">
        <f t="shared" si="292"/>
        <v>#N/A</v>
      </c>
      <c r="Y451" s="1126" t="b">
        <f t="shared" si="293"/>
        <v>0</v>
      </c>
      <c r="Z451" s="43">
        <v>0</v>
      </c>
      <c r="AA451" s="1219" t="e">
        <f t="shared" si="303"/>
        <v>#N/A</v>
      </c>
      <c r="AB451" s="1219" t="e">
        <f t="shared" si="304"/>
        <v>#N/A</v>
      </c>
      <c r="AC451" s="1219" t="e">
        <f t="shared" si="294"/>
        <v>#N/A</v>
      </c>
      <c r="AD451" s="1126" t="e">
        <f t="shared" si="305"/>
        <v>#N/A</v>
      </c>
      <c r="AE451" s="1217" t="e">
        <f t="shared" si="295"/>
        <v>#N/A</v>
      </c>
      <c r="AF451" s="1220" t="e">
        <f t="shared" si="296"/>
        <v>#N/A</v>
      </c>
      <c r="AG451" s="1176" t="e">
        <f t="shared" si="297"/>
        <v>#N/A</v>
      </c>
      <c r="AH451" s="1221" t="e">
        <f t="shared" si="306"/>
        <v>#N/A</v>
      </c>
    </row>
    <row r="452" spans="1:34" ht="15.5">
      <c r="A452" s="1216" t="b">
        <f t="shared" si="285"/>
        <v>1</v>
      </c>
      <c r="B452" s="1217" t="b">
        <f t="shared" si="298"/>
        <v>1</v>
      </c>
      <c r="C452" s="1218" t="str">
        <f t="shared" si="299"/>
        <v>Dólares</v>
      </c>
      <c r="D452" s="48"/>
      <c r="E452" s="836"/>
      <c r="F452" s="50"/>
      <c r="G452" s="50" t="str">
        <f t="shared" si="286"/>
        <v xml:space="preserve"> </v>
      </c>
      <c r="H452" s="45">
        <v>0</v>
      </c>
      <c r="I452" s="49" t="str">
        <f>IFERROR(VLOOKUP(G452,Proveedores!B:C,2,0)," ")</f>
        <v xml:space="preserve"> </v>
      </c>
      <c r="J452" s="838">
        <v>0</v>
      </c>
      <c r="K452" s="1124"/>
      <c r="L452" s="1266">
        <f t="shared" si="287"/>
        <v>0</v>
      </c>
      <c r="M452" s="1267">
        <f t="shared" si="288"/>
        <v>0</v>
      </c>
      <c r="N452" s="1268">
        <f t="shared" si="307"/>
        <v>0</v>
      </c>
      <c r="O452" s="836" t="str">
        <f>IFERROR(VLOOKUP(G452,Proveedores!B:D,3,0)," ")</f>
        <v xml:space="preserve"> </v>
      </c>
      <c r="P452" s="836"/>
      <c r="Q452" s="1127" t="e">
        <f t="shared" si="289"/>
        <v>#N/A</v>
      </c>
      <c r="R452" s="1127" t="b">
        <f t="shared" si="300"/>
        <v>0</v>
      </c>
      <c r="S452" s="1127" t="e">
        <f t="shared" si="290"/>
        <v>#N/A</v>
      </c>
      <c r="T452" s="1127" t="b">
        <f t="shared" si="301"/>
        <v>0</v>
      </c>
      <c r="U452" s="1127" t="e">
        <f t="shared" si="291"/>
        <v>#N/A</v>
      </c>
      <c r="V452" s="1127" t="e">
        <f t="shared" si="302"/>
        <v>#N/A</v>
      </c>
      <c r="W452" s="1127" t="e">
        <f>IF(F452="Offiho",J452,IF(_xlfn.XLOOKUP(F452,Proveedores!A$2:A$50,Proveedores!E$2:E$50,"")="Nacional",(J452/0.5)+(V452*H452),((J452/0.3/0.5)+(V452*H452))))</f>
        <v>#N/A</v>
      </c>
      <c r="X452" s="1127" t="e">
        <f t="shared" si="292"/>
        <v>#N/A</v>
      </c>
      <c r="Y452" s="1126" t="b">
        <f t="shared" si="293"/>
        <v>0</v>
      </c>
      <c r="Z452" s="43">
        <v>0</v>
      </c>
      <c r="AA452" s="1219" t="e">
        <f t="shared" si="303"/>
        <v>#N/A</v>
      </c>
      <c r="AB452" s="1219" t="e">
        <f t="shared" si="304"/>
        <v>#N/A</v>
      </c>
      <c r="AC452" s="1219" t="e">
        <f t="shared" si="294"/>
        <v>#N/A</v>
      </c>
      <c r="AD452" s="1126" t="e">
        <f t="shared" si="305"/>
        <v>#N/A</v>
      </c>
      <c r="AE452" s="1217" t="e">
        <f t="shared" si="295"/>
        <v>#N/A</v>
      </c>
      <c r="AF452" s="1220" t="e">
        <f t="shared" si="296"/>
        <v>#N/A</v>
      </c>
      <c r="AG452" s="1176" t="e">
        <f t="shared" si="297"/>
        <v>#N/A</v>
      </c>
      <c r="AH452" s="1221" t="e">
        <f t="shared" si="306"/>
        <v>#N/A</v>
      </c>
    </row>
    <row r="453" spans="1:34" ht="15.5">
      <c r="A453" s="1216" t="b">
        <f t="shared" si="285"/>
        <v>1</v>
      </c>
      <c r="B453" s="1217" t="b">
        <f t="shared" si="298"/>
        <v>1</v>
      </c>
      <c r="C453" s="1218" t="str">
        <f t="shared" si="299"/>
        <v>Dólares</v>
      </c>
      <c r="D453" s="48"/>
      <c r="E453" s="836"/>
      <c r="F453" s="50"/>
      <c r="G453" s="50" t="str">
        <f t="shared" si="286"/>
        <v xml:space="preserve"> </v>
      </c>
      <c r="H453" s="45">
        <v>0</v>
      </c>
      <c r="I453" s="49" t="str">
        <f>IFERROR(VLOOKUP(G453,Proveedores!B:C,2,0)," ")</f>
        <v xml:space="preserve"> </v>
      </c>
      <c r="J453" s="838">
        <v>0</v>
      </c>
      <c r="K453" s="1124"/>
      <c r="L453" s="1266">
        <f t="shared" si="287"/>
        <v>0</v>
      </c>
      <c r="M453" s="1267">
        <f t="shared" si="288"/>
        <v>0</v>
      </c>
      <c r="N453" s="1268">
        <f t="shared" si="307"/>
        <v>0</v>
      </c>
      <c r="O453" s="836" t="str">
        <f>IFERROR(VLOOKUP(G453,Proveedores!B:D,3,0)," ")</f>
        <v xml:space="preserve"> </v>
      </c>
      <c r="P453" s="836"/>
      <c r="Q453" s="1127" t="e">
        <f t="shared" si="289"/>
        <v>#N/A</v>
      </c>
      <c r="R453" s="1127" t="b">
        <f t="shared" si="300"/>
        <v>0</v>
      </c>
      <c r="S453" s="1127" t="e">
        <f t="shared" si="290"/>
        <v>#N/A</v>
      </c>
      <c r="T453" s="1127" t="b">
        <f t="shared" si="301"/>
        <v>0</v>
      </c>
      <c r="U453" s="1127" t="e">
        <f t="shared" si="291"/>
        <v>#N/A</v>
      </c>
      <c r="V453" s="1127" t="e">
        <f t="shared" si="302"/>
        <v>#N/A</v>
      </c>
      <c r="W453" s="1127" t="e">
        <f>IF(F453="Offiho",J453,IF(_xlfn.XLOOKUP(F453,Proveedores!A$2:A$50,Proveedores!E$2:E$50,"")="Nacional",(J453/0.5)+(V453*H453),((J453/0.3/0.5)+(V453*H453))))</f>
        <v>#N/A</v>
      </c>
      <c r="X453" s="1127" t="e">
        <f t="shared" si="292"/>
        <v>#N/A</v>
      </c>
      <c r="Y453" s="1126" t="b">
        <f t="shared" si="293"/>
        <v>0</v>
      </c>
      <c r="Z453" s="43">
        <v>0</v>
      </c>
      <c r="AA453" s="1219" t="e">
        <f t="shared" si="303"/>
        <v>#N/A</v>
      </c>
      <c r="AB453" s="1219" t="e">
        <f t="shared" si="304"/>
        <v>#N/A</v>
      </c>
      <c r="AC453" s="1219" t="e">
        <f t="shared" si="294"/>
        <v>#N/A</v>
      </c>
      <c r="AD453" s="1126" t="e">
        <f t="shared" si="305"/>
        <v>#N/A</v>
      </c>
      <c r="AE453" s="1217" t="e">
        <f t="shared" si="295"/>
        <v>#N/A</v>
      </c>
      <c r="AF453" s="1220" t="e">
        <f t="shared" si="296"/>
        <v>#N/A</v>
      </c>
      <c r="AG453" s="1176" t="e">
        <f t="shared" si="297"/>
        <v>#N/A</v>
      </c>
      <c r="AH453" s="1221" t="e">
        <f t="shared" si="306"/>
        <v>#N/A</v>
      </c>
    </row>
    <row r="454" spans="1:34" ht="15.5">
      <c r="A454" s="1216" t="b">
        <f t="shared" si="285"/>
        <v>1</v>
      </c>
      <c r="B454" s="1217" t="b">
        <f t="shared" si="298"/>
        <v>1</v>
      </c>
      <c r="C454" s="1218" t="str">
        <f t="shared" si="299"/>
        <v>Dólares</v>
      </c>
      <c r="D454" s="48"/>
      <c r="E454" s="836"/>
      <c r="F454" s="50"/>
      <c r="G454" s="50" t="str">
        <f t="shared" si="286"/>
        <v xml:space="preserve"> </v>
      </c>
      <c r="H454" s="45">
        <v>0</v>
      </c>
      <c r="I454" s="49" t="str">
        <f>IFERROR(VLOOKUP(G454,Proveedores!B:C,2,0)," ")</f>
        <v xml:space="preserve"> </v>
      </c>
      <c r="J454" s="838">
        <v>0</v>
      </c>
      <c r="K454" s="1124"/>
      <c r="L454" s="1266">
        <f t="shared" si="287"/>
        <v>0</v>
      </c>
      <c r="M454" s="1267">
        <f t="shared" si="288"/>
        <v>0</v>
      </c>
      <c r="N454" s="1268">
        <f t="shared" si="307"/>
        <v>0</v>
      </c>
      <c r="O454" s="836" t="str">
        <f>IFERROR(VLOOKUP(G454,Proveedores!B:D,3,0)," ")</f>
        <v xml:space="preserve"> </v>
      </c>
      <c r="P454" s="836"/>
      <c r="Q454" s="1127" t="e">
        <f t="shared" si="289"/>
        <v>#N/A</v>
      </c>
      <c r="R454" s="1127" t="b">
        <f t="shared" si="300"/>
        <v>0</v>
      </c>
      <c r="S454" s="1127" t="e">
        <f t="shared" si="290"/>
        <v>#N/A</v>
      </c>
      <c r="T454" s="1127" t="b">
        <f t="shared" si="301"/>
        <v>0</v>
      </c>
      <c r="U454" s="1127" t="e">
        <f t="shared" si="291"/>
        <v>#N/A</v>
      </c>
      <c r="V454" s="1127" t="e">
        <f t="shared" si="302"/>
        <v>#N/A</v>
      </c>
      <c r="W454" s="1127" t="e">
        <f>IF(F454="Offiho",J454,IF(_xlfn.XLOOKUP(F454,Proveedores!A$2:A$50,Proveedores!E$2:E$50,"")="Nacional",(J454/0.5)+(V454*H454),((J454/0.3/0.5)+(V454*H454))))</f>
        <v>#N/A</v>
      </c>
      <c r="X454" s="1127" t="e">
        <f t="shared" si="292"/>
        <v>#N/A</v>
      </c>
      <c r="Y454" s="1126" t="b">
        <f t="shared" si="293"/>
        <v>0</v>
      </c>
      <c r="Z454" s="43">
        <v>0</v>
      </c>
      <c r="AA454" s="1219" t="e">
        <f t="shared" si="303"/>
        <v>#N/A</v>
      </c>
      <c r="AB454" s="1219" t="e">
        <f t="shared" si="304"/>
        <v>#N/A</v>
      </c>
      <c r="AC454" s="1219" t="e">
        <f t="shared" si="294"/>
        <v>#N/A</v>
      </c>
      <c r="AD454" s="1126" t="e">
        <f t="shared" si="305"/>
        <v>#N/A</v>
      </c>
      <c r="AE454" s="1217" t="e">
        <f t="shared" si="295"/>
        <v>#N/A</v>
      </c>
      <c r="AF454" s="1220" t="e">
        <f t="shared" si="296"/>
        <v>#N/A</v>
      </c>
      <c r="AG454" s="1176" t="e">
        <f t="shared" si="297"/>
        <v>#N/A</v>
      </c>
      <c r="AH454" s="1221" t="e">
        <f t="shared" si="306"/>
        <v>#N/A</v>
      </c>
    </row>
    <row r="455" spans="1:34" ht="15.5">
      <c r="A455" s="1216" t="b">
        <f t="shared" si="285"/>
        <v>1</v>
      </c>
      <c r="B455" s="1217" t="b">
        <f t="shared" si="298"/>
        <v>1</v>
      </c>
      <c r="C455" s="1218" t="str">
        <f t="shared" si="299"/>
        <v>Dólares</v>
      </c>
      <c r="D455" s="48"/>
      <c r="E455" s="836"/>
      <c r="F455" s="50"/>
      <c r="G455" s="50" t="str">
        <f t="shared" si="286"/>
        <v xml:space="preserve"> </v>
      </c>
      <c r="H455" s="45">
        <v>0</v>
      </c>
      <c r="I455" s="49" t="str">
        <f>IFERROR(VLOOKUP(G455,Proveedores!B:C,2,0)," ")</f>
        <v xml:space="preserve"> </v>
      </c>
      <c r="J455" s="838">
        <v>0</v>
      </c>
      <c r="K455" s="1124"/>
      <c r="L455" s="1266">
        <f t="shared" si="287"/>
        <v>0</v>
      </c>
      <c r="M455" s="1267">
        <f t="shared" si="288"/>
        <v>0</v>
      </c>
      <c r="N455" s="1268">
        <f t="shared" si="307"/>
        <v>0</v>
      </c>
      <c r="O455" s="836" t="str">
        <f>IFERROR(VLOOKUP(G455,Proveedores!B:D,3,0)," ")</f>
        <v xml:space="preserve"> </v>
      </c>
      <c r="P455" s="836"/>
      <c r="Q455" s="1127" t="e">
        <f t="shared" si="289"/>
        <v>#N/A</v>
      </c>
      <c r="R455" s="1127" t="b">
        <f t="shared" si="300"/>
        <v>0</v>
      </c>
      <c r="S455" s="1127" t="e">
        <f t="shared" si="290"/>
        <v>#N/A</v>
      </c>
      <c r="T455" s="1127" t="b">
        <f t="shared" si="301"/>
        <v>0</v>
      </c>
      <c r="U455" s="1127" t="e">
        <f t="shared" si="291"/>
        <v>#N/A</v>
      </c>
      <c r="V455" s="1127" t="e">
        <f t="shared" si="302"/>
        <v>#N/A</v>
      </c>
      <c r="W455" s="1127" t="e">
        <f>IF(F455="Offiho",J455,IF(_xlfn.XLOOKUP(F455,Proveedores!A$2:A$50,Proveedores!E$2:E$50,"")="Nacional",(J455/0.5)+(V455*H455),((J455/0.3/0.5)+(V455*H455))))</f>
        <v>#N/A</v>
      </c>
      <c r="X455" s="1127" t="e">
        <f t="shared" si="292"/>
        <v>#N/A</v>
      </c>
      <c r="Y455" s="1126" t="b">
        <f t="shared" si="293"/>
        <v>0</v>
      </c>
      <c r="Z455" s="43">
        <v>0</v>
      </c>
      <c r="AA455" s="1219" t="e">
        <f t="shared" si="303"/>
        <v>#N/A</v>
      </c>
      <c r="AB455" s="1219" t="e">
        <f t="shared" si="304"/>
        <v>#N/A</v>
      </c>
      <c r="AC455" s="1219" t="e">
        <f t="shared" si="294"/>
        <v>#N/A</v>
      </c>
      <c r="AD455" s="1126" t="e">
        <f t="shared" si="305"/>
        <v>#N/A</v>
      </c>
      <c r="AE455" s="1217" t="e">
        <f t="shared" si="295"/>
        <v>#N/A</v>
      </c>
      <c r="AF455" s="1220" t="e">
        <f t="shared" si="296"/>
        <v>#N/A</v>
      </c>
      <c r="AG455" s="1176" t="e">
        <f t="shared" si="297"/>
        <v>#N/A</v>
      </c>
      <c r="AH455" s="1221" t="e">
        <f t="shared" si="306"/>
        <v>#N/A</v>
      </c>
    </row>
    <row r="456" spans="1:34" ht="15.5">
      <c r="A456" s="1216" t="b">
        <f t="shared" si="285"/>
        <v>1</v>
      </c>
      <c r="B456" s="1217" t="b">
        <f t="shared" si="298"/>
        <v>1</v>
      </c>
      <c r="C456" s="1218" t="str">
        <f t="shared" si="299"/>
        <v>Dólares</v>
      </c>
      <c r="D456" s="47"/>
      <c r="E456" s="836"/>
      <c r="F456" s="50"/>
      <c r="G456" s="50" t="str">
        <f t="shared" si="286"/>
        <v xml:space="preserve"> </v>
      </c>
      <c r="H456" s="45">
        <v>0</v>
      </c>
      <c r="I456" s="49" t="str">
        <f>IFERROR(VLOOKUP(G456,Proveedores!B:C,2,0)," ")</f>
        <v xml:space="preserve"> </v>
      </c>
      <c r="J456" s="838">
        <v>0</v>
      </c>
      <c r="K456" s="1124"/>
      <c r="L456" s="1266">
        <f t="shared" si="287"/>
        <v>0</v>
      </c>
      <c r="M456" s="1267">
        <f t="shared" si="288"/>
        <v>0</v>
      </c>
      <c r="N456" s="1268">
        <f t="shared" si="307"/>
        <v>0</v>
      </c>
      <c r="O456" s="836" t="str">
        <f>IFERROR(VLOOKUP(G456,Proveedores!B:D,3,0)," ")</f>
        <v xml:space="preserve"> </v>
      </c>
      <c r="P456" s="836"/>
      <c r="Q456" s="1127" t="e">
        <f t="shared" si="289"/>
        <v>#N/A</v>
      </c>
      <c r="R456" s="1127" t="b">
        <f t="shared" si="300"/>
        <v>0</v>
      </c>
      <c r="S456" s="1127" t="e">
        <f t="shared" si="290"/>
        <v>#N/A</v>
      </c>
      <c r="T456" s="1127" t="b">
        <f t="shared" si="301"/>
        <v>0</v>
      </c>
      <c r="U456" s="1127" t="e">
        <f t="shared" si="291"/>
        <v>#N/A</v>
      </c>
      <c r="V456" s="1127" t="e">
        <f t="shared" si="302"/>
        <v>#N/A</v>
      </c>
      <c r="W456" s="1127" t="e">
        <f>IF(F456="Offiho",J456,IF(_xlfn.XLOOKUP(F456,Proveedores!A$2:A$50,Proveedores!E$2:E$50,"")="Nacional",(J456/0.5)+(V456*H456),((J456/0.3/0.5)+(V456*H456))))</f>
        <v>#N/A</v>
      </c>
      <c r="X456" s="1127" t="e">
        <f t="shared" si="292"/>
        <v>#N/A</v>
      </c>
      <c r="Y456" s="1126" t="b">
        <f t="shared" si="293"/>
        <v>0</v>
      </c>
      <c r="Z456" s="43">
        <v>0</v>
      </c>
      <c r="AA456" s="1219" t="e">
        <f t="shared" si="303"/>
        <v>#N/A</v>
      </c>
      <c r="AB456" s="1219" t="e">
        <f t="shared" si="304"/>
        <v>#N/A</v>
      </c>
      <c r="AC456" s="1219" t="e">
        <f t="shared" si="294"/>
        <v>#N/A</v>
      </c>
      <c r="AD456" s="1126" t="e">
        <f t="shared" si="305"/>
        <v>#N/A</v>
      </c>
      <c r="AE456" s="1217" t="e">
        <f t="shared" si="295"/>
        <v>#N/A</v>
      </c>
      <c r="AF456" s="1220" t="e">
        <f t="shared" si="296"/>
        <v>#N/A</v>
      </c>
      <c r="AG456" s="1176" t="e">
        <f t="shared" si="297"/>
        <v>#N/A</v>
      </c>
      <c r="AH456" s="1221" t="e">
        <f t="shared" si="306"/>
        <v>#N/A</v>
      </c>
    </row>
    <row r="457" spans="1:34" ht="15.5">
      <c r="A457" s="1216" t="b">
        <f t="shared" si="285"/>
        <v>1</v>
      </c>
      <c r="B457" s="1217" t="b">
        <f t="shared" si="298"/>
        <v>1</v>
      </c>
      <c r="C457" s="1218" t="str">
        <f t="shared" si="299"/>
        <v>Dólares</v>
      </c>
      <c r="D457" s="47"/>
      <c r="E457" s="836"/>
      <c r="F457" s="50"/>
      <c r="G457" s="50" t="str">
        <f t="shared" si="286"/>
        <v xml:space="preserve"> </v>
      </c>
      <c r="H457" s="45">
        <v>0</v>
      </c>
      <c r="I457" s="49" t="str">
        <f>IFERROR(VLOOKUP(G457,Proveedores!B:C,2,0)," ")</f>
        <v xml:space="preserve"> </v>
      </c>
      <c r="J457" s="838">
        <v>0</v>
      </c>
      <c r="K457" s="1124"/>
      <c r="L457" s="1266">
        <f t="shared" si="287"/>
        <v>0</v>
      </c>
      <c r="M457" s="1267">
        <f t="shared" si="288"/>
        <v>0</v>
      </c>
      <c r="N457" s="1268">
        <f t="shared" si="307"/>
        <v>0</v>
      </c>
      <c r="O457" s="836" t="str">
        <f>IFERROR(VLOOKUP(G457,Proveedores!B:D,3,0)," ")</f>
        <v xml:space="preserve"> </v>
      </c>
      <c r="P457" s="836"/>
      <c r="Q457" s="1127" t="e">
        <f t="shared" si="289"/>
        <v>#N/A</v>
      </c>
      <c r="R457" s="1127" t="b">
        <f t="shared" si="300"/>
        <v>0</v>
      </c>
      <c r="S457" s="1127" t="e">
        <f t="shared" si="290"/>
        <v>#N/A</v>
      </c>
      <c r="T457" s="1127" t="b">
        <f t="shared" si="301"/>
        <v>0</v>
      </c>
      <c r="U457" s="1127" t="e">
        <f t="shared" si="291"/>
        <v>#N/A</v>
      </c>
      <c r="V457" s="1127" t="e">
        <f t="shared" si="302"/>
        <v>#N/A</v>
      </c>
      <c r="W457" s="1127" t="e">
        <f>IF(F457="Offiho",J457,IF(_xlfn.XLOOKUP(F457,Proveedores!A$2:A$50,Proveedores!E$2:E$50,"")="Nacional",(J457/0.5)+(V457*H457),((J457/0.3/0.5)+(V457*H457))))</f>
        <v>#N/A</v>
      </c>
      <c r="X457" s="1127" t="e">
        <f t="shared" si="292"/>
        <v>#N/A</v>
      </c>
      <c r="Y457" s="1126" t="b">
        <f t="shared" si="293"/>
        <v>0</v>
      </c>
      <c r="Z457" s="43">
        <v>0</v>
      </c>
      <c r="AA457" s="1219" t="e">
        <f t="shared" si="303"/>
        <v>#N/A</v>
      </c>
      <c r="AB457" s="1219" t="e">
        <f t="shared" si="304"/>
        <v>#N/A</v>
      </c>
      <c r="AC457" s="1219" t="e">
        <f t="shared" si="294"/>
        <v>#N/A</v>
      </c>
      <c r="AD457" s="1126" t="e">
        <f t="shared" si="305"/>
        <v>#N/A</v>
      </c>
      <c r="AE457" s="1217" t="e">
        <f t="shared" si="295"/>
        <v>#N/A</v>
      </c>
      <c r="AF457" s="1220" t="e">
        <f t="shared" si="296"/>
        <v>#N/A</v>
      </c>
      <c r="AG457" s="1176" t="e">
        <f t="shared" si="297"/>
        <v>#N/A</v>
      </c>
      <c r="AH457" s="1221" t="e">
        <f t="shared" si="306"/>
        <v>#N/A</v>
      </c>
    </row>
    <row r="458" spans="1:34" ht="15.5">
      <c r="A458" s="1216" t="b">
        <f t="shared" si="285"/>
        <v>1</v>
      </c>
      <c r="B458" s="1217" t="b">
        <f t="shared" si="298"/>
        <v>1</v>
      </c>
      <c r="C458" s="1218" t="str">
        <f t="shared" si="299"/>
        <v>Dólares</v>
      </c>
      <c r="D458" s="47"/>
      <c r="E458" s="836"/>
      <c r="F458" s="50"/>
      <c r="G458" s="50" t="str">
        <f t="shared" si="286"/>
        <v xml:space="preserve"> </v>
      </c>
      <c r="H458" s="45">
        <v>0</v>
      </c>
      <c r="I458" s="49" t="str">
        <f>IFERROR(VLOOKUP(G458,Proveedores!B:C,2,0)," ")</f>
        <v xml:space="preserve"> </v>
      </c>
      <c r="J458" s="838">
        <v>0</v>
      </c>
      <c r="K458" s="1124"/>
      <c r="L458" s="1266">
        <f t="shared" si="287"/>
        <v>0</v>
      </c>
      <c r="M458" s="1267">
        <f t="shared" si="288"/>
        <v>0</v>
      </c>
      <c r="N458" s="1268">
        <f t="shared" si="307"/>
        <v>0</v>
      </c>
      <c r="O458" s="836" t="str">
        <f>IFERROR(VLOOKUP(G458,Proveedores!B:D,3,0)," ")</f>
        <v xml:space="preserve"> </v>
      </c>
      <c r="P458" s="836"/>
      <c r="Q458" s="1127" t="e">
        <f t="shared" si="289"/>
        <v>#N/A</v>
      </c>
      <c r="R458" s="1127" t="b">
        <f t="shared" si="300"/>
        <v>0</v>
      </c>
      <c r="S458" s="1127" t="e">
        <f t="shared" si="290"/>
        <v>#N/A</v>
      </c>
      <c r="T458" s="1127" t="b">
        <f t="shared" si="301"/>
        <v>0</v>
      </c>
      <c r="U458" s="1127" t="e">
        <f t="shared" si="291"/>
        <v>#N/A</v>
      </c>
      <c r="V458" s="1127" t="e">
        <f t="shared" si="302"/>
        <v>#N/A</v>
      </c>
      <c r="W458" s="1127" t="e">
        <f>IF(F458="Offiho",J458,IF(_xlfn.XLOOKUP(F458,Proveedores!A$2:A$50,Proveedores!E$2:E$50,"")="Nacional",(J458/0.5)+(V458*H458),((J458/0.3/0.5)+(V458*H458))))</f>
        <v>#N/A</v>
      </c>
      <c r="X458" s="1127" t="e">
        <f t="shared" si="292"/>
        <v>#N/A</v>
      </c>
      <c r="Y458" s="1126" t="b">
        <f t="shared" si="293"/>
        <v>0</v>
      </c>
      <c r="Z458" s="43">
        <v>0</v>
      </c>
      <c r="AA458" s="1219" t="e">
        <f t="shared" si="303"/>
        <v>#N/A</v>
      </c>
      <c r="AB458" s="1219" t="e">
        <f t="shared" si="304"/>
        <v>#N/A</v>
      </c>
      <c r="AC458" s="1219" t="e">
        <f t="shared" si="294"/>
        <v>#N/A</v>
      </c>
      <c r="AD458" s="1126" t="e">
        <f t="shared" si="305"/>
        <v>#N/A</v>
      </c>
      <c r="AE458" s="1217" t="e">
        <f t="shared" si="295"/>
        <v>#N/A</v>
      </c>
      <c r="AF458" s="1220" t="e">
        <f t="shared" si="296"/>
        <v>#N/A</v>
      </c>
      <c r="AG458" s="1176" t="e">
        <f t="shared" si="297"/>
        <v>#N/A</v>
      </c>
      <c r="AH458" s="1221" t="e">
        <f t="shared" si="306"/>
        <v>#N/A</v>
      </c>
    </row>
    <row r="459" spans="1:34" ht="15.5">
      <c r="A459" s="1216" t="b">
        <f t="shared" si="285"/>
        <v>1</v>
      </c>
      <c r="B459" s="1217" t="b">
        <f t="shared" si="298"/>
        <v>1</v>
      </c>
      <c r="C459" s="1218" t="str">
        <f t="shared" si="299"/>
        <v>Dólares</v>
      </c>
      <c r="D459" s="48"/>
      <c r="E459" s="836"/>
      <c r="F459" s="50"/>
      <c r="G459" s="50" t="str">
        <f t="shared" si="286"/>
        <v xml:space="preserve"> </v>
      </c>
      <c r="H459" s="45">
        <v>0</v>
      </c>
      <c r="I459" s="49" t="str">
        <f>IFERROR(VLOOKUP(G459,Proveedores!B:C,2,0)," ")</f>
        <v xml:space="preserve"> </v>
      </c>
      <c r="J459" s="838">
        <v>0</v>
      </c>
      <c r="K459" s="1124"/>
      <c r="L459" s="1266">
        <f t="shared" si="287"/>
        <v>0</v>
      </c>
      <c r="M459" s="1267">
        <f t="shared" si="288"/>
        <v>0</v>
      </c>
      <c r="N459" s="1268">
        <f t="shared" si="307"/>
        <v>0</v>
      </c>
      <c r="O459" s="836" t="str">
        <f>IFERROR(VLOOKUP(G459,Proveedores!B:D,3,0)," ")</f>
        <v xml:space="preserve"> </v>
      </c>
      <c r="P459" s="836"/>
      <c r="Q459" s="1127" t="e">
        <f t="shared" si="289"/>
        <v>#N/A</v>
      </c>
      <c r="R459" s="1127" t="b">
        <f t="shared" si="300"/>
        <v>0</v>
      </c>
      <c r="S459" s="1127" t="e">
        <f t="shared" si="290"/>
        <v>#N/A</v>
      </c>
      <c r="T459" s="1127" t="b">
        <f t="shared" si="301"/>
        <v>0</v>
      </c>
      <c r="U459" s="1127" t="e">
        <f t="shared" si="291"/>
        <v>#N/A</v>
      </c>
      <c r="V459" s="1127" t="e">
        <f t="shared" si="302"/>
        <v>#N/A</v>
      </c>
      <c r="W459" s="1127" t="e">
        <f>IF(F459="Offiho",J459,IF(_xlfn.XLOOKUP(F459,Proveedores!A$2:A$50,Proveedores!E$2:E$50,"")="Nacional",(J459/0.5)+(V459*H459),((J459/0.3/0.5)+(V459*H459))))</f>
        <v>#N/A</v>
      </c>
      <c r="X459" s="1127" t="e">
        <f t="shared" si="292"/>
        <v>#N/A</v>
      </c>
      <c r="Y459" s="1126" t="b">
        <f t="shared" si="293"/>
        <v>0</v>
      </c>
      <c r="Z459" s="43">
        <v>0</v>
      </c>
      <c r="AA459" s="1219" t="e">
        <f t="shared" si="303"/>
        <v>#N/A</v>
      </c>
      <c r="AB459" s="1219" t="e">
        <f t="shared" si="304"/>
        <v>#N/A</v>
      </c>
      <c r="AC459" s="1219" t="e">
        <f t="shared" si="294"/>
        <v>#N/A</v>
      </c>
      <c r="AD459" s="1126" t="e">
        <f t="shared" si="305"/>
        <v>#N/A</v>
      </c>
      <c r="AE459" s="1217" t="e">
        <f t="shared" si="295"/>
        <v>#N/A</v>
      </c>
      <c r="AF459" s="1220" t="e">
        <f t="shared" si="296"/>
        <v>#N/A</v>
      </c>
      <c r="AG459" s="1176" t="e">
        <f t="shared" si="297"/>
        <v>#N/A</v>
      </c>
      <c r="AH459" s="1221" t="e">
        <f t="shared" si="306"/>
        <v>#N/A</v>
      </c>
    </row>
    <row r="460" spans="1:34" ht="15.5">
      <c r="A460" s="1216" t="b">
        <f t="shared" si="285"/>
        <v>1</v>
      </c>
      <c r="B460" s="1217" t="b">
        <f t="shared" si="298"/>
        <v>1</v>
      </c>
      <c r="C460" s="1218" t="str">
        <f t="shared" si="299"/>
        <v>Dólares</v>
      </c>
      <c r="D460" s="48"/>
      <c r="E460" s="836"/>
      <c r="F460" s="50"/>
      <c r="G460" s="50" t="str">
        <f t="shared" si="286"/>
        <v xml:space="preserve"> </v>
      </c>
      <c r="H460" s="45">
        <v>0</v>
      </c>
      <c r="I460" s="49" t="str">
        <f>IFERROR(VLOOKUP(G460,Proveedores!B:C,2,0)," ")</f>
        <v xml:space="preserve"> </v>
      </c>
      <c r="J460" s="838">
        <v>0</v>
      </c>
      <c r="K460" s="1124"/>
      <c r="L460" s="1266">
        <f t="shared" si="287"/>
        <v>0</v>
      </c>
      <c r="M460" s="1267">
        <f t="shared" si="288"/>
        <v>0</v>
      </c>
      <c r="N460" s="1268">
        <f t="shared" si="307"/>
        <v>0</v>
      </c>
      <c r="O460" s="836" t="str">
        <f>IFERROR(VLOOKUP(G460,Proveedores!B:D,3,0)," ")</f>
        <v xml:space="preserve"> </v>
      </c>
      <c r="P460" s="836"/>
      <c r="Q460" s="1127" t="e">
        <f t="shared" si="289"/>
        <v>#N/A</v>
      </c>
      <c r="R460" s="1127" t="b">
        <f t="shared" si="300"/>
        <v>0</v>
      </c>
      <c r="S460" s="1127" t="e">
        <f t="shared" si="290"/>
        <v>#N/A</v>
      </c>
      <c r="T460" s="1127" t="b">
        <f t="shared" si="301"/>
        <v>0</v>
      </c>
      <c r="U460" s="1127" t="e">
        <f t="shared" si="291"/>
        <v>#N/A</v>
      </c>
      <c r="V460" s="1127" t="e">
        <f t="shared" si="302"/>
        <v>#N/A</v>
      </c>
      <c r="W460" s="1127" t="e">
        <f>IF(F460="Offiho",J460,IF(_xlfn.XLOOKUP(F460,Proveedores!A$2:A$50,Proveedores!E$2:E$50,"")="Nacional",(J460/0.5)+(V460*H460),((J460/0.3/0.5)+(V460*H460))))</f>
        <v>#N/A</v>
      </c>
      <c r="X460" s="1127" t="e">
        <f t="shared" si="292"/>
        <v>#N/A</v>
      </c>
      <c r="Y460" s="1126" t="b">
        <f t="shared" si="293"/>
        <v>0</v>
      </c>
      <c r="Z460" s="43">
        <v>0</v>
      </c>
      <c r="AA460" s="1219" t="e">
        <f t="shared" si="303"/>
        <v>#N/A</v>
      </c>
      <c r="AB460" s="1219" t="e">
        <f t="shared" si="304"/>
        <v>#N/A</v>
      </c>
      <c r="AC460" s="1219" t="e">
        <f t="shared" si="294"/>
        <v>#N/A</v>
      </c>
      <c r="AD460" s="1126" t="e">
        <f t="shared" si="305"/>
        <v>#N/A</v>
      </c>
      <c r="AE460" s="1217" t="e">
        <f t="shared" si="295"/>
        <v>#N/A</v>
      </c>
      <c r="AF460" s="1220" t="e">
        <f t="shared" si="296"/>
        <v>#N/A</v>
      </c>
      <c r="AG460" s="1176" t="e">
        <f t="shared" si="297"/>
        <v>#N/A</v>
      </c>
      <c r="AH460" s="1221" t="e">
        <f t="shared" si="306"/>
        <v>#N/A</v>
      </c>
    </row>
    <row r="461" spans="1:34" ht="15.5">
      <c r="A461" s="1216" t="b">
        <f t="shared" si="285"/>
        <v>1</v>
      </c>
      <c r="B461" s="1217" t="b">
        <f t="shared" si="298"/>
        <v>1</v>
      </c>
      <c r="C461" s="1218" t="str">
        <f t="shared" si="299"/>
        <v>Dólares</v>
      </c>
      <c r="D461" s="47"/>
      <c r="E461" s="836"/>
      <c r="F461" s="50"/>
      <c r="G461" s="50" t="str">
        <f t="shared" si="286"/>
        <v xml:space="preserve"> </v>
      </c>
      <c r="H461" s="45">
        <v>0</v>
      </c>
      <c r="I461" s="49" t="str">
        <f>IFERROR(VLOOKUP(G461,Proveedores!B:C,2,0)," ")</f>
        <v xml:space="preserve"> </v>
      </c>
      <c r="J461" s="838">
        <v>0</v>
      </c>
      <c r="K461" s="1124"/>
      <c r="L461" s="1266">
        <f t="shared" si="287"/>
        <v>0</v>
      </c>
      <c r="M461" s="1267">
        <f t="shared" si="288"/>
        <v>0</v>
      </c>
      <c r="N461" s="1268">
        <f t="shared" si="307"/>
        <v>0</v>
      </c>
      <c r="O461" s="836" t="str">
        <f>IFERROR(VLOOKUP(G461,Proveedores!B:D,3,0)," ")</f>
        <v xml:space="preserve"> </v>
      </c>
      <c r="P461" s="836"/>
      <c r="Q461" s="1127" t="e">
        <f t="shared" si="289"/>
        <v>#N/A</v>
      </c>
      <c r="R461" s="1127" t="b">
        <f t="shared" si="300"/>
        <v>0</v>
      </c>
      <c r="S461" s="1127" t="e">
        <f t="shared" si="290"/>
        <v>#N/A</v>
      </c>
      <c r="T461" s="1127" t="b">
        <f t="shared" si="301"/>
        <v>0</v>
      </c>
      <c r="U461" s="1127" t="e">
        <f t="shared" si="291"/>
        <v>#N/A</v>
      </c>
      <c r="V461" s="1127" t="e">
        <f t="shared" si="302"/>
        <v>#N/A</v>
      </c>
      <c r="W461" s="1127" t="e">
        <f>IF(F461="Offiho",J461,IF(_xlfn.XLOOKUP(F461,Proveedores!A$2:A$50,Proveedores!E$2:E$50,"")="Nacional",(J461/0.5)+(V461*H461),((J461/0.3/0.5)+(V461*H461))))</f>
        <v>#N/A</v>
      </c>
      <c r="X461" s="1127" t="e">
        <f t="shared" si="292"/>
        <v>#N/A</v>
      </c>
      <c r="Y461" s="1126" t="b">
        <f t="shared" si="293"/>
        <v>0</v>
      </c>
      <c r="Z461" s="43">
        <v>0</v>
      </c>
      <c r="AA461" s="1219" t="e">
        <f t="shared" si="303"/>
        <v>#N/A</v>
      </c>
      <c r="AB461" s="1219" t="e">
        <f t="shared" si="304"/>
        <v>#N/A</v>
      </c>
      <c r="AC461" s="1219" t="e">
        <f t="shared" si="294"/>
        <v>#N/A</v>
      </c>
      <c r="AD461" s="1126" t="e">
        <f t="shared" si="305"/>
        <v>#N/A</v>
      </c>
      <c r="AE461" s="1217" t="e">
        <f t="shared" si="295"/>
        <v>#N/A</v>
      </c>
      <c r="AF461" s="1220" t="e">
        <f t="shared" si="296"/>
        <v>#N/A</v>
      </c>
      <c r="AG461" s="1176" t="e">
        <f t="shared" si="297"/>
        <v>#N/A</v>
      </c>
      <c r="AH461" s="1221" t="e">
        <f t="shared" si="306"/>
        <v>#N/A</v>
      </c>
    </row>
    <row r="462" spans="1:34" ht="15.5">
      <c r="A462" s="1216" t="b">
        <f t="shared" si="285"/>
        <v>1</v>
      </c>
      <c r="B462" s="1217" t="b">
        <f t="shared" si="298"/>
        <v>1</v>
      </c>
      <c r="C462" s="1218" t="str">
        <f t="shared" si="299"/>
        <v>Dólares</v>
      </c>
      <c r="D462" s="47"/>
      <c r="E462" s="836"/>
      <c r="F462" s="50"/>
      <c r="G462" s="50" t="str">
        <f t="shared" si="286"/>
        <v xml:space="preserve"> </v>
      </c>
      <c r="H462" s="45">
        <v>0</v>
      </c>
      <c r="I462" s="49" t="str">
        <f>IFERROR(VLOOKUP(G462,Proveedores!B:C,2,0)," ")</f>
        <v xml:space="preserve"> </v>
      </c>
      <c r="J462" s="838">
        <v>0</v>
      </c>
      <c r="K462" s="1124"/>
      <c r="L462" s="1266">
        <f t="shared" si="287"/>
        <v>0</v>
      </c>
      <c r="M462" s="1267">
        <f t="shared" si="288"/>
        <v>0</v>
      </c>
      <c r="N462" s="1268">
        <f t="shared" si="307"/>
        <v>0</v>
      </c>
      <c r="O462" s="836" t="str">
        <f>IFERROR(VLOOKUP(G462,Proveedores!B:D,3,0)," ")</f>
        <v xml:space="preserve"> </v>
      </c>
      <c r="P462" s="836"/>
      <c r="Q462" s="1127" t="e">
        <f t="shared" si="289"/>
        <v>#N/A</v>
      </c>
      <c r="R462" s="1127" t="b">
        <f t="shared" si="300"/>
        <v>0</v>
      </c>
      <c r="S462" s="1127" t="e">
        <f t="shared" si="290"/>
        <v>#N/A</v>
      </c>
      <c r="T462" s="1127" t="b">
        <f t="shared" si="301"/>
        <v>0</v>
      </c>
      <c r="U462" s="1127" t="e">
        <f t="shared" si="291"/>
        <v>#N/A</v>
      </c>
      <c r="V462" s="1127" t="e">
        <f t="shared" si="302"/>
        <v>#N/A</v>
      </c>
      <c r="W462" s="1127" t="e">
        <f>IF(F462="Offiho",J462,IF(_xlfn.XLOOKUP(F462,Proveedores!A$2:A$50,Proveedores!E$2:E$50,"")="Nacional",(J462/0.5)+(V462*H462),((J462/0.3/0.5)+(V462*H462))))</f>
        <v>#N/A</v>
      </c>
      <c r="X462" s="1127" t="e">
        <f t="shared" si="292"/>
        <v>#N/A</v>
      </c>
      <c r="Y462" s="1126" t="b">
        <f t="shared" si="293"/>
        <v>0</v>
      </c>
      <c r="Z462" s="43">
        <v>0</v>
      </c>
      <c r="AA462" s="1219" t="e">
        <f t="shared" si="303"/>
        <v>#N/A</v>
      </c>
      <c r="AB462" s="1219" t="e">
        <f t="shared" si="304"/>
        <v>#N/A</v>
      </c>
      <c r="AC462" s="1219" t="e">
        <f t="shared" si="294"/>
        <v>#N/A</v>
      </c>
      <c r="AD462" s="1126" t="e">
        <f t="shared" si="305"/>
        <v>#N/A</v>
      </c>
      <c r="AE462" s="1217" t="e">
        <f t="shared" si="295"/>
        <v>#N/A</v>
      </c>
      <c r="AF462" s="1220" t="e">
        <f t="shared" si="296"/>
        <v>#N/A</v>
      </c>
      <c r="AG462" s="1176" t="e">
        <f t="shared" si="297"/>
        <v>#N/A</v>
      </c>
      <c r="AH462" s="1221" t="e">
        <f t="shared" si="306"/>
        <v>#N/A</v>
      </c>
    </row>
    <row r="463" spans="1:34" ht="15.5">
      <c r="A463" s="1216" t="b">
        <f t="shared" si="285"/>
        <v>1</v>
      </c>
      <c r="B463" s="1217" t="b">
        <f t="shared" si="298"/>
        <v>1</v>
      </c>
      <c r="C463" s="1218" t="str">
        <f t="shared" si="299"/>
        <v>Dólares</v>
      </c>
      <c r="D463" s="47"/>
      <c r="E463" s="836"/>
      <c r="F463" s="50"/>
      <c r="G463" s="50" t="str">
        <f t="shared" si="286"/>
        <v xml:space="preserve"> </v>
      </c>
      <c r="H463" s="45">
        <v>0</v>
      </c>
      <c r="I463" s="49" t="str">
        <f>IFERROR(VLOOKUP(G463,Proveedores!B:C,2,0)," ")</f>
        <v xml:space="preserve"> </v>
      </c>
      <c r="J463" s="838">
        <v>0</v>
      </c>
      <c r="K463" s="1124"/>
      <c r="L463" s="1266">
        <f t="shared" si="287"/>
        <v>0</v>
      </c>
      <c r="M463" s="1267">
        <f t="shared" si="288"/>
        <v>0</v>
      </c>
      <c r="N463" s="1268">
        <f t="shared" si="307"/>
        <v>0</v>
      </c>
      <c r="O463" s="836" t="str">
        <f>IFERROR(VLOOKUP(G463,Proveedores!B:D,3,0)," ")</f>
        <v xml:space="preserve"> </v>
      </c>
      <c r="P463" s="836"/>
      <c r="Q463" s="1127" t="e">
        <f t="shared" si="289"/>
        <v>#N/A</v>
      </c>
      <c r="R463" s="1127" t="b">
        <f t="shared" si="300"/>
        <v>0</v>
      </c>
      <c r="S463" s="1127" t="e">
        <f t="shared" si="290"/>
        <v>#N/A</v>
      </c>
      <c r="T463" s="1127" t="b">
        <f t="shared" si="301"/>
        <v>0</v>
      </c>
      <c r="U463" s="1127" t="e">
        <f t="shared" si="291"/>
        <v>#N/A</v>
      </c>
      <c r="V463" s="1127" t="e">
        <f t="shared" si="302"/>
        <v>#N/A</v>
      </c>
      <c r="W463" s="1127" t="e">
        <f>IF(F463="Offiho",J463,IF(_xlfn.XLOOKUP(F463,Proveedores!A$2:A$50,Proveedores!E$2:E$50,"")="Nacional",(J463/0.5)+(V463*H463),((J463/0.3/0.5)+(V463*H463))))</f>
        <v>#N/A</v>
      </c>
      <c r="X463" s="1127" t="e">
        <f t="shared" si="292"/>
        <v>#N/A</v>
      </c>
      <c r="Y463" s="1126" t="b">
        <f t="shared" si="293"/>
        <v>0</v>
      </c>
      <c r="Z463" s="43">
        <v>0</v>
      </c>
      <c r="AA463" s="1219" t="e">
        <f t="shared" si="303"/>
        <v>#N/A</v>
      </c>
      <c r="AB463" s="1219" t="e">
        <f t="shared" si="304"/>
        <v>#N/A</v>
      </c>
      <c r="AC463" s="1219" t="e">
        <f t="shared" si="294"/>
        <v>#N/A</v>
      </c>
      <c r="AD463" s="1126" t="e">
        <f t="shared" si="305"/>
        <v>#N/A</v>
      </c>
      <c r="AE463" s="1217" t="e">
        <f t="shared" si="295"/>
        <v>#N/A</v>
      </c>
      <c r="AF463" s="1220" t="e">
        <f t="shared" si="296"/>
        <v>#N/A</v>
      </c>
      <c r="AG463" s="1176" t="e">
        <f t="shared" si="297"/>
        <v>#N/A</v>
      </c>
      <c r="AH463" s="1221" t="e">
        <f t="shared" si="306"/>
        <v>#N/A</v>
      </c>
    </row>
    <row r="464" spans="1:34" ht="15.5">
      <c r="A464" s="1216" t="b">
        <f t="shared" si="285"/>
        <v>1</v>
      </c>
      <c r="B464" s="1217" t="b">
        <f t="shared" si="298"/>
        <v>1</v>
      </c>
      <c r="C464" s="1218" t="str">
        <f t="shared" si="299"/>
        <v>Dólares</v>
      </c>
      <c r="D464" s="47"/>
      <c r="E464" s="836"/>
      <c r="F464" s="50"/>
      <c r="G464" s="50" t="str">
        <f t="shared" si="286"/>
        <v xml:space="preserve"> </v>
      </c>
      <c r="H464" s="45">
        <v>0</v>
      </c>
      <c r="I464" s="49" t="str">
        <f>IFERROR(VLOOKUP(G464,Proveedores!B:C,2,0)," ")</f>
        <v xml:space="preserve"> </v>
      </c>
      <c r="J464" s="838">
        <v>0</v>
      </c>
      <c r="K464" s="1124"/>
      <c r="L464" s="1266">
        <f t="shared" si="287"/>
        <v>0</v>
      </c>
      <c r="M464" s="1267">
        <f t="shared" si="288"/>
        <v>0</v>
      </c>
      <c r="N464" s="1268">
        <f t="shared" si="307"/>
        <v>0</v>
      </c>
      <c r="O464" s="836" t="str">
        <f>IFERROR(VLOOKUP(G464,Proveedores!B:D,3,0)," ")</f>
        <v xml:space="preserve"> </v>
      </c>
      <c r="P464" s="836"/>
      <c r="Q464" s="1127" t="e">
        <f t="shared" si="289"/>
        <v>#N/A</v>
      </c>
      <c r="R464" s="1127" t="b">
        <f t="shared" si="300"/>
        <v>0</v>
      </c>
      <c r="S464" s="1127" t="e">
        <f t="shared" si="290"/>
        <v>#N/A</v>
      </c>
      <c r="T464" s="1127" t="b">
        <f t="shared" si="301"/>
        <v>0</v>
      </c>
      <c r="U464" s="1127" t="e">
        <f t="shared" si="291"/>
        <v>#N/A</v>
      </c>
      <c r="V464" s="1127" t="e">
        <f t="shared" si="302"/>
        <v>#N/A</v>
      </c>
      <c r="W464" s="1127" t="e">
        <f>IF(F464="Offiho",J464,IF(_xlfn.XLOOKUP(F464,Proveedores!A$2:A$50,Proveedores!E$2:E$50,"")="Nacional",(J464/0.5)+(V464*H464),((J464/0.3/0.5)+(V464*H464))))</f>
        <v>#N/A</v>
      </c>
      <c r="X464" s="1127" t="e">
        <f t="shared" si="292"/>
        <v>#N/A</v>
      </c>
      <c r="Y464" s="1126" t="b">
        <f t="shared" si="293"/>
        <v>0</v>
      </c>
      <c r="Z464" s="43">
        <v>0</v>
      </c>
      <c r="AA464" s="1219" t="e">
        <f t="shared" si="303"/>
        <v>#N/A</v>
      </c>
      <c r="AB464" s="1219" t="e">
        <f t="shared" si="304"/>
        <v>#N/A</v>
      </c>
      <c r="AC464" s="1219" t="e">
        <f t="shared" si="294"/>
        <v>#N/A</v>
      </c>
      <c r="AD464" s="1126" t="e">
        <f t="shared" si="305"/>
        <v>#N/A</v>
      </c>
      <c r="AE464" s="1217" t="e">
        <f t="shared" si="295"/>
        <v>#N/A</v>
      </c>
      <c r="AF464" s="1220" t="e">
        <f t="shared" si="296"/>
        <v>#N/A</v>
      </c>
      <c r="AG464" s="1176" t="e">
        <f t="shared" si="297"/>
        <v>#N/A</v>
      </c>
      <c r="AH464" s="1221" t="e">
        <f t="shared" si="306"/>
        <v>#N/A</v>
      </c>
    </row>
    <row r="465" spans="1:34" ht="15.5">
      <c r="A465" s="1216" t="b">
        <f t="shared" si="285"/>
        <v>1</v>
      </c>
      <c r="B465" s="1217" t="b">
        <f t="shared" si="298"/>
        <v>1</v>
      </c>
      <c r="C465" s="1218" t="str">
        <f t="shared" si="299"/>
        <v>Dólares</v>
      </c>
      <c r="D465" s="47"/>
      <c r="E465" s="836"/>
      <c r="F465" s="50"/>
      <c r="G465" s="50" t="str">
        <f t="shared" si="286"/>
        <v xml:space="preserve"> </v>
      </c>
      <c r="H465" s="45">
        <v>0</v>
      </c>
      <c r="I465" s="49" t="str">
        <f>IFERROR(VLOOKUP(G465,Proveedores!B:C,2,0)," ")</f>
        <v xml:space="preserve"> </v>
      </c>
      <c r="J465" s="838">
        <v>0</v>
      </c>
      <c r="K465" s="1124"/>
      <c r="L465" s="1266">
        <f t="shared" si="287"/>
        <v>0</v>
      </c>
      <c r="M465" s="1267">
        <f t="shared" si="288"/>
        <v>0</v>
      </c>
      <c r="N465" s="1268">
        <f t="shared" si="307"/>
        <v>0</v>
      </c>
      <c r="O465" s="836" t="str">
        <f>IFERROR(VLOOKUP(G465,Proveedores!B:D,3,0)," ")</f>
        <v xml:space="preserve"> </v>
      </c>
      <c r="P465" s="836"/>
      <c r="Q465" s="1127" t="e">
        <f t="shared" si="289"/>
        <v>#N/A</v>
      </c>
      <c r="R465" s="1127" t="b">
        <f t="shared" si="300"/>
        <v>0</v>
      </c>
      <c r="S465" s="1127" t="e">
        <f t="shared" si="290"/>
        <v>#N/A</v>
      </c>
      <c r="T465" s="1127" t="b">
        <f t="shared" si="301"/>
        <v>0</v>
      </c>
      <c r="U465" s="1127" t="e">
        <f t="shared" si="291"/>
        <v>#N/A</v>
      </c>
      <c r="V465" s="1127" t="e">
        <f t="shared" si="302"/>
        <v>#N/A</v>
      </c>
      <c r="W465" s="1127" t="e">
        <f>IF(F465="Offiho",J465,IF(_xlfn.XLOOKUP(F465,Proveedores!A$2:A$50,Proveedores!E$2:E$50,"")="Nacional",(J465/0.5)+(V465*H465),((J465/0.3/0.5)+(V465*H465))))</f>
        <v>#N/A</v>
      </c>
      <c r="X465" s="1127" t="e">
        <f t="shared" si="292"/>
        <v>#N/A</v>
      </c>
      <c r="Y465" s="1126" t="b">
        <f t="shared" si="293"/>
        <v>0</v>
      </c>
      <c r="Z465" s="43">
        <v>0</v>
      </c>
      <c r="AA465" s="1219" t="e">
        <f t="shared" si="303"/>
        <v>#N/A</v>
      </c>
      <c r="AB465" s="1219" t="e">
        <f t="shared" si="304"/>
        <v>#N/A</v>
      </c>
      <c r="AC465" s="1219" t="e">
        <f t="shared" si="294"/>
        <v>#N/A</v>
      </c>
      <c r="AD465" s="1126" t="e">
        <f t="shared" si="305"/>
        <v>#N/A</v>
      </c>
      <c r="AE465" s="1217" t="e">
        <f t="shared" si="295"/>
        <v>#N/A</v>
      </c>
      <c r="AF465" s="1220" t="e">
        <f t="shared" si="296"/>
        <v>#N/A</v>
      </c>
      <c r="AG465" s="1176" t="e">
        <f t="shared" si="297"/>
        <v>#N/A</v>
      </c>
      <c r="AH465" s="1221" t="e">
        <f t="shared" si="306"/>
        <v>#N/A</v>
      </c>
    </row>
    <row r="466" spans="1:34" ht="15.5">
      <c r="A466" s="1216" t="b">
        <f t="shared" si="285"/>
        <v>1</v>
      </c>
      <c r="B466" s="1217" t="b">
        <f t="shared" si="298"/>
        <v>1</v>
      </c>
      <c r="C466" s="1218" t="str">
        <f t="shared" si="299"/>
        <v>Dólares</v>
      </c>
      <c r="D466" s="47"/>
      <c r="E466" s="836"/>
      <c r="F466" s="50"/>
      <c r="G466" s="50" t="str">
        <f t="shared" si="286"/>
        <v xml:space="preserve"> </v>
      </c>
      <c r="H466" s="45">
        <v>0</v>
      </c>
      <c r="I466" s="49" t="str">
        <f>IFERROR(VLOOKUP(G466,Proveedores!B:C,2,0)," ")</f>
        <v xml:space="preserve"> </v>
      </c>
      <c r="J466" s="838">
        <v>0</v>
      </c>
      <c r="K466" s="1124"/>
      <c r="L466" s="1266">
        <f t="shared" si="287"/>
        <v>0</v>
      </c>
      <c r="M466" s="1267">
        <f t="shared" si="288"/>
        <v>0</v>
      </c>
      <c r="N466" s="1268">
        <f t="shared" si="307"/>
        <v>0</v>
      </c>
      <c r="O466" s="836" t="str">
        <f>IFERROR(VLOOKUP(G466,Proveedores!B:D,3,0)," ")</f>
        <v xml:space="preserve"> </v>
      </c>
      <c r="P466" s="836"/>
      <c r="Q466" s="1127" t="e">
        <f t="shared" si="289"/>
        <v>#N/A</v>
      </c>
      <c r="R466" s="1127" t="b">
        <f t="shared" si="300"/>
        <v>0</v>
      </c>
      <c r="S466" s="1127" t="e">
        <f t="shared" si="290"/>
        <v>#N/A</v>
      </c>
      <c r="T466" s="1127" t="b">
        <f t="shared" si="301"/>
        <v>0</v>
      </c>
      <c r="U466" s="1127" t="e">
        <f t="shared" si="291"/>
        <v>#N/A</v>
      </c>
      <c r="V466" s="1127" t="e">
        <f t="shared" si="302"/>
        <v>#N/A</v>
      </c>
      <c r="W466" s="1127" t="e">
        <f>IF(F466="Offiho",J466,IF(_xlfn.XLOOKUP(F466,Proveedores!A$2:A$50,Proveedores!E$2:E$50,"")="Nacional",(J466/0.5)+(V466*H466),((J466/0.3/0.5)+(V466*H466))))</f>
        <v>#N/A</v>
      </c>
      <c r="X466" s="1127" t="e">
        <f t="shared" si="292"/>
        <v>#N/A</v>
      </c>
      <c r="Y466" s="1126" t="b">
        <f t="shared" si="293"/>
        <v>0</v>
      </c>
      <c r="Z466" s="43">
        <v>0</v>
      </c>
      <c r="AA466" s="1219" t="e">
        <f t="shared" si="303"/>
        <v>#N/A</v>
      </c>
      <c r="AB466" s="1219" t="e">
        <f t="shared" si="304"/>
        <v>#N/A</v>
      </c>
      <c r="AC466" s="1219" t="e">
        <f t="shared" si="294"/>
        <v>#N/A</v>
      </c>
      <c r="AD466" s="1126" t="str">
        <f t="shared" si="305"/>
        <v>NA</v>
      </c>
      <c r="AE466" s="1217" t="e">
        <f t="shared" si="295"/>
        <v>#N/A</v>
      </c>
      <c r="AF466" s="1220" t="e">
        <f t="shared" si="296"/>
        <v>#N/A</v>
      </c>
      <c r="AG466" s="1176" t="e">
        <f t="shared" si="297"/>
        <v>#N/A</v>
      </c>
      <c r="AH466" s="1221" t="e">
        <f t="shared" si="306"/>
        <v>#N/A</v>
      </c>
    </row>
    <row r="467" spans="1:34" ht="24" customHeight="1">
      <c r="A467" s="1422" t="s">
        <v>140</v>
      </c>
      <c r="B467" s="1422"/>
      <c r="C467" s="1422"/>
      <c r="D467" s="1422"/>
      <c r="E467" s="1422"/>
      <c r="F467" s="1422"/>
      <c r="G467" s="1227"/>
      <c r="H467" s="1229" cm="1">
        <f t="array" ref="H467">SUM(IFERROR(H434:H466,0))</f>
        <v>0</v>
      </c>
      <c r="I467" s="1227"/>
      <c r="J467" s="1227"/>
      <c r="K467" s="1231"/>
      <c r="L467" s="1229" cm="1">
        <f t="array" ref="L467">SUM(IFERROR(L434:L466,0))</f>
        <v>0</v>
      </c>
      <c r="M467" s="1235"/>
      <c r="N467" s="1232" cm="1">
        <f t="array" ref="N467">SUM(IFERROR(N434:N466,0))</f>
        <v>0</v>
      </c>
      <c r="O467" s="1233"/>
      <c r="P467" s="1233"/>
      <c r="Q467" s="1233"/>
      <c r="R467" s="1233"/>
      <c r="S467" s="1233"/>
      <c r="T467" s="1233"/>
      <c r="U467" s="1233"/>
      <c r="V467" s="1233"/>
      <c r="W467" s="1231"/>
      <c r="X467" s="1232" cm="1">
        <f t="array" ref="X467">SUM(IFERROR(X434:X466,0))</f>
        <v>0</v>
      </c>
      <c r="Y467" s="1233" t="s">
        <v>116</v>
      </c>
      <c r="Z467" s="1233"/>
      <c r="AA467" s="1233"/>
      <c r="AB467" s="1233"/>
      <c r="AC467" s="1232" cm="1">
        <f t="array" ref="AC467">SUM(IFERROR(AC434:AC466,0))</f>
        <v>0</v>
      </c>
      <c r="AD467" s="1232"/>
      <c r="AE467" s="1232"/>
      <c r="AF467" s="1232" cm="1">
        <f t="array" ref="AF467">SUM(IFERROR(AF434:AF466,0))</f>
        <v>0</v>
      </c>
      <c r="AG467" s="1177">
        <f>IFERROR(1-(N467/AC467),0)</f>
        <v>0</v>
      </c>
      <c r="AH467"/>
    </row>
    <row r="468" spans="1:34" ht="26" customHeight="1">
      <c r="A468" s="1419" t="s">
        <v>141</v>
      </c>
      <c r="B468" s="1419"/>
      <c r="C468" s="1419"/>
      <c r="D468" s="1419"/>
      <c r="E468" s="1419"/>
      <c r="F468" s="1419"/>
      <c r="G468" s="1419"/>
      <c r="H468" s="1419"/>
      <c r="I468" s="1419"/>
      <c r="J468" s="1420"/>
      <c r="K468" s="1214"/>
      <c r="L468" s="1214"/>
      <c r="M468" s="1236"/>
      <c r="N468" s="1214"/>
      <c r="O468" s="1213"/>
      <c r="P468" s="1213"/>
      <c r="Q468" s="1213"/>
      <c r="R468" s="1213"/>
      <c r="S468" s="1213"/>
      <c r="T468" s="1213"/>
      <c r="U468" s="1213"/>
      <c r="V468" s="1213"/>
      <c r="W468" s="1178"/>
      <c r="X468" s="1178"/>
      <c r="Y468" s="1178"/>
      <c r="Z468" s="1213"/>
      <c r="AA468" s="1213"/>
      <c r="AB468" s="1213"/>
      <c r="AC468" s="1213"/>
      <c r="AD468" s="1213"/>
      <c r="AE468" s="1213"/>
      <c r="AF468" s="1213"/>
      <c r="AG468" s="1215"/>
      <c r="AH468"/>
    </row>
    <row r="469" spans="1:34" ht="15.5">
      <c r="A469" s="1216" t="b">
        <f t="shared" ref="A469:A501" si="308">$A$13</f>
        <v>1</v>
      </c>
      <c r="B469" s="1217" t="b">
        <f>A469</f>
        <v>1</v>
      </c>
      <c r="C469" s="1218" t="str">
        <f>$C$13</f>
        <v>Dólares</v>
      </c>
      <c r="D469" s="44"/>
      <c r="E469" s="836"/>
      <c r="F469" s="50"/>
      <c r="G469" s="50" t="str">
        <f t="shared" ref="G469:G501" si="309">IFERROR(VLOOKUP(F469,Tabla_Proveedores_1,2,0)," ")</f>
        <v xml:space="preserve"> </v>
      </c>
      <c r="H469" s="45">
        <v>0</v>
      </c>
      <c r="I469" s="49" t="str">
        <f>IFERROR(VLOOKUP(G469,Proveedores!B:C,2,0)," ")</f>
        <v xml:space="preserve"> </v>
      </c>
      <c r="J469" s="838">
        <v>0</v>
      </c>
      <c r="K469" s="1124"/>
      <c r="L469" s="1266">
        <f t="shared" ref="L469:L501" si="310">K469*H469</f>
        <v>0</v>
      </c>
      <c r="M469" s="1267">
        <f t="shared" ref="M469:M501" si="311">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Brasil"),J469,IFERROR(IF(K1028&lt;=$AO$578,J469*2.14,IF(K1028&lt;=$AN$579,J469*1.8,IF(K1028&gt;$AN$580,J469*1.5))),J469))*1.1)</f>
        <v>0</v>
      </c>
      <c r="N469" s="1268">
        <f>M469*H469</f>
        <v>0</v>
      </c>
      <c r="O469" s="836" t="str">
        <f>IFERROR(VLOOKUP(G469,Proveedores!B:D,3,0)," ")</f>
        <v xml:space="preserve"> </v>
      </c>
      <c r="P469" s="836"/>
      <c r="Q469" s="1127" t="e">
        <f t="shared" ref="Q469:Q501" si="312">VLOOKUP(E469,Tabla_Fletes,3,FALSE)</f>
        <v>#N/A</v>
      </c>
      <c r="R469" s="1127" t="b">
        <f>IF(P469="Centro",Q469,IF(P469="Norte",Q469*1.6,IF(P469="Occidente",Q469*1.2,IF(P469="Sur",Q469*2))))</f>
        <v>0</v>
      </c>
      <c r="S469" s="1127" t="e">
        <f t="shared" ref="S469:S501" si="313">VLOOKUP(E469,Tabla_Instalacion,2,FALSE)</f>
        <v>#N/A</v>
      </c>
      <c r="T469" s="1127" t="b">
        <f>IF(P469="Centro",S469,IF(P469="Norte",S469*1.1,IF(P469="Occidente",S469*1.1,IF(P469="Sur",S469*1.1))))</f>
        <v>0</v>
      </c>
      <c r="U469" s="1127" t="e">
        <f t="shared" ref="U469:U501" si="314">IF(F469="Offiho",0,Q469+S469)</f>
        <v>#N/A</v>
      </c>
      <c r="V469" s="1127" t="e">
        <f>IF(K469=0,U469/$H$573,U469*(K469/L469))*H469</f>
        <v>#N/A</v>
      </c>
      <c r="W469" s="1127" t="e">
        <f>IF(F469="Offiho",J469,IF(_xlfn.XLOOKUP(F469,Proveedores!A$2:A$50,Proveedores!E$2:E$50,"")="Nacional",(J469/0.5)+(V469*H469),((J469/0.3/0.5)+(V469*H469))))</f>
        <v>#N/A</v>
      </c>
      <c r="X469" s="1127" t="e">
        <f t="shared" ref="X469:X501" si="315">W469*H469</f>
        <v>#N/A</v>
      </c>
      <c r="Y469" s="1126" t="b">
        <f t="shared" ref="Y469:Y501" si="316">IF(F469="Sunon Inc",$AJ$577,IF(F469="Alma - Exterior",$AJ$578,IF(F469="Yabo - Hotelería",$AJ$579,IF(F469="OSJ - Medical",$AJ$580,IF(F469="Seezo - Home",$AJ$581,IF(F469="A&amp;D - Home",$AJ$582,IF(F469="Encore Alfombras Hoteleria Asia",$AJ$583,IF(F469="Zhong Xian - Leds",$AJ$584,IF(F469="Tarkett Europa",$AJ$585,IF(F469="2tec2",$AJ$586,IF(F469="Balsan Europa",$AJ$587,IF(F469="Armstrong Pisos USA",$AJ$588,IF(F469="Tarkett USA",$AJ$589,IF(F469="Tarkett Brasil",$AJ$590,IF(F469="Tarkett MX",$AJ$591,IF(F469="Jome",$AJ$592,IF(F469="Offiho",$AJ$593,IF(F469="Lumbro",$AJ$594,IF(F469="Sunon Mty",$AJ$595,IF(F469="Conceptos Sofas",$AJ$596,IF(F469="Lauco Sofas",$AJ$597,IF(F469="CR Global - Mesas Ajustables",$AJ$598,IF(F469="Vandesk",$AJ$599,IF(F469="Mamparas Tela",$AJ$600,IF(F469="Mampara Cristales",$AJ$601,IF(F469="Herrajes",$AJ$602,IF(F469="MetalWork",$AJ$603,IF(F469="Requiez",$AJ$604,IF(F469="Labenze",$AJ$605,IF(F469="Infinity",$AJ$606,IF(F469="Proveedor Externo",$AJ$607)))))))))))))))))))))))))))))))</f>
        <v>0</v>
      </c>
      <c r="Z469" s="43">
        <v>0</v>
      </c>
      <c r="AA469" s="1219" t="e">
        <f>W469*Z469</f>
        <v>#N/A</v>
      </c>
      <c r="AB469" s="1219" t="e">
        <f>IF(Z469&gt;Y469,"ERROR",(W469-AA469))</f>
        <v>#N/A</v>
      </c>
      <c r="AC469" s="1219" t="e">
        <f t="shared" ref="AC469:AC501" si="317">AB469*H469</f>
        <v>#N/A</v>
      </c>
      <c r="AD469" s="1126" t="e">
        <f>IF(A470=TRUE,MAX(0,1-(AE469/W469)),"NA")</f>
        <v>#N/A</v>
      </c>
      <c r="AE469" s="1217" t="e">
        <f t="shared" ref="AE469:AE501" si="318">IF(A468=FALSE,"NO APLICA",AB469*1.2)</f>
        <v>#N/A</v>
      </c>
      <c r="AF469" s="1220" t="e">
        <f t="shared" ref="AF469:AF501" si="319">AE469*H469</f>
        <v>#N/A</v>
      </c>
      <c r="AG469" s="1176" t="e">
        <f t="shared" ref="AG469:AG501" si="320">(AC469-N469)/AC469</f>
        <v>#N/A</v>
      </c>
      <c r="AH469" s="1221" t="e">
        <f>IF(AG469&lt;30%,"ERROR","OK")</f>
        <v>#N/A</v>
      </c>
    </row>
    <row r="470" spans="1:34" ht="15.5">
      <c r="A470" s="1216" t="b">
        <f t="shared" si="308"/>
        <v>1</v>
      </c>
      <c r="B470" s="1217" t="b">
        <f t="shared" ref="B470:B501" si="321">A470</f>
        <v>1</v>
      </c>
      <c r="C470" s="1218" t="str">
        <f t="shared" ref="C470:C501" si="322">$C$13</f>
        <v>Dólares</v>
      </c>
      <c r="D470" s="46"/>
      <c r="E470" s="836"/>
      <c r="F470" s="50"/>
      <c r="G470" s="50" t="str">
        <f t="shared" si="309"/>
        <v xml:space="preserve"> </v>
      </c>
      <c r="H470" s="45">
        <v>0</v>
      </c>
      <c r="I470" s="49" t="str">
        <f>IFERROR(VLOOKUP(G470,Proveedores!B:C,2,0)," ")</f>
        <v xml:space="preserve"> </v>
      </c>
      <c r="J470" s="838">
        <v>0</v>
      </c>
      <c r="K470" s="1124"/>
      <c r="L470" s="1266">
        <f t="shared" si="310"/>
        <v>0</v>
      </c>
      <c r="M470" s="1267">
        <f t="shared" si="311"/>
        <v>0</v>
      </c>
      <c r="N470" s="1268">
        <f>M470*H470</f>
        <v>0</v>
      </c>
      <c r="O470" s="836" t="str">
        <f>IFERROR(VLOOKUP(G470,Proveedores!B:D,3,0)," ")</f>
        <v xml:space="preserve"> </v>
      </c>
      <c r="P470" s="836"/>
      <c r="Q470" s="1127" t="e">
        <f t="shared" si="312"/>
        <v>#N/A</v>
      </c>
      <c r="R470" s="1127" t="b">
        <f t="shared" ref="R470:R501" si="323">IF(P470="Centro",Q470,IF(P470="Norte",Q470*1.6,IF(P470="Occidente",Q470*1.2,IF(P470="Sur",Q470*2))))</f>
        <v>0</v>
      </c>
      <c r="S470" s="1127" t="e">
        <f t="shared" si="313"/>
        <v>#N/A</v>
      </c>
      <c r="T470" s="1127" t="b">
        <f t="shared" ref="T470:T501" si="324">IF(P470="Centro",S470,IF(P470="Norte",S470*1.1,IF(P470="Occidente",S470*1.1,IF(P470="Sur",S470*1.1))))</f>
        <v>0</v>
      </c>
      <c r="U470" s="1127" t="e">
        <f t="shared" si="314"/>
        <v>#N/A</v>
      </c>
      <c r="V470" s="1127" t="e">
        <f t="shared" ref="V470:V501" si="325">IF(K470=0,U470/$H$573,U470*(K470/L470))*H470</f>
        <v>#N/A</v>
      </c>
      <c r="W470" s="1127" t="e">
        <f>IF(F470="Offiho",J470,IF(_xlfn.XLOOKUP(F470,Proveedores!A$2:A$50,Proveedores!E$2:E$50,"")="Nacional",(J470/0.5)+(V470*H470),((J470/0.3/0.5)+(V470*H470))))</f>
        <v>#N/A</v>
      </c>
      <c r="X470" s="1127" t="e">
        <f t="shared" si="315"/>
        <v>#N/A</v>
      </c>
      <c r="Y470" s="1126" t="b">
        <f t="shared" si="316"/>
        <v>0</v>
      </c>
      <c r="Z470" s="43">
        <v>0</v>
      </c>
      <c r="AA470" s="1219" t="e">
        <f t="shared" ref="AA470:AA501" si="326">W470*Z470</f>
        <v>#N/A</v>
      </c>
      <c r="AB470" s="1219" t="e">
        <f t="shared" ref="AB470:AB501" si="327">IF(Z470&gt;Y470,"ERROR",(W470-AA470))</f>
        <v>#N/A</v>
      </c>
      <c r="AC470" s="1219" t="e">
        <f t="shared" si="317"/>
        <v>#N/A</v>
      </c>
      <c r="AD470" s="1126" t="e">
        <f t="shared" ref="AD470:AD501" si="328">IF(A471=TRUE,MAX(0,1-(AE470/W470)),"NA")</f>
        <v>#N/A</v>
      </c>
      <c r="AE470" s="1217" t="e">
        <f t="shared" si="318"/>
        <v>#N/A</v>
      </c>
      <c r="AF470" s="1220" t="e">
        <f t="shared" si="319"/>
        <v>#N/A</v>
      </c>
      <c r="AG470" s="1176" t="e">
        <f t="shared" si="320"/>
        <v>#N/A</v>
      </c>
      <c r="AH470" s="1221" t="e">
        <f t="shared" ref="AH470:AH501" si="329">IF(AG470&lt;30%,"ERROR","OK")</f>
        <v>#N/A</v>
      </c>
    </row>
    <row r="471" spans="1:34" ht="15.5">
      <c r="A471" s="1216" t="b">
        <f t="shared" si="308"/>
        <v>1</v>
      </c>
      <c r="B471" s="1217" t="b">
        <f t="shared" si="321"/>
        <v>1</v>
      </c>
      <c r="C471" s="1218" t="str">
        <f t="shared" si="322"/>
        <v>Dólares</v>
      </c>
      <c r="D471" s="46"/>
      <c r="E471" s="836"/>
      <c r="F471" s="50"/>
      <c r="G471" s="50" t="str">
        <f t="shared" si="309"/>
        <v xml:space="preserve"> </v>
      </c>
      <c r="H471" s="45">
        <v>0</v>
      </c>
      <c r="I471" s="49" t="str">
        <f>IFERROR(VLOOKUP(G471,Proveedores!B:C,2,0)," ")</f>
        <v xml:space="preserve"> </v>
      </c>
      <c r="J471" s="838">
        <v>0</v>
      </c>
      <c r="K471" s="1124"/>
      <c r="L471" s="1266">
        <f t="shared" si="310"/>
        <v>0</v>
      </c>
      <c r="M471" s="1267">
        <f t="shared" si="311"/>
        <v>0</v>
      </c>
      <c r="N471" s="1268">
        <f>(M471*H471)</f>
        <v>0</v>
      </c>
      <c r="O471" s="836" t="str">
        <f>IFERROR(VLOOKUP(G471,Proveedores!B:D,3,0)," ")</f>
        <v xml:space="preserve"> </v>
      </c>
      <c r="P471" s="836"/>
      <c r="Q471" s="1127" t="e">
        <f t="shared" si="312"/>
        <v>#N/A</v>
      </c>
      <c r="R471" s="1127" t="b">
        <f t="shared" si="323"/>
        <v>0</v>
      </c>
      <c r="S471" s="1127" t="e">
        <f t="shared" si="313"/>
        <v>#N/A</v>
      </c>
      <c r="T471" s="1127" t="b">
        <f t="shared" si="324"/>
        <v>0</v>
      </c>
      <c r="U471" s="1127" t="e">
        <f t="shared" si="314"/>
        <v>#N/A</v>
      </c>
      <c r="V471" s="1127" t="e">
        <f t="shared" si="325"/>
        <v>#N/A</v>
      </c>
      <c r="W471" s="1127" t="e">
        <f>IF(F471="Offiho",J471,IF(_xlfn.XLOOKUP(F471,Proveedores!A$2:A$50,Proveedores!E$2:E$50,"")="Nacional",(J471/0.5)+(V471*H471),((J471/0.3/0.5)+(V471*H471))))</f>
        <v>#N/A</v>
      </c>
      <c r="X471" s="1127" t="e">
        <f t="shared" si="315"/>
        <v>#N/A</v>
      </c>
      <c r="Y471" s="1126" t="b">
        <f t="shared" si="316"/>
        <v>0</v>
      </c>
      <c r="Z471" s="43">
        <v>0</v>
      </c>
      <c r="AA471" s="1219" t="e">
        <f t="shared" si="326"/>
        <v>#N/A</v>
      </c>
      <c r="AB471" s="1219" t="e">
        <f t="shared" si="327"/>
        <v>#N/A</v>
      </c>
      <c r="AC471" s="1219" t="e">
        <f t="shared" si="317"/>
        <v>#N/A</v>
      </c>
      <c r="AD471" s="1126" t="e">
        <f t="shared" si="328"/>
        <v>#N/A</v>
      </c>
      <c r="AE471" s="1217" t="e">
        <f t="shared" si="318"/>
        <v>#N/A</v>
      </c>
      <c r="AF471" s="1220" t="e">
        <f t="shared" si="319"/>
        <v>#N/A</v>
      </c>
      <c r="AG471" s="1176" t="e">
        <f t="shared" si="320"/>
        <v>#N/A</v>
      </c>
      <c r="AH471" s="1221" t="e">
        <f t="shared" si="329"/>
        <v>#N/A</v>
      </c>
    </row>
    <row r="472" spans="1:34" ht="15.5">
      <c r="A472" s="1216" t="b">
        <f t="shared" si="308"/>
        <v>1</v>
      </c>
      <c r="B472" s="1217" t="b">
        <f t="shared" si="321"/>
        <v>1</v>
      </c>
      <c r="C472" s="1218" t="str">
        <f t="shared" si="322"/>
        <v>Dólares</v>
      </c>
      <c r="D472" s="46"/>
      <c r="E472" s="836"/>
      <c r="F472" s="50"/>
      <c r="G472" s="50" t="str">
        <f t="shared" si="309"/>
        <v xml:space="preserve"> </v>
      </c>
      <c r="H472" s="45">
        <v>0</v>
      </c>
      <c r="I472" s="49" t="str">
        <f>IFERROR(VLOOKUP(G472,Proveedores!B:C,2,0)," ")</f>
        <v xml:space="preserve"> </v>
      </c>
      <c r="J472" s="838">
        <v>0</v>
      </c>
      <c r="K472" s="1124"/>
      <c r="L472" s="1266">
        <f t="shared" si="310"/>
        <v>0</v>
      </c>
      <c r="M472" s="1267">
        <f t="shared" si="311"/>
        <v>0</v>
      </c>
      <c r="N472" s="1268">
        <f t="shared" ref="N472:N501" si="330">M472*H472</f>
        <v>0</v>
      </c>
      <c r="O472" s="836" t="str">
        <f>IFERROR(VLOOKUP(G472,Proveedores!B:D,3,0)," ")</f>
        <v xml:space="preserve"> </v>
      </c>
      <c r="P472" s="836"/>
      <c r="Q472" s="1127" t="e">
        <f t="shared" si="312"/>
        <v>#N/A</v>
      </c>
      <c r="R472" s="1127" t="b">
        <f t="shared" si="323"/>
        <v>0</v>
      </c>
      <c r="S472" s="1127" t="e">
        <f t="shared" si="313"/>
        <v>#N/A</v>
      </c>
      <c r="T472" s="1127" t="b">
        <f t="shared" si="324"/>
        <v>0</v>
      </c>
      <c r="U472" s="1127" t="e">
        <f t="shared" si="314"/>
        <v>#N/A</v>
      </c>
      <c r="V472" s="1127" t="e">
        <f t="shared" si="325"/>
        <v>#N/A</v>
      </c>
      <c r="W472" s="1127" t="e">
        <f>IF(F472="Offiho",J472,IF(_xlfn.XLOOKUP(F472,Proveedores!A$2:A$50,Proveedores!E$2:E$50,"")="Nacional",(J472/0.5)+(V472*H472),((J472/0.3/0.5)+(V472*H472))))</f>
        <v>#N/A</v>
      </c>
      <c r="X472" s="1127" t="e">
        <f t="shared" si="315"/>
        <v>#N/A</v>
      </c>
      <c r="Y472" s="1126" t="b">
        <f t="shared" si="316"/>
        <v>0</v>
      </c>
      <c r="Z472" s="43">
        <v>0</v>
      </c>
      <c r="AA472" s="1219" t="e">
        <f t="shared" si="326"/>
        <v>#N/A</v>
      </c>
      <c r="AB472" s="1219" t="e">
        <f t="shared" si="327"/>
        <v>#N/A</v>
      </c>
      <c r="AC472" s="1219" t="e">
        <f t="shared" si="317"/>
        <v>#N/A</v>
      </c>
      <c r="AD472" s="1126" t="e">
        <f t="shared" si="328"/>
        <v>#N/A</v>
      </c>
      <c r="AE472" s="1217" t="e">
        <f t="shared" si="318"/>
        <v>#N/A</v>
      </c>
      <c r="AF472" s="1220" t="e">
        <f t="shared" si="319"/>
        <v>#N/A</v>
      </c>
      <c r="AG472" s="1176" t="e">
        <f t="shared" si="320"/>
        <v>#N/A</v>
      </c>
      <c r="AH472" s="1221" t="e">
        <f t="shared" si="329"/>
        <v>#N/A</v>
      </c>
    </row>
    <row r="473" spans="1:34" ht="15.5">
      <c r="A473" s="1216" t="b">
        <f t="shared" si="308"/>
        <v>1</v>
      </c>
      <c r="B473" s="1217" t="b">
        <f t="shared" si="321"/>
        <v>1</v>
      </c>
      <c r="C473" s="1218" t="str">
        <f t="shared" si="322"/>
        <v>Dólares</v>
      </c>
      <c r="D473" s="46"/>
      <c r="E473" s="836"/>
      <c r="F473" s="50"/>
      <c r="G473" s="50" t="str">
        <f t="shared" si="309"/>
        <v xml:space="preserve"> </v>
      </c>
      <c r="H473" s="45">
        <v>0</v>
      </c>
      <c r="I473" s="49" t="str">
        <f>IFERROR(VLOOKUP(G473,Proveedores!B:C,2,0)," ")</f>
        <v xml:space="preserve"> </v>
      </c>
      <c r="J473" s="838">
        <v>0</v>
      </c>
      <c r="K473" s="1124"/>
      <c r="L473" s="1266">
        <f t="shared" si="310"/>
        <v>0</v>
      </c>
      <c r="M473" s="1267">
        <f t="shared" si="311"/>
        <v>0</v>
      </c>
      <c r="N473" s="1268">
        <f t="shared" si="330"/>
        <v>0</v>
      </c>
      <c r="O473" s="836" t="str">
        <f>IFERROR(VLOOKUP(G473,Proveedores!B:D,3,0)," ")</f>
        <v xml:space="preserve"> </v>
      </c>
      <c r="P473" s="836"/>
      <c r="Q473" s="1127" t="e">
        <f t="shared" si="312"/>
        <v>#N/A</v>
      </c>
      <c r="R473" s="1127" t="b">
        <f t="shared" si="323"/>
        <v>0</v>
      </c>
      <c r="S473" s="1127" t="e">
        <f t="shared" si="313"/>
        <v>#N/A</v>
      </c>
      <c r="T473" s="1127" t="b">
        <f t="shared" si="324"/>
        <v>0</v>
      </c>
      <c r="U473" s="1127" t="e">
        <f t="shared" si="314"/>
        <v>#N/A</v>
      </c>
      <c r="V473" s="1127" t="e">
        <f t="shared" si="325"/>
        <v>#N/A</v>
      </c>
      <c r="W473" s="1127" t="e">
        <f>IF(F473="Offiho",J473,IF(_xlfn.XLOOKUP(F473,Proveedores!A$2:A$50,Proveedores!E$2:E$50,"")="Nacional",(J473/0.5)+(V473*H473),((J473/0.3/0.5)+(V473*H473))))</f>
        <v>#N/A</v>
      </c>
      <c r="X473" s="1127" t="e">
        <f t="shared" si="315"/>
        <v>#N/A</v>
      </c>
      <c r="Y473" s="1126" t="b">
        <f t="shared" si="316"/>
        <v>0</v>
      </c>
      <c r="Z473" s="43">
        <v>0</v>
      </c>
      <c r="AA473" s="1219" t="e">
        <f t="shared" si="326"/>
        <v>#N/A</v>
      </c>
      <c r="AB473" s="1219" t="e">
        <f t="shared" si="327"/>
        <v>#N/A</v>
      </c>
      <c r="AC473" s="1219" t="e">
        <f t="shared" si="317"/>
        <v>#N/A</v>
      </c>
      <c r="AD473" s="1126" t="e">
        <f t="shared" si="328"/>
        <v>#N/A</v>
      </c>
      <c r="AE473" s="1217" t="e">
        <f t="shared" si="318"/>
        <v>#N/A</v>
      </c>
      <c r="AF473" s="1220" t="e">
        <f t="shared" si="319"/>
        <v>#N/A</v>
      </c>
      <c r="AG473" s="1176" t="e">
        <f t="shared" si="320"/>
        <v>#N/A</v>
      </c>
      <c r="AH473" s="1221" t="e">
        <f t="shared" si="329"/>
        <v>#N/A</v>
      </c>
    </row>
    <row r="474" spans="1:34" ht="15.5">
      <c r="A474" s="1216" t="b">
        <f t="shared" si="308"/>
        <v>1</v>
      </c>
      <c r="B474" s="1217" t="b">
        <f t="shared" si="321"/>
        <v>1</v>
      </c>
      <c r="C474" s="1218" t="str">
        <f t="shared" si="322"/>
        <v>Dólares</v>
      </c>
      <c r="D474" s="46"/>
      <c r="E474" s="836"/>
      <c r="F474" s="50"/>
      <c r="G474" s="50" t="str">
        <f t="shared" si="309"/>
        <v xml:space="preserve"> </v>
      </c>
      <c r="H474" s="45">
        <v>0</v>
      </c>
      <c r="I474" s="49" t="str">
        <f>IFERROR(VLOOKUP(G474,Proveedores!B:C,2,0)," ")</f>
        <v xml:space="preserve"> </v>
      </c>
      <c r="J474" s="838">
        <v>0</v>
      </c>
      <c r="K474" s="1124"/>
      <c r="L474" s="1266">
        <f t="shared" si="310"/>
        <v>0</v>
      </c>
      <c r="M474" s="1267">
        <f t="shared" si="311"/>
        <v>0</v>
      </c>
      <c r="N474" s="1268">
        <f t="shared" si="330"/>
        <v>0</v>
      </c>
      <c r="O474" s="836" t="str">
        <f>IFERROR(VLOOKUP(G474,Proveedores!B:D,3,0)," ")</f>
        <v xml:space="preserve"> </v>
      </c>
      <c r="P474" s="836"/>
      <c r="Q474" s="1127" t="e">
        <f t="shared" si="312"/>
        <v>#N/A</v>
      </c>
      <c r="R474" s="1127" t="b">
        <f t="shared" si="323"/>
        <v>0</v>
      </c>
      <c r="S474" s="1127" t="e">
        <f t="shared" si="313"/>
        <v>#N/A</v>
      </c>
      <c r="T474" s="1127" t="b">
        <f t="shared" si="324"/>
        <v>0</v>
      </c>
      <c r="U474" s="1127" t="e">
        <f t="shared" si="314"/>
        <v>#N/A</v>
      </c>
      <c r="V474" s="1127" t="e">
        <f t="shared" si="325"/>
        <v>#N/A</v>
      </c>
      <c r="W474" s="1127" t="e">
        <f>IF(F474="Offiho",J474,IF(_xlfn.XLOOKUP(F474,Proveedores!A$2:A$50,Proveedores!E$2:E$50,"")="Nacional",(J474/0.5)+(V474*H474),((J474/0.3/0.5)+(V474*H474))))</f>
        <v>#N/A</v>
      </c>
      <c r="X474" s="1127" t="e">
        <f t="shared" si="315"/>
        <v>#N/A</v>
      </c>
      <c r="Y474" s="1126" t="b">
        <f t="shared" si="316"/>
        <v>0</v>
      </c>
      <c r="Z474" s="43">
        <v>0</v>
      </c>
      <c r="AA474" s="1219" t="e">
        <f t="shared" si="326"/>
        <v>#N/A</v>
      </c>
      <c r="AB474" s="1219" t="e">
        <f t="shared" si="327"/>
        <v>#N/A</v>
      </c>
      <c r="AC474" s="1219" t="e">
        <f t="shared" si="317"/>
        <v>#N/A</v>
      </c>
      <c r="AD474" s="1126" t="e">
        <f t="shared" si="328"/>
        <v>#N/A</v>
      </c>
      <c r="AE474" s="1217" t="e">
        <f t="shared" si="318"/>
        <v>#N/A</v>
      </c>
      <c r="AF474" s="1220" t="e">
        <f t="shared" si="319"/>
        <v>#N/A</v>
      </c>
      <c r="AG474" s="1176" t="e">
        <f t="shared" si="320"/>
        <v>#N/A</v>
      </c>
      <c r="AH474" s="1221" t="e">
        <f t="shared" si="329"/>
        <v>#N/A</v>
      </c>
    </row>
    <row r="475" spans="1:34" ht="15.5">
      <c r="A475" s="1216" t="b">
        <f t="shared" si="308"/>
        <v>1</v>
      </c>
      <c r="B475" s="1217" t="b">
        <f t="shared" si="321"/>
        <v>1</v>
      </c>
      <c r="C475" s="1218" t="str">
        <f t="shared" si="322"/>
        <v>Dólares</v>
      </c>
      <c r="D475" s="44"/>
      <c r="E475" s="836"/>
      <c r="F475" s="50"/>
      <c r="G475" s="50" t="str">
        <f t="shared" si="309"/>
        <v xml:space="preserve"> </v>
      </c>
      <c r="H475" s="45">
        <v>0</v>
      </c>
      <c r="I475" s="49" t="str">
        <f>IFERROR(VLOOKUP(G475,Proveedores!B:C,2,0)," ")</f>
        <v xml:space="preserve"> </v>
      </c>
      <c r="J475" s="838">
        <v>0</v>
      </c>
      <c r="K475" s="1124"/>
      <c r="L475" s="1266">
        <f t="shared" si="310"/>
        <v>0</v>
      </c>
      <c r="M475" s="1267">
        <f t="shared" si="311"/>
        <v>0</v>
      </c>
      <c r="N475" s="1268">
        <f t="shared" si="330"/>
        <v>0</v>
      </c>
      <c r="O475" s="836" t="str">
        <f>IFERROR(VLOOKUP(G475,Proveedores!B:D,3,0)," ")</f>
        <v xml:space="preserve"> </v>
      </c>
      <c r="P475" s="836"/>
      <c r="Q475" s="1127" t="e">
        <f t="shared" si="312"/>
        <v>#N/A</v>
      </c>
      <c r="R475" s="1127" t="b">
        <f t="shared" si="323"/>
        <v>0</v>
      </c>
      <c r="S475" s="1127" t="e">
        <f t="shared" si="313"/>
        <v>#N/A</v>
      </c>
      <c r="T475" s="1127" t="b">
        <f t="shared" si="324"/>
        <v>0</v>
      </c>
      <c r="U475" s="1127" t="e">
        <f t="shared" si="314"/>
        <v>#N/A</v>
      </c>
      <c r="V475" s="1127" t="e">
        <f t="shared" si="325"/>
        <v>#N/A</v>
      </c>
      <c r="W475" s="1127" t="e">
        <f>IF(F475="Offiho",J475,IF(_xlfn.XLOOKUP(F475,Proveedores!A$2:A$50,Proveedores!E$2:E$50,"")="Nacional",(J475/0.5)+(V475*H475),((J475/0.3/0.5)+(V475*H475))))</f>
        <v>#N/A</v>
      </c>
      <c r="X475" s="1127" t="e">
        <f t="shared" si="315"/>
        <v>#N/A</v>
      </c>
      <c r="Y475" s="1126" t="b">
        <f t="shared" si="316"/>
        <v>0</v>
      </c>
      <c r="Z475" s="43">
        <v>0</v>
      </c>
      <c r="AA475" s="1219" t="e">
        <f t="shared" si="326"/>
        <v>#N/A</v>
      </c>
      <c r="AB475" s="1219" t="e">
        <f t="shared" si="327"/>
        <v>#N/A</v>
      </c>
      <c r="AC475" s="1219" t="e">
        <f t="shared" si="317"/>
        <v>#N/A</v>
      </c>
      <c r="AD475" s="1126" t="e">
        <f t="shared" si="328"/>
        <v>#N/A</v>
      </c>
      <c r="AE475" s="1217" t="e">
        <f t="shared" si="318"/>
        <v>#N/A</v>
      </c>
      <c r="AF475" s="1220" t="e">
        <f t="shared" si="319"/>
        <v>#N/A</v>
      </c>
      <c r="AG475" s="1176" t="e">
        <f t="shared" si="320"/>
        <v>#N/A</v>
      </c>
      <c r="AH475" s="1221" t="e">
        <f t="shared" si="329"/>
        <v>#N/A</v>
      </c>
    </row>
    <row r="476" spans="1:34" ht="15.5">
      <c r="A476" s="1216" t="b">
        <f t="shared" si="308"/>
        <v>1</v>
      </c>
      <c r="B476" s="1217" t="b">
        <f t="shared" si="321"/>
        <v>1</v>
      </c>
      <c r="C476" s="1218" t="str">
        <f t="shared" si="322"/>
        <v>Dólares</v>
      </c>
      <c r="D476" s="44"/>
      <c r="E476" s="836"/>
      <c r="F476" s="50"/>
      <c r="G476" s="50" t="str">
        <f t="shared" si="309"/>
        <v xml:space="preserve"> </v>
      </c>
      <c r="H476" s="45">
        <v>0</v>
      </c>
      <c r="I476" s="49" t="str">
        <f>IFERROR(VLOOKUP(G476,Proveedores!B:C,2,0)," ")</f>
        <v xml:space="preserve"> </v>
      </c>
      <c r="J476" s="838">
        <v>0</v>
      </c>
      <c r="K476" s="1124"/>
      <c r="L476" s="1266">
        <f t="shared" si="310"/>
        <v>0</v>
      </c>
      <c r="M476" s="1267">
        <f t="shared" si="311"/>
        <v>0</v>
      </c>
      <c r="N476" s="1268">
        <f t="shared" si="330"/>
        <v>0</v>
      </c>
      <c r="O476" s="836" t="str">
        <f>IFERROR(VLOOKUP(G476,Proveedores!B:D,3,0)," ")</f>
        <v xml:space="preserve"> </v>
      </c>
      <c r="P476" s="836"/>
      <c r="Q476" s="1127" t="e">
        <f t="shared" si="312"/>
        <v>#N/A</v>
      </c>
      <c r="R476" s="1127" t="b">
        <f t="shared" si="323"/>
        <v>0</v>
      </c>
      <c r="S476" s="1127" t="e">
        <f t="shared" si="313"/>
        <v>#N/A</v>
      </c>
      <c r="T476" s="1127" t="b">
        <f t="shared" si="324"/>
        <v>0</v>
      </c>
      <c r="U476" s="1127" t="e">
        <f t="shared" si="314"/>
        <v>#N/A</v>
      </c>
      <c r="V476" s="1127" t="e">
        <f t="shared" si="325"/>
        <v>#N/A</v>
      </c>
      <c r="W476" s="1127" t="e">
        <f>IF(F476="Offiho",J476,IF(_xlfn.XLOOKUP(F476,Proveedores!A$2:A$50,Proveedores!E$2:E$50,"")="Nacional",(J476/0.5)+(V476*H476),((J476/0.3/0.5)+(V476*H476))))</f>
        <v>#N/A</v>
      </c>
      <c r="X476" s="1127" t="e">
        <f t="shared" si="315"/>
        <v>#N/A</v>
      </c>
      <c r="Y476" s="1126" t="b">
        <f t="shared" si="316"/>
        <v>0</v>
      </c>
      <c r="Z476" s="43">
        <v>0</v>
      </c>
      <c r="AA476" s="1219" t="e">
        <f t="shared" si="326"/>
        <v>#N/A</v>
      </c>
      <c r="AB476" s="1219" t="e">
        <f t="shared" si="327"/>
        <v>#N/A</v>
      </c>
      <c r="AC476" s="1219" t="e">
        <f t="shared" si="317"/>
        <v>#N/A</v>
      </c>
      <c r="AD476" s="1126" t="e">
        <f t="shared" si="328"/>
        <v>#N/A</v>
      </c>
      <c r="AE476" s="1217" t="e">
        <f t="shared" si="318"/>
        <v>#N/A</v>
      </c>
      <c r="AF476" s="1220" t="e">
        <f t="shared" si="319"/>
        <v>#N/A</v>
      </c>
      <c r="AG476" s="1176" t="e">
        <f t="shared" si="320"/>
        <v>#N/A</v>
      </c>
      <c r="AH476" s="1221" t="e">
        <f t="shared" si="329"/>
        <v>#N/A</v>
      </c>
    </row>
    <row r="477" spans="1:34" ht="15.5">
      <c r="A477" s="1216" t="b">
        <f t="shared" si="308"/>
        <v>1</v>
      </c>
      <c r="B477" s="1217" t="b">
        <f t="shared" si="321"/>
        <v>1</v>
      </c>
      <c r="C477" s="1218" t="str">
        <f t="shared" si="322"/>
        <v>Dólares</v>
      </c>
      <c r="D477" s="44"/>
      <c r="E477" s="836"/>
      <c r="F477" s="50"/>
      <c r="G477" s="50" t="str">
        <f t="shared" si="309"/>
        <v xml:space="preserve"> </v>
      </c>
      <c r="H477" s="45">
        <v>0</v>
      </c>
      <c r="I477" s="49" t="str">
        <f>IFERROR(VLOOKUP(G477,Proveedores!B:C,2,0)," ")</f>
        <v xml:space="preserve"> </v>
      </c>
      <c r="J477" s="838">
        <v>0</v>
      </c>
      <c r="K477" s="1124"/>
      <c r="L477" s="1266">
        <f t="shared" si="310"/>
        <v>0</v>
      </c>
      <c r="M477" s="1267">
        <f t="shared" si="311"/>
        <v>0</v>
      </c>
      <c r="N477" s="1268">
        <f t="shared" si="330"/>
        <v>0</v>
      </c>
      <c r="O477" s="836" t="str">
        <f>IFERROR(VLOOKUP(G477,Proveedores!B:D,3,0)," ")</f>
        <v xml:space="preserve"> </v>
      </c>
      <c r="P477" s="836"/>
      <c r="Q477" s="1127" t="e">
        <f t="shared" si="312"/>
        <v>#N/A</v>
      </c>
      <c r="R477" s="1127" t="b">
        <f t="shared" si="323"/>
        <v>0</v>
      </c>
      <c r="S477" s="1127" t="e">
        <f t="shared" si="313"/>
        <v>#N/A</v>
      </c>
      <c r="T477" s="1127" t="b">
        <f t="shared" si="324"/>
        <v>0</v>
      </c>
      <c r="U477" s="1127" t="e">
        <f t="shared" si="314"/>
        <v>#N/A</v>
      </c>
      <c r="V477" s="1127" t="e">
        <f t="shared" si="325"/>
        <v>#N/A</v>
      </c>
      <c r="W477" s="1127" t="e">
        <f>IF(F477="Offiho",J477,IF(_xlfn.XLOOKUP(F477,Proveedores!A$2:A$50,Proveedores!E$2:E$50,"")="Nacional",(J477/0.5)+(V477*H477),((J477/0.3/0.5)+(V477*H477))))</f>
        <v>#N/A</v>
      </c>
      <c r="X477" s="1127" t="e">
        <f t="shared" si="315"/>
        <v>#N/A</v>
      </c>
      <c r="Y477" s="1126" t="b">
        <f t="shared" si="316"/>
        <v>0</v>
      </c>
      <c r="Z477" s="43">
        <v>0</v>
      </c>
      <c r="AA477" s="1219" t="e">
        <f t="shared" si="326"/>
        <v>#N/A</v>
      </c>
      <c r="AB477" s="1219" t="e">
        <f t="shared" si="327"/>
        <v>#N/A</v>
      </c>
      <c r="AC477" s="1219" t="e">
        <f t="shared" si="317"/>
        <v>#N/A</v>
      </c>
      <c r="AD477" s="1126" t="e">
        <f t="shared" si="328"/>
        <v>#N/A</v>
      </c>
      <c r="AE477" s="1217" t="e">
        <f t="shared" si="318"/>
        <v>#N/A</v>
      </c>
      <c r="AF477" s="1220" t="e">
        <f t="shared" si="319"/>
        <v>#N/A</v>
      </c>
      <c r="AG477" s="1176" t="e">
        <f t="shared" si="320"/>
        <v>#N/A</v>
      </c>
      <c r="AH477" s="1221" t="e">
        <f t="shared" si="329"/>
        <v>#N/A</v>
      </c>
    </row>
    <row r="478" spans="1:34" ht="15.5">
      <c r="A478" s="1216" t="b">
        <f t="shared" si="308"/>
        <v>1</v>
      </c>
      <c r="B478" s="1217" t="b">
        <f t="shared" si="321"/>
        <v>1</v>
      </c>
      <c r="C478" s="1218" t="str">
        <f t="shared" si="322"/>
        <v>Dólares</v>
      </c>
      <c r="D478" s="44"/>
      <c r="E478" s="836"/>
      <c r="F478" s="50"/>
      <c r="G478" s="50" t="str">
        <f t="shared" si="309"/>
        <v xml:space="preserve"> </v>
      </c>
      <c r="H478" s="45">
        <v>0</v>
      </c>
      <c r="I478" s="49" t="str">
        <f>IFERROR(VLOOKUP(G478,Proveedores!B:C,2,0)," ")</f>
        <v xml:space="preserve"> </v>
      </c>
      <c r="J478" s="838">
        <v>0</v>
      </c>
      <c r="K478" s="1124"/>
      <c r="L478" s="1266">
        <f t="shared" si="310"/>
        <v>0</v>
      </c>
      <c r="M478" s="1267">
        <f t="shared" si="311"/>
        <v>0</v>
      </c>
      <c r="N478" s="1268">
        <f t="shared" si="330"/>
        <v>0</v>
      </c>
      <c r="O478" s="836" t="str">
        <f>IFERROR(VLOOKUP(G478,Proveedores!B:D,3,0)," ")</f>
        <v xml:space="preserve"> </v>
      </c>
      <c r="P478" s="836"/>
      <c r="Q478" s="1127" t="e">
        <f t="shared" si="312"/>
        <v>#N/A</v>
      </c>
      <c r="R478" s="1127" t="b">
        <f t="shared" si="323"/>
        <v>0</v>
      </c>
      <c r="S478" s="1127" t="e">
        <f t="shared" si="313"/>
        <v>#N/A</v>
      </c>
      <c r="T478" s="1127" t="b">
        <f t="shared" si="324"/>
        <v>0</v>
      </c>
      <c r="U478" s="1127" t="e">
        <f t="shared" si="314"/>
        <v>#N/A</v>
      </c>
      <c r="V478" s="1127" t="e">
        <f t="shared" si="325"/>
        <v>#N/A</v>
      </c>
      <c r="W478" s="1127" t="e">
        <f>IF(F478="Offiho",J478,IF(_xlfn.XLOOKUP(F478,Proveedores!A$2:A$50,Proveedores!E$2:E$50,"")="Nacional",(J478/0.5)+(V478*H478),((J478/0.3/0.5)+(V478*H478))))</f>
        <v>#N/A</v>
      </c>
      <c r="X478" s="1127" t="e">
        <f t="shared" si="315"/>
        <v>#N/A</v>
      </c>
      <c r="Y478" s="1126" t="b">
        <f t="shared" si="316"/>
        <v>0</v>
      </c>
      <c r="Z478" s="43">
        <v>0</v>
      </c>
      <c r="AA478" s="1219" t="e">
        <f t="shared" si="326"/>
        <v>#N/A</v>
      </c>
      <c r="AB478" s="1219" t="e">
        <f t="shared" si="327"/>
        <v>#N/A</v>
      </c>
      <c r="AC478" s="1219" t="e">
        <f t="shared" si="317"/>
        <v>#N/A</v>
      </c>
      <c r="AD478" s="1126" t="e">
        <f t="shared" si="328"/>
        <v>#N/A</v>
      </c>
      <c r="AE478" s="1217" t="e">
        <f t="shared" si="318"/>
        <v>#N/A</v>
      </c>
      <c r="AF478" s="1220" t="e">
        <f t="shared" si="319"/>
        <v>#N/A</v>
      </c>
      <c r="AG478" s="1176" t="e">
        <f t="shared" si="320"/>
        <v>#N/A</v>
      </c>
      <c r="AH478" s="1221" t="e">
        <f t="shared" si="329"/>
        <v>#N/A</v>
      </c>
    </row>
    <row r="479" spans="1:34" ht="15.5">
      <c r="A479" s="1216" t="b">
        <f t="shared" si="308"/>
        <v>1</v>
      </c>
      <c r="B479" s="1217" t="b">
        <f t="shared" si="321"/>
        <v>1</v>
      </c>
      <c r="C479" s="1218" t="str">
        <f t="shared" si="322"/>
        <v>Dólares</v>
      </c>
      <c r="D479" s="46"/>
      <c r="E479" s="836"/>
      <c r="F479" s="50"/>
      <c r="G479" s="50" t="str">
        <f t="shared" si="309"/>
        <v xml:space="preserve"> </v>
      </c>
      <c r="H479" s="45">
        <v>0</v>
      </c>
      <c r="I479" s="49" t="str">
        <f>IFERROR(VLOOKUP(G479,Proveedores!B:C,2,0)," ")</f>
        <v xml:space="preserve"> </v>
      </c>
      <c r="J479" s="838">
        <v>0</v>
      </c>
      <c r="K479" s="1124"/>
      <c r="L479" s="1266">
        <f t="shared" si="310"/>
        <v>0</v>
      </c>
      <c r="M479" s="1267">
        <f t="shared" si="311"/>
        <v>0</v>
      </c>
      <c r="N479" s="1268">
        <f t="shared" si="330"/>
        <v>0</v>
      </c>
      <c r="O479" s="836" t="str">
        <f>IFERROR(VLOOKUP(G479,Proveedores!B:D,3,0)," ")</f>
        <v xml:space="preserve"> </v>
      </c>
      <c r="P479" s="836"/>
      <c r="Q479" s="1127" t="e">
        <f t="shared" si="312"/>
        <v>#N/A</v>
      </c>
      <c r="R479" s="1127" t="b">
        <f t="shared" si="323"/>
        <v>0</v>
      </c>
      <c r="S479" s="1127" t="e">
        <f t="shared" si="313"/>
        <v>#N/A</v>
      </c>
      <c r="T479" s="1127" t="b">
        <f t="shared" si="324"/>
        <v>0</v>
      </c>
      <c r="U479" s="1127" t="e">
        <f t="shared" si="314"/>
        <v>#N/A</v>
      </c>
      <c r="V479" s="1127" t="e">
        <f t="shared" si="325"/>
        <v>#N/A</v>
      </c>
      <c r="W479" s="1127" t="e">
        <f>IF(F479="Offiho",J479,IF(_xlfn.XLOOKUP(F479,Proveedores!A$2:A$50,Proveedores!E$2:E$50,"")="Nacional",(J479/0.5)+(V479*H479),((J479/0.3/0.5)+(V479*H479))))</f>
        <v>#N/A</v>
      </c>
      <c r="X479" s="1127" t="e">
        <f t="shared" si="315"/>
        <v>#N/A</v>
      </c>
      <c r="Y479" s="1126" t="b">
        <f t="shared" si="316"/>
        <v>0</v>
      </c>
      <c r="Z479" s="43">
        <v>0</v>
      </c>
      <c r="AA479" s="1219" t="e">
        <f t="shared" si="326"/>
        <v>#N/A</v>
      </c>
      <c r="AB479" s="1219" t="e">
        <f t="shared" si="327"/>
        <v>#N/A</v>
      </c>
      <c r="AC479" s="1219" t="e">
        <f t="shared" si="317"/>
        <v>#N/A</v>
      </c>
      <c r="AD479" s="1126" t="e">
        <f t="shared" si="328"/>
        <v>#N/A</v>
      </c>
      <c r="AE479" s="1217" t="e">
        <f t="shared" si="318"/>
        <v>#N/A</v>
      </c>
      <c r="AF479" s="1220" t="e">
        <f t="shared" si="319"/>
        <v>#N/A</v>
      </c>
      <c r="AG479" s="1176" t="e">
        <f t="shared" si="320"/>
        <v>#N/A</v>
      </c>
      <c r="AH479" s="1221" t="e">
        <f t="shared" si="329"/>
        <v>#N/A</v>
      </c>
    </row>
    <row r="480" spans="1:34" ht="15.5">
      <c r="A480" s="1216" t="b">
        <f t="shared" si="308"/>
        <v>1</v>
      </c>
      <c r="B480" s="1217" t="b">
        <f t="shared" si="321"/>
        <v>1</v>
      </c>
      <c r="C480" s="1218" t="str">
        <f t="shared" si="322"/>
        <v>Dólares</v>
      </c>
      <c r="D480" s="46"/>
      <c r="E480" s="836"/>
      <c r="F480" s="50"/>
      <c r="G480" s="50" t="str">
        <f t="shared" si="309"/>
        <v xml:space="preserve"> </v>
      </c>
      <c r="H480" s="45">
        <v>0</v>
      </c>
      <c r="I480" s="49" t="str">
        <f>IFERROR(VLOOKUP(G480,Proveedores!B:C,2,0)," ")</f>
        <v xml:space="preserve"> </v>
      </c>
      <c r="J480" s="838">
        <v>0</v>
      </c>
      <c r="K480" s="1124"/>
      <c r="L480" s="1266">
        <f t="shared" si="310"/>
        <v>0</v>
      </c>
      <c r="M480" s="1267">
        <f t="shared" si="311"/>
        <v>0</v>
      </c>
      <c r="N480" s="1268">
        <f t="shared" si="330"/>
        <v>0</v>
      </c>
      <c r="O480" s="836" t="str">
        <f>IFERROR(VLOOKUP(G480,Proveedores!B:D,3,0)," ")</f>
        <v xml:space="preserve"> </v>
      </c>
      <c r="P480" s="836"/>
      <c r="Q480" s="1127" t="e">
        <f t="shared" si="312"/>
        <v>#N/A</v>
      </c>
      <c r="R480" s="1127" t="b">
        <f t="shared" si="323"/>
        <v>0</v>
      </c>
      <c r="S480" s="1127" t="e">
        <f t="shared" si="313"/>
        <v>#N/A</v>
      </c>
      <c r="T480" s="1127" t="b">
        <f t="shared" si="324"/>
        <v>0</v>
      </c>
      <c r="U480" s="1127" t="e">
        <f t="shared" si="314"/>
        <v>#N/A</v>
      </c>
      <c r="V480" s="1127" t="e">
        <f t="shared" si="325"/>
        <v>#N/A</v>
      </c>
      <c r="W480" s="1127" t="e">
        <f>IF(F480="Offiho",J480,IF(_xlfn.XLOOKUP(F480,Proveedores!A$2:A$50,Proveedores!E$2:E$50,"")="Nacional",(J480/0.5)+(V480*H480),((J480/0.3/0.5)+(V480*H480))))</f>
        <v>#N/A</v>
      </c>
      <c r="X480" s="1127" t="e">
        <f t="shared" si="315"/>
        <v>#N/A</v>
      </c>
      <c r="Y480" s="1126" t="b">
        <f t="shared" si="316"/>
        <v>0</v>
      </c>
      <c r="Z480" s="43">
        <v>0</v>
      </c>
      <c r="AA480" s="1219" t="e">
        <f t="shared" si="326"/>
        <v>#N/A</v>
      </c>
      <c r="AB480" s="1219" t="e">
        <f t="shared" si="327"/>
        <v>#N/A</v>
      </c>
      <c r="AC480" s="1219" t="e">
        <f t="shared" si="317"/>
        <v>#N/A</v>
      </c>
      <c r="AD480" s="1126" t="e">
        <f t="shared" si="328"/>
        <v>#N/A</v>
      </c>
      <c r="AE480" s="1217" t="e">
        <f t="shared" si="318"/>
        <v>#N/A</v>
      </c>
      <c r="AF480" s="1220" t="e">
        <f t="shared" si="319"/>
        <v>#N/A</v>
      </c>
      <c r="AG480" s="1176" t="e">
        <f t="shared" si="320"/>
        <v>#N/A</v>
      </c>
      <c r="AH480" s="1221" t="e">
        <f t="shared" si="329"/>
        <v>#N/A</v>
      </c>
    </row>
    <row r="481" spans="1:34" ht="15.5">
      <c r="A481" s="1216" t="b">
        <f t="shared" si="308"/>
        <v>1</v>
      </c>
      <c r="B481" s="1217" t="b">
        <f t="shared" si="321"/>
        <v>1</v>
      </c>
      <c r="C481" s="1218" t="str">
        <f t="shared" si="322"/>
        <v>Dólares</v>
      </c>
      <c r="D481" s="46"/>
      <c r="E481" s="836"/>
      <c r="F481" s="50"/>
      <c r="G481" s="50" t="str">
        <f t="shared" si="309"/>
        <v xml:space="preserve"> </v>
      </c>
      <c r="H481" s="45">
        <v>0</v>
      </c>
      <c r="I481" s="49" t="str">
        <f>IFERROR(VLOOKUP(G481,Proveedores!B:C,2,0)," ")</f>
        <v xml:space="preserve"> </v>
      </c>
      <c r="J481" s="838">
        <v>0</v>
      </c>
      <c r="K481" s="1124"/>
      <c r="L481" s="1266">
        <f t="shared" si="310"/>
        <v>0</v>
      </c>
      <c r="M481" s="1267">
        <f t="shared" si="311"/>
        <v>0</v>
      </c>
      <c r="N481" s="1268">
        <f t="shared" si="330"/>
        <v>0</v>
      </c>
      <c r="O481" s="836" t="str">
        <f>IFERROR(VLOOKUP(G481,Proveedores!B:D,3,0)," ")</f>
        <v xml:space="preserve"> </v>
      </c>
      <c r="P481" s="836"/>
      <c r="Q481" s="1127" t="e">
        <f t="shared" si="312"/>
        <v>#N/A</v>
      </c>
      <c r="R481" s="1127" t="b">
        <f t="shared" si="323"/>
        <v>0</v>
      </c>
      <c r="S481" s="1127" t="e">
        <f t="shared" si="313"/>
        <v>#N/A</v>
      </c>
      <c r="T481" s="1127" t="b">
        <f t="shared" si="324"/>
        <v>0</v>
      </c>
      <c r="U481" s="1127" t="e">
        <f t="shared" si="314"/>
        <v>#N/A</v>
      </c>
      <c r="V481" s="1127" t="e">
        <f t="shared" si="325"/>
        <v>#N/A</v>
      </c>
      <c r="W481" s="1127" t="e">
        <f>IF(F481="Offiho",J481,IF(_xlfn.XLOOKUP(F481,Proveedores!A$2:A$50,Proveedores!E$2:E$50,"")="Nacional",(J481/0.5)+(V481*H481),((J481/0.3/0.5)+(V481*H481))))</f>
        <v>#N/A</v>
      </c>
      <c r="X481" s="1127" t="e">
        <f t="shared" si="315"/>
        <v>#N/A</v>
      </c>
      <c r="Y481" s="1126" t="b">
        <f t="shared" si="316"/>
        <v>0</v>
      </c>
      <c r="Z481" s="43">
        <v>0</v>
      </c>
      <c r="AA481" s="1219" t="e">
        <f t="shared" si="326"/>
        <v>#N/A</v>
      </c>
      <c r="AB481" s="1219" t="e">
        <f t="shared" si="327"/>
        <v>#N/A</v>
      </c>
      <c r="AC481" s="1219" t="e">
        <f t="shared" si="317"/>
        <v>#N/A</v>
      </c>
      <c r="AD481" s="1126" t="e">
        <f t="shared" si="328"/>
        <v>#N/A</v>
      </c>
      <c r="AE481" s="1217" t="e">
        <f t="shared" si="318"/>
        <v>#N/A</v>
      </c>
      <c r="AF481" s="1220" t="e">
        <f t="shared" si="319"/>
        <v>#N/A</v>
      </c>
      <c r="AG481" s="1176" t="e">
        <f t="shared" si="320"/>
        <v>#N/A</v>
      </c>
      <c r="AH481" s="1221" t="e">
        <f t="shared" si="329"/>
        <v>#N/A</v>
      </c>
    </row>
    <row r="482" spans="1:34" ht="15.5">
      <c r="A482" s="1216" t="b">
        <f t="shared" si="308"/>
        <v>1</v>
      </c>
      <c r="B482" s="1217" t="b">
        <f t="shared" si="321"/>
        <v>1</v>
      </c>
      <c r="C482" s="1218" t="str">
        <f t="shared" si="322"/>
        <v>Dólares</v>
      </c>
      <c r="D482" s="46"/>
      <c r="E482" s="836"/>
      <c r="F482" s="50"/>
      <c r="G482" s="50" t="str">
        <f t="shared" si="309"/>
        <v xml:space="preserve"> </v>
      </c>
      <c r="H482" s="45">
        <v>0</v>
      </c>
      <c r="I482" s="49" t="str">
        <f>IFERROR(VLOOKUP(G482,Proveedores!B:C,2,0)," ")</f>
        <v xml:space="preserve"> </v>
      </c>
      <c r="J482" s="838">
        <v>0</v>
      </c>
      <c r="K482" s="1124"/>
      <c r="L482" s="1266">
        <f t="shared" si="310"/>
        <v>0</v>
      </c>
      <c r="M482" s="1267">
        <f t="shared" si="311"/>
        <v>0</v>
      </c>
      <c r="N482" s="1268">
        <f t="shared" si="330"/>
        <v>0</v>
      </c>
      <c r="O482" s="836" t="str">
        <f>IFERROR(VLOOKUP(G482,Proveedores!B:D,3,0)," ")</f>
        <v xml:space="preserve"> </v>
      </c>
      <c r="P482" s="836"/>
      <c r="Q482" s="1127" t="e">
        <f t="shared" si="312"/>
        <v>#N/A</v>
      </c>
      <c r="R482" s="1127" t="b">
        <f t="shared" si="323"/>
        <v>0</v>
      </c>
      <c r="S482" s="1127" t="e">
        <f t="shared" si="313"/>
        <v>#N/A</v>
      </c>
      <c r="T482" s="1127" t="b">
        <f t="shared" si="324"/>
        <v>0</v>
      </c>
      <c r="U482" s="1127" t="e">
        <f t="shared" si="314"/>
        <v>#N/A</v>
      </c>
      <c r="V482" s="1127" t="e">
        <f t="shared" si="325"/>
        <v>#N/A</v>
      </c>
      <c r="W482" s="1127" t="e">
        <f>IF(F482="Offiho",J482,IF(_xlfn.XLOOKUP(F482,Proveedores!A$2:A$50,Proveedores!E$2:E$50,"")="Nacional",(J482/0.5)+(V482*H482),((J482/0.3/0.5)+(V482*H482))))</f>
        <v>#N/A</v>
      </c>
      <c r="X482" s="1127" t="e">
        <f t="shared" si="315"/>
        <v>#N/A</v>
      </c>
      <c r="Y482" s="1126" t="b">
        <f t="shared" si="316"/>
        <v>0</v>
      </c>
      <c r="Z482" s="43">
        <v>0</v>
      </c>
      <c r="AA482" s="1219" t="e">
        <f t="shared" si="326"/>
        <v>#N/A</v>
      </c>
      <c r="AB482" s="1219" t="e">
        <f t="shared" si="327"/>
        <v>#N/A</v>
      </c>
      <c r="AC482" s="1219" t="e">
        <f t="shared" si="317"/>
        <v>#N/A</v>
      </c>
      <c r="AD482" s="1126" t="e">
        <f t="shared" si="328"/>
        <v>#N/A</v>
      </c>
      <c r="AE482" s="1217" t="e">
        <f t="shared" si="318"/>
        <v>#N/A</v>
      </c>
      <c r="AF482" s="1220" t="e">
        <f t="shared" si="319"/>
        <v>#N/A</v>
      </c>
      <c r="AG482" s="1176" t="e">
        <f t="shared" si="320"/>
        <v>#N/A</v>
      </c>
      <c r="AH482" s="1221" t="e">
        <f t="shared" si="329"/>
        <v>#N/A</v>
      </c>
    </row>
    <row r="483" spans="1:34" ht="15.5">
      <c r="A483" s="1216" t="b">
        <f t="shared" si="308"/>
        <v>1</v>
      </c>
      <c r="B483" s="1217" t="b">
        <f t="shared" si="321"/>
        <v>1</v>
      </c>
      <c r="C483" s="1218" t="str">
        <f t="shared" si="322"/>
        <v>Dólares</v>
      </c>
      <c r="D483" s="46"/>
      <c r="E483" s="836"/>
      <c r="F483" s="50"/>
      <c r="G483" s="50" t="str">
        <f t="shared" si="309"/>
        <v xml:space="preserve"> </v>
      </c>
      <c r="H483" s="45">
        <v>0</v>
      </c>
      <c r="I483" s="49" t="str">
        <f>IFERROR(VLOOKUP(G483,Proveedores!B:C,2,0)," ")</f>
        <v xml:space="preserve"> </v>
      </c>
      <c r="J483" s="838">
        <v>0</v>
      </c>
      <c r="K483" s="1124"/>
      <c r="L483" s="1266">
        <f t="shared" si="310"/>
        <v>0</v>
      </c>
      <c r="M483" s="1267">
        <f t="shared" si="311"/>
        <v>0</v>
      </c>
      <c r="N483" s="1268">
        <f t="shared" si="330"/>
        <v>0</v>
      </c>
      <c r="O483" s="836" t="str">
        <f>IFERROR(VLOOKUP(G483,Proveedores!B:D,3,0)," ")</f>
        <v xml:space="preserve"> </v>
      </c>
      <c r="P483" s="836"/>
      <c r="Q483" s="1127" t="e">
        <f t="shared" si="312"/>
        <v>#N/A</v>
      </c>
      <c r="R483" s="1127" t="b">
        <f t="shared" si="323"/>
        <v>0</v>
      </c>
      <c r="S483" s="1127" t="e">
        <f t="shared" si="313"/>
        <v>#N/A</v>
      </c>
      <c r="T483" s="1127" t="b">
        <f t="shared" si="324"/>
        <v>0</v>
      </c>
      <c r="U483" s="1127" t="e">
        <f t="shared" si="314"/>
        <v>#N/A</v>
      </c>
      <c r="V483" s="1127" t="e">
        <f t="shared" si="325"/>
        <v>#N/A</v>
      </c>
      <c r="W483" s="1127" t="e">
        <f>IF(F483="Offiho",J483,IF(_xlfn.XLOOKUP(F483,Proveedores!A$2:A$50,Proveedores!E$2:E$50,"")="Nacional",(J483/0.5)+(V483*H483),((J483/0.3/0.5)+(V483*H483))))</f>
        <v>#N/A</v>
      </c>
      <c r="X483" s="1127" t="e">
        <f t="shared" si="315"/>
        <v>#N/A</v>
      </c>
      <c r="Y483" s="1126" t="b">
        <f t="shared" si="316"/>
        <v>0</v>
      </c>
      <c r="Z483" s="43">
        <v>0</v>
      </c>
      <c r="AA483" s="1219" t="e">
        <f t="shared" si="326"/>
        <v>#N/A</v>
      </c>
      <c r="AB483" s="1219" t="e">
        <f t="shared" si="327"/>
        <v>#N/A</v>
      </c>
      <c r="AC483" s="1219" t="e">
        <f t="shared" si="317"/>
        <v>#N/A</v>
      </c>
      <c r="AD483" s="1126" t="e">
        <f t="shared" si="328"/>
        <v>#N/A</v>
      </c>
      <c r="AE483" s="1217" t="e">
        <f t="shared" si="318"/>
        <v>#N/A</v>
      </c>
      <c r="AF483" s="1220" t="e">
        <f t="shared" si="319"/>
        <v>#N/A</v>
      </c>
      <c r="AG483" s="1176" t="e">
        <f t="shared" si="320"/>
        <v>#N/A</v>
      </c>
      <c r="AH483" s="1221" t="e">
        <f t="shared" si="329"/>
        <v>#N/A</v>
      </c>
    </row>
    <row r="484" spans="1:34" ht="15.5">
      <c r="A484" s="1216" t="b">
        <f t="shared" si="308"/>
        <v>1</v>
      </c>
      <c r="B484" s="1217" t="b">
        <f t="shared" si="321"/>
        <v>1</v>
      </c>
      <c r="C484" s="1218" t="str">
        <f t="shared" si="322"/>
        <v>Dólares</v>
      </c>
      <c r="D484" s="46"/>
      <c r="E484" s="836"/>
      <c r="F484" s="50"/>
      <c r="G484" s="50" t="str">
        <f t="shared" si="309"/>
        <v xml:space="preserve"> </v>
      </c>
      <c r="H484" s="45">
        <v>0</v>
      </c>
      <c r="I484" s="49" t="str">
        <f>IFERROR(VLOOKUP(G484,Proveedores!B:C,2,0)," ")</f>
        <v xml:space="preserve"> </v>
      </c>
      <c r="J484" s="838">
        <v>0</v>
      </c>
      <c r="K484" s="1124"/>
      <c r="L484" s="1266">
        <f t="shared" si="310"/>
        <v>0</v>
      </c>
      <c r="M484" s="1267">
        <f t="shared" si="311"/>
        <v>0</v>
      </c>
      <c r="N484" s="1268">
        <f t="shared" si="330"/>
        <v>0</v>
      </c>
      <c r="O484" s="836" t="str">
        <f>IFERROR(VLOOKUP(G484,Proveedores!B:D,3,0)," ")</f>
        <v xml:space="preserve"> </v>
      </c>
      <c r="P484" s="836"/>
      <c r="Q484" s="1127" t="e">
        <f t="shared" si="312"/>
        <v>#N/A</v>
      </c>
      <c r="R484" s="1127" t="b">
        <f t="shared" si="323"/>
        <v>0</v>
      </c>
      <c r="S484" s="1127" t="e">
        <f t="shared" si="313"/>
        <v>#N/A</v>
      </c>
      <c r="T484" s="1127" t="b">
        <f t="shared" si="324"/>
        <v>0</v>
      </c>
      <c r="U484" s="1127" t="e">
        <f t="shared" si="314"/>
        <v>#N/A</v>
      </c>
      <c r="V484" s="1127" t="e">
        <f t="shared" si="325"/>
        <v>#N/A</v>
      </c>
      <c r="W484" s="1127" t="e">
        <f>IF(F484="Offiho",J484,IF(_xlfn.XLOOKUP(F484,Proveedores!A$2:A$50,Proveedores!E$2:E$50,"")="Nacional",(J484/0.5)+(V484*H484),((J484/0.3/0.5)+(V484*H484))))</f>
        <v>#N/A</v>
      </c>
      <c r="X484" s="1127" t="e">
        <f t="shared" si="315"/>
        <v>#N/A</v>
      </c>
      <c r="Y484" s="1126" t="b">
        <f t="shared" si="316"/>
        <v>0</v>
      </c>
      <c r="Z484" s="43">
        <v>0</v>
      </c>
      <c r="AA484" s="1219" t="e">
        <f t="shared" si="326"/>
        <v>#N/A</v>
      </c>
      <c r="AB484" s="1219" t="e">
        <f t="shared" si="327"/>
        <v>#N/A</v>
      </c>
      <c r="AC484" s="1219" t="e">
        <f t="shared" si="317"/>
        <v>#N/A</v>
      </c>
      <c r="AD484" s="1126" t="e">
        <f t="shared" si="328"/>
        <v>#N/A</v>
      </c>
      <c r="AE484" s="1217" t="e">
        <f t="shared" si="318"/>
        <v>#N/A</v>
      </c>
      <c r="AF484" s="1220" t="e">
        <f t="shared" si="319"/>
        <v>#N/A</v>
      </c>
      <c r="AG484" s="1176" t="e">
        <f t="shared" si="320"/>
        <v>#N/A</v>
      </c>
      <c r="AH484" s="1221" t="e">
        <f t="shared" si="329"/>
        <v>#N/A</v>
      </c>
    </row>
    <row r="485" spans="1:34" ht="15.5">
      <c r="A485" s="1216" t="b">
        <f t="shared" si="308"/>
        <v>1</v>
      </c>
      <c r="B485" s="1217" t="b">
        <f t="shared" si="321"/>
        <v>1</v>
      </c>
      <c r="C485" s="1218" t="str">
        <f t="shared" si="322"/>
        <v>Dólares</v>
      </c>
      <c r="D485" s="46"/>
      <c r="E485" s="836"/>
      <c r="F485" s="50"/>
      <c r="G485" s="50" t="str">
        <f t="shared" si="309"/>
        <v xml:space="preserve"> </v>
      </c>
      <c r="H485" s="45">
        <v>0</v>
      </c>
      <c r="I485" s="49" t="str">
        <f>IFERROR(VLOOKUP(G485,Proveedores!B:C,2,0)," ")</f>
        <v xml:space="preserve"> </v>
      </c>
      <c r="J485" s="838">
        <v>0</v>
      </c>
      <c r="K485" s="1124"/>
      <c r="L485" s="1266">
        <f t="shared" si="310"/>
        <v>0</v>
      </c>
      <c r="M485" s="1267">
        <f t="shared" si="311"/>
        <v>0</v>
      </c>
      <c r="N485" s="1268">
        <f t="shared" si="330"/>
        <v>0</v>
      </c>
      <c r="O485" s="836" t="str">
        <f>IFERROR(VLOOKUP(G485,Proveedores!B:D,3,0)," ")</f>
        <v xml:space="preserve"> </v>
      </c>
      <c r="P485" s="836"/>
      <c r="Q485" s="1127" t="e">
        <f t="shared" si="312"/>
        <v>#N/A</v>
      </c>
      <c r="R485" s="1127" t="b">
        <f t="shared" si="323"/>
        <v>0</v>
      </c>
      <c r="S485" s="1127" t="e">
        <f t="shared" si="313"/>
        <v>#N/A</v>
      </c>
      <c r="T485" s="1127" t="b">
        <f t="shared" si="324"/>
        <v>0</v>
      </c>
      <c r="U485" s="1127" t="e">
        <f t="shared" si="314"/>
        <v>#N/A</v>
      </c>
      <c r="V485" s="1127" t="e">
        <f t="shared" si="325"/>
        <v>#N/A</v>
      </c>
      <c r="W485" s="1127" t="e">
        <f>IF(F485="Offiho",J485,IF(_xlfn.XLOOKUP(F485,Proveedores!A$2:A$50,Proveedores!E$2:E$50,"")="Nacional",(J485/0.5)+(V485*H485),((J485/0.3/0.5)+(V485*H485))))</f>
        <v>#N/A</v>
      </c>
      <c r="X485" s="1127" t="e">
        <f t="shared" si="315"/>
        <v>#N/A</v>
      </c>
      <c r="Y485" s="1126" t="b">
        <f t="shared" si="316"/>
        <v>0</v>
      </c>
      <c r="Z485" s="43">
        <v>0</v>
      </c>
      <c r="AA485" s="1219" t="e">
        <f t="shared" si="326"/>
        <v>#N/A</v>
      </c>
      <c r="AB485" s="1219" t="e">
        <f t="shared" si="327"/>
        <v>#N/A</v>
      </c>
      <c r="AC485" s="1219" t="e">
        <f t="shared" si="317"/>
        <v>#N/A</v>
      </c>
      <c r="AD485" s="1126" t="e">
        <f t="shared" si="328"/>
        <v>#N/A</v>
      </c>
      <c r="AE485" s="1217" t="e">
        <f t="shared" si="318"/>
        <v>#N/A</v>
      </c>
      <c r="AF485" s="1220" t="e">
        <f t="shared" si="319"/>
        <v>#N/A</v>
      </c>
      <c r="AG485" s="1176" t="e">
        <f t="shared" si="320"/>
        <v>#N/A</v>
      </c>
      <c r="AH485" s="1221" t="e">
        <f t="shared" si="329"/>
        <v>#N/A</v>
      </c>
    </row>
    <row r="486" spans="1:34" ht="15.5">
      <c r="A486" s="1216" t="b">
        <f t="shared" si="308"/>
        <v>1</v>
      </c>
      <c r="B486" s="1217" t="b">
        <f t="shared" si="321"/>
        <v>1</v>
      </c>
      <c r="C486" s="1218" t="str">
        <f t="shared" si="322"/>
        <v>Dólares</v>
      </c>
      <c r="D486" s="47"/>
      <c r="E486" s="836"/>
      <c r="F486" s="50"/>
      <c r="G486" s="50" t="str">
        <f t="shared" si="309"/>
        <v xml:space="preserve"> </v>
      </c>
      <c r="H486" s="45">
        <v>0</v>
      </c>
      <c r="I486" s="49" t="str">
        <f>IFERROR(VLOOKUP(G486,Proveedores!B:C,2,0)," ")</f>
        <v xml:space="preserve"> </v>
      </c>
      <c r="J486" s="838">
        <v>0</v>
      </c>
      <c r="K486" s="1124"/>
      <c r="L486" s="1266">
        <f t="shared" si="310"/>
        <v>0</v>
      </c>
      <c r="M486" s="1267">
        <f t="shared" si="311"/>
        <v>0</v>
      </c>
      <c r="N486" s="1268">
        <f t="shared" si="330"/>
        <v>0</v>
      </c>
      <c r="O486" s="836" t="str">
        <f>IFERROR(VLOOKUP(G486,Proveedores!B:D,3,0)," ")</f>
        <v xml:space="preserve"> </v>
      </c>
      <c r="P486" s="836"/>
      <c r="Q486" s="1127" t="e">
        <f t="shared" si="312"/>
        <v>#N/A</v>
      </c>
      <c r="R486" s="1127" t="b">
        <f t="shared" si="323"/>
        <v>0</v>
      </c>
      <c r="S486" s="1127" t="e">
        <f t="shared" si="313"/>
        <v>#N/A</v>
      </c>
      <c r="T486" s="1127" t="b">
        <f t="shared" si="324"/>
        <v>0</v>
      </c>
      <c r="U486" s="1127" t="e">
        <f t="shared" si="314"/>
        <v>#N/A</v>
      </c>
      <c r="V486" s="1127" t="e">
        <f t="shared" si="325"/>
        <v>#N/A</v>
      </c>
      <c r="W486" s="1127" t="e">
        <f>IF(F486="Offiho",J486,IF(_xlfn.XLOOKUP(F486,Proveedores!A$2:A$50,Proveedores!E$2:E$50,"")="Nacional",(J486/0.5)+(V486*H486),((J486/0.3/0.5)+(V486*H486))))</f>
        <v>#N/A</v>
      </c>
      <c r="X486" s="1127" t="e">
        <f t="shared" si="315"/>
        <v>#N/A</v>
      </c>
      <c r="Y486" s="1126" t="b">
        <f t="shared" si="316"/>
        <v>0</v>
      </c>
      <c r="Z486" s="43">
        <v>0</v>
      </c>
      <c r="AA486" s="1219" t="e">
        <f t="shared" si="326"/>
        <v>#N/A</v>
      </c>
      <c r="AB486" s="1219" t="e">
        <f t="shared" si="327"/>
        <v>#N/A</v>
      </c>
      <c r="AC486" s="1219" t="e">
        <f t="shared" si="317"/>
        <v>#N/A</v>
      </c>
      <c r="AD486" s="1126" t="e">
        <f t="shared" si="328"/>
        <v>#N/A</v>
      </c>
      <c r="AE486" s="1217" t="e">
        <f t="shared" si="318"/>
        <v>#N/A</v>
      </c>
      <c r="AF486" s="1220" t="e">
        <f t="shared" si="319"/>
        <v>#N/A</v>
      </c>
      <c r="AG486" s="1176" t="e">
        <f t="shared" si="320"/>
        <v>#N/A</v>
      </c>
      <c r="AH486" s="1221" t="e">
        <f t="shared" si="329"/>
        <v>#N/A</v>
      </c>
    </row>
    <row r="487" spans="1:34" ht="15.5">
      <c r="A487" s="1216" t="b">
        <f t="shared" si="308"/>
        <v>1</v>
      </c>
      <c r="B487" s="1217" t="b">
        <f t="shared" si="321"/>
        <v>1</v>
      </c>
      <c r="C487" s="1218" t="str">
        <f t="shared" si="322"/>
        <v>Dólares</v>
      </c>
      <c r="D487" s="48"/>
      <c r="E487" s="836"/>
      <c r="F487" s="50"/>
      <c r="G487" s="50" t="str">
        <f t="shared" si="309"/>
        <v xml:space="preserve"> </v>
      </c>
      <c r="H487" s="45">
        <v>0</v>
      </c>
      <c r="I487" s="49" t="str">
        <f>IFERROR(VLOOKUP(G487,Proveedores!B:C,2,0)," ")</f>
        <v xml:space="preserve"> </v>
      </c>
      <c r="J487" s="838">
        <v>0</v>
      </c>
      <c r="K487" s="1124"/>
      <c r="L487" s="1266">
        <f t="shared" si="310"/>
        <v>0</v>
      </c>
      <c r="M487" s="1267">
        <f t="shared" si="311"/>
        <v>0</v>
      </c>
      <c r="N487" s="1268">
        <f t="shared" si="330"/>
        <v>0</v>
      </c>
      <c r="O487" s="836" t="str">
        <f>IFERROR(VLOOKUP(G487,Proveedores!B:D,3,0)," ")</f>
        <v xml:space="preserve"> </v>
      </c>
      <c r="P487" s="836"/>
      <c r="Q487" s="1127" t="e">
        <f t="shared" si="312"/>
        <v>#N/A</v>
      </c>
      <c r="R487" s="1127" t="b">
        <f t="shared" si="323"/>
        <v>0</v>
      </c>
      <c r="S487" s="1127" t="e">
        <f t="shared" si="313"/>
        <v>#N/A</v>
      </c>
      <c r="T487" s="1127" t="b">
        <f t="shared" si="324"/>
        <v>0</v>
      </c>
      <c r="U487" s="1127" t="e">
        <f t="shared" si="314"/>
        <v>#N/A</v>
      </c>
      <c r="V487" s="1127" t="e">
        <f t="shared" si="325"/>
        <v>#N/A</v>
      </c>
      <c r="W487" s="1127" t="e">
        <f>IF(F487="Offiho",J487,IF(_xlfn.XLOOKUP(F487,Proveedores!A$2:A$50,Proveedores!E$2:E$50,"")="Nacional",(J487/0.5)+(V487*H487),((J487/0.3/0.5)+(V487*H487))))</f>
        <v>#N/A</v>
      </c>
      <c r="X487" s="1127" t="e">
        <f t="shared" si="315"/>
        <v>#N/A</v>
      </c>
      <c r="Y487" s="1126" t="b">
        <f t="shared" si="316"/>
        <v>0</v>
      </c>
      <c r="Z487" s="43">
        <v>0</v>
      </c>
      <c r="AA487" s="1219" t="e">
        <f t="shared" si="326"/>
        <v>#N/A</v>
      </c>
      <c r="AB487" s="1219" t="e">
        <f t="shared" si="327"/>
        <v>#N/A</v>
      </c>
      <c r="AC487" s="1219" t="e">
        <f t="shared" si="317"/>
        <v>#N/A</v>
      </c>
      <c r="AD487" s="1126" t="e">
        <f t="shared" si="328"/>
        <v>#N/A</v>
      </c>
      <c r="AE487" s="1217" t="e">
        <f t="shared" si="318"/>
        <v>#N/A</v>
      </c>
      <c r="AF487" s="1220" t="e">
        <f t="shared" si="319"/>
        <v>#N/A</v>
      </c>
      <c r="AG487" s="1176" t="e">
        <f t="shared" si="320"/>
        <v>#N/A</v>
      </c>
      <c r="AH487" s="1221" t="e">
        <f t="shared" si="329"/>
        <v>#N/A</v>
      </c>
    </row>
    <row r="488" spans="1:34" ht="15.5">
      <c r="A488" s="1216" t="b">
        <f t="shared" si="308"/>
        <v>1</v>
      </c>
      <c r="B488" s="1217" t="b">
        <f t="shared" si="321"/>
        <v>1</v>
      </c>
      <c r="C488" s="1218" t="str">
        <f t="shared" si="322"/>
        <v>Dólares</v>
      </c>
      <c r="D488" s="48"/>
      <c r="E488" s="836"/>
      <c r="F488" s="50"/>
      <c r="G488" s="50" t="str">
        <f t="shared" si="309"/>
        <v xml:space="preserve"> </v>
      </c>
      <c r="H488" s="45">
        <v>0</v>
      </c>
      <c r="I488" s="49" t="str">
        <f>IFERROR(VLOOKUP(G488,Proveedores!B:C,2,0)," ")</f>
        <v xml:space="preserve"> </v>
      </c>
      <c r="J488" s="838">
        <v>0</v>
      </c>
      <c r="K488" s="1124"/>
      <c r="L488" s="1266">
        <f t="shared" si="310"/>
        <v>0</v>
      </c>
      <c r="M488" s="1267">
        <f t="shared" si="311"/>
        <v>0</v>
      </c>
      <c r="N488" s="1268">
        <f t="shared" si="330"/>
        <v>0</v>
      </c>
      <c r="O488" s="836" t="str">
        <f>IFERROR(VLOOKUP(G488,Proveedores!B:D,3,0)," ")</f>
        <v xml:space="preserve"> </v>
      </c>
      <c r="P488" s="836"/>
      <c r="Q488" s="1127" t="e">
        <f t="shared" si="312"/>
        <v>#N/A</v>
      </c>
      <c r="R488" s="1127" t="b">
        <f t="shared" si="323"/>
        <v>0</v>
      </c>
      <c r="S488" s="1127" t="e">
        <f t="shared" si="313"/>
        <v>#N/A</v>
      </c>
      <c r="T488" s="1127" t="b">
        <f t="shared" si="324"/>
        <v>0</v>
      </c>
      <c r="U488" s="1127" t="e">
        <f t="shared" si="314"/>
        <v>#N/A</v>
      </c>
      <c r="V488" s="1127" t="e">
        <f t="shared" si="325"/>
        <v>#N/A</v>
      </c>
      <c r="W488" s="1127" t="e">
        <f>IF(F488="Offiho",J488,IF(_xlfn.XLOOKUP(F488,Proveedores!A$2:A$50,Proveedores!E$2:E$50,"")="Nacional",(J488/0.5)+(V488*H488),((J488/0.3/0.5)+(V488*H488))))</f>
        <v>#N/A</v>
      </c>
      <c r="X488" s="1127" t="e">
        <f t="shared" si="315"/>
        <v>#N/A</v>
      </c>
      <c r="Y488" s="1126" t="b">
        <f t="shared" si="316"/>
        <v>0</v>
      </c>
      <c r="Z488" s="43">
        <v>0</v>
      </c>
      <c r="AA488" s="1219" t="e">
        <f t="shared" si="326"/>
        <v>#N/A</v>
      </c>
      <c r="AB488" s="1219" t="e">
        <f t="shared" si="327"/>
        <v>#N/A</v>
      </c>
      <c r="AC488" s="1219" t="e">
        <f t="shared" si="317"/>
        <v>#N/A</v>
      </c>
      <c r="AD488" s="1126" t="e">
        <f t="shared" si="328"/>
        <v>#N/A</v>
      </c>
      <c r="AE488" s="1217" t="e">
        <f t="shared" si="318"/>
        <v>#N/A</v>
      </c>
      <c r="AF488" s="1220" t="e">
        <f t="shared" si="319"/>
        <v>#N/A</v>
      </c>
      <c r="AG488" s="1176" t="e">
        <f t="shared" si="320"/>
        <v>#N/A</v>
      </c>
      <c r="AH488" s="1221" t="e">
        <f t="shared" si="329"/>
        <v>#N/A</v>
      </c>
    </row>
    <row r="489" spans="1:34" ht="15.5">
      <c r="A489" s="1216" t="b">
        <f t="shared" si="308"/>
        <v>1</v>
      </c>
      <c r="B489" s="1217" t="b">
        <f t="shared" si="321"/>
        <v>1</v>
      </c>
      <c r="C489" s="1218" t="str">
        <f t="shared" si="322"/>
        <v>Dólares</v>
      </c>
      <c r="D489" s="48"/>
      <c r="E489" s="836"/>
      <c r="F489" s="50"/>
      <c r="G489" s="50" t="str">
        <f t="shared" si="309"/>
        <v xml:space="preserve"> </v>
      </c>
      <c r="H489" s="45">
        <v>0</v>
      </c>
      <c r="I489" s="49" t="str">
        <f>IFERROR(VLOOKUP(G489,Proveedores!B:C,2,0)," ")</f>
        <v xml:space="preserve"> </v>
      </c>
      <c r="J489" s="838">
        <v>0</v>
      </c>
      <c r="K489" s="1124"/>
      <c r="L489" s="1266">
        <f t="shared" si="310"/>
        <v>0</v>
      </c>
      <c r="M489" s="1267">
        <f t="shared" si="311"/>
        <v>0</v>
      </c>
      <c r="N489" s="1268">
        <f t="shared" si="330"/>
        <v>0</v>
      </c>
      <c r="O489" s="836" t="str">
        <f>IFERROR(VLOOKUP(G489,Proveedores!B:D,3,0)," ")</f>
        <v xml:space="preserve"> </v>
      </c>
      <c r="P489" s="836"/>
      <c r="Q489" s="1127" t="e">
        <f t="shared" si="312"/>
        <v>#N/A</v>
      </c>
      <c r="R489" s="1127" t="b">
        <f t="shared" si="323"/>
        <v>0</v>
      </c>
      <c r="S489" s="1127" t="e">
        <f t="shared" si="313"/>
        <v>#N/A</v>
      </c>
      <c r="T489" s="1127" t="b">
        <f t="shared" si="324"/>
        <v>0</v>
      </c>
      <c r="U489" s="1127" t="e">
        <f t="shared" si="314"/>
        <v>#N/A</v>
      </c>
      <c r="V489" s="1127" t="e">
        <f t="shared" si="325"/>
        <v>#N/A</v>
      </c>
      <c r="W489" s="1127" t="e">
        <f>IF(F489="Offiho",J489,IF(_xlfn.XLOOKUP(F489,Proveedores!A$2:A$50,Proveedores!E$2:E$50,"")="Nacional",(J489/0.5)+(V489*H489),((J489/0.3/0.5)+(V489*H489))))</f>
        <v>#N/A</v>
      </c>
      <c r="X489" s="1127" t="e">
        <f t="shared" si="315"/>
        <v>#N/A</v>
      </c>
      <c r="Y489" s="1126" t="b">
        <f t="shared" si="316"/>
        <v>0</v>
      </c>
      <c r="Z489" s="43">
        <v>0</v>
      </c>
      <c r="AA489" s="1219" t="e">
        <f t="shared" si="326"/>
        <v>#N/A</v>
      </c>
      <c r="AB489" s="1219" t="e">
        <f t="shared" si="327"/>
        <v>#N/A</v>
      </c>
      <c r="AC489" s="1219" t="e">
        <f t="shared" si="317"/>
        <v>#N/A</v>
      </c>
      <c r="AD489" s="1126" t="e">
        <f t="shared" si="328"/>
        <v>#N/A</v>
      </c>
      <c r="AE489" s="1217" t="e">
        <f t="shared" si="318"/>
        <v>#N/A</v>
      </c>
      <c r="AF489" s="1220" t="e">
        <f t="shared" si="319"/>
        <v>#N/A</v>
      </c>
      <c r="AG489" s="1176" t="e">
        <f t="shared" si="320"/>
        <v>#N/A</v>
      </c>
      <c r="AH489" s="1221" t="e">
        <f t="shared" si="329"/>
        <v>#N/A</v>
      </c>
    </row>
    <row r="490" spans="1:34" ht="15.5">
      <c r="A490" s="1216" t="b">
        <f t="shared" si="308"/>
        <v>1</v>
      </c>
      <c r="B490" s="1217" t="b">
        <f t="shared" si="321"/>
        <v>1</v>
      </c>
      <c r="C490" s="1218" t="str">
        <f t="shared" si="322"/>
        <v>Dólares</v>
      </c>
      <c r="D490" s="48"/>
      <c r="E490" s="836"/>
      <c r="F490" s="50"/>
      <c r="G490" s="50" t="str">
        <f t="shared" si="309"/>
        <v xml:space="preserve"> </v>
      </c>
      <c r="H490" s="45">
        <v>0</v>
      </c>
      <c r="I490" s="49" t="str">
        <f>IFERROR(VLOOKUP(G490,Proveedores!B:C,2,0)," ")</f>
        <v xml:space="preserve"> </v>
      </c>
      <c r="J490" s="838">
        <v>0</v>
      </c>
      <c r="K490" s="1124"/>
      <c r="L490" s="1266">
        <f t="shared" si="310"/>
        <v>0</v>
      </c>
      <c r="M490" s="1267">
        <f t="shared" si="311"/>
        <v>0</v>
      </c>
      <c r="N490" s="1268">
        <f t="shared" si="330"/>
        <v>0</v>
      </c>
      <c r="O490" s="836" t="str">
        <f>IFERROR(VLOOKUP(G490,Proveedores!B:D,3,0)," ")</f>
        <v xml:space="preserve"> </v>
      </c>
      <c r="P490" s="836"/>
      <c r="Q490" s="1127" t="e">
        <f t="shared" si="312"/>
        <v>#N/A</v>
      </c>
      <c r="R490" s="1127" t="b">
        <f t="shared" si="323"/>
        <v>0</v>
      </c>
      <c r="S490" s="1127" t="e">
        <f t="shared" si="313"/>
        <v>#N/A</v>
      </c>
      <c r="T490" s="1127" t="b">
        <f t="shared" si="324"/>
        <v>0</v>
      </c>
      <c r="U490" s="1127" t="e">
        <f t="shared" si="314"/>
        <v>#N/A</v>
      </c>
      <c r="V490" s="1127" t="e">
        <f t="shared" si="325"/>
        <v>#N/A</v>
      </c>
      <c r="W490" s="1127" t="e">
        <f>IF(F490="Offiho",J490,IF(_xlfn.XLOOKUP(F490,Proveedores!A$2:A$50,Proveedores!E$2:E$50,"")="Nacional",(J490/0.5)+(V490*H490),((J490/0.3/0.5)+(V490*H490))))</f>
        <v>#N/A</v>
      </c>
      <c r="X490" s="1127" t="e">
        <f t="shared" si="315"/>
        <v>#N/A</v>
      </c>
      <c r="Y490" s="1126" t="b">
        <f t="shared" si="316"/>
        <v>0</v>
      </c>
      <c r="Z490" s="43">
        <v>0</v>
      </c>
      <c r="AA490" s="1219" t="e">
        <f t="shared" si="326"/>
        <v>#N/A</v>
      </c>
      <c r="AB490" s="1219" t="e">
        <f t="shared" si="327"/>
        <v>#N/A</v>
      </c>
      <c r="AC490" s="1219" t="e">
        <f t="shared" si="317"/>
        <v>#N/A</v>
      </c>
      <c r="AD490" s="1126" t="e">
        <f t="shared" si="328"/>
        <v>#N/A</v>
      </c>
      <c r="AE490" s="1217" t="e">
        <f t="shared" si="318"/>
        <v>#N/A</v>
      </c>
      <c r="AF490" s="1220" t="e">
        <f t="shared" si="319"/>
        <v>#N/A</v>
      </c>
      <c r="AG490" s="1176" t="e">
        <f t="shared" si="320"/>
        <v>#N/A</v>
      </c>
      <c r="AH490" s="1221" t="e">
        <f t="shared" si="329"/>
        <v>#N/A</v>
      </c>
    </row>
    <row r="491" spans="1:34" ht="15.5">
      <c r="A491" s="1216" t="b">
        <f t="shared" si="308"/>
        <v>1</v>
      </c>
      <c r="B491" s="1217" t="b">
        <f t="shared" si="321"/>
        <v>1</v>
      </c>
      <c r="C491" s="1218" t="str">
        <f t="shared" si="322"/>
        <v>Dólares</v>
      </c>
      <c r="D491" s="47"/>
      <c r="E491" s="836"/>
      <c r="F491" s="50"/>
      <c r="G491" s="50" t="str">
        <f t="shared" si="309"/>
        <v xml:space="preserve"> </v>
      </c>
      <c r="H491" s="45">
        <v>0</v>
      </c>
      <c r="I491" s="49" t="str">
        <f>IFERROR(VLOOKUP(G491,Proveedores!B:C,2,0)," ")</f>
        <v xml:space="preserve"> </v>
      </c>
      <c r="J491" s="838">
        <v>0</v>
      </c>
      <c r="K491" s="1124"/>
      <c r="L491" s="1266">
        <f t="shared" si="310"/>
        <v>0</v>
      </c>
      <c r="M491" s="1267">
        <f t="shared" si="311"/>
        <v>0</v>
      </c>
      <c r="N491" s="1268">
        <f t="shared" si="330"/>
        <v>0</v>
      </c>
      <c r="O491" s="836" t="str">
        <f>IFERROR(VLOOKUP(G491,Proveedores!B:D,3,0)," ")</f>
        <v xml:space="preserve"> </v>
      </c>
      <c r="P491" s="836"/>
      <c r="Q491" s="1127" t="e">
        <f t="shared" si="312"/>
        <v>#N/A</v>
      </c>
      <c r="R491" s="1127" t="b">
        <f t="shared" si="323"/>
        <v>0</v>
      </c>
      <c r="S491" s="1127" t="e">
        <f t="shared" si="313"/>
        <v>#N/A</v>
      </c>
      <c r="T491" s="1127" t="b">
        <f t="shared" si="324"/>
        <v>0</v>
      </c>
      <c r="U491" s="1127" t="e">
        <f t="shared" si="314"/>
        <v>#N/A</v>
      </c>
      <c r="V491" s="1127" t="e">
        <f t="shared" si="325"/>
        <v>#N/A</v>
      </c>
      <c r="W491" s="1127" t="e">
        <f>IF(F491="Offiho",J491,IF(_xlfn.XLOOKUP(F491,Proveedores!A$2:A$50,Proveedores!E$2:E$50,"")="Nacional",(J491/0.5)+(V491*H491),((J491/0.3/0.5)+(V491*H491))))</f>
        <v>#N/A</v>
      </c>
      <c r="X491" s="1127" t="e">
        <f t="shared" si="315"/>
        <v>#N/A</v>
      </c>
      <c r="Y491" s="1126" t="b">
        <f t="shared" si="316"/>
        <v>0</v>
      </c>
      <c r="Z491" s="43">
        <v>0</v>
      </c>
      <c r="AA491" s="1219" t="e">
        <f t="shared" si="326"/>
        <v>#N/A</v>
      </c>
      <c r="AB491" s="1219" t="e">
        <f t="shared" si="327"/>
        <v>#N/A</v>
      </c>
      <c r="AC491" s="1219" t="e">
        <f t="shared" si="317"/>
        <v>#N/A</v>
      </c>
      <c r="AD491" s="1126" t="e">
        <f t="shared" si="328"/>
        <v>#N/A</v>
      </c>
      <c r="AE491" s="1217" t="e">
        <f t="shared" si="318"/>
        <v>#N/A</v>
      </c>
      <c r="AF491" s="1220" t="e">
        <f t="shared" si="319"/>
        <v>#N/A</v>
      </c>
      <c r="AG491" s="1176" t="e">
        <f t="shared" si="320"/>
        <v>#N/A</v>
      </c>
      <c r="AH491" s="1221" t="e">
        <f t="shared" si="329"/>
        <v>#N/A</v>
      </c>
    </row>
    <row r="492" spans="1:34" ht="15.5">
      <c r="A492" s="1216" t="b">
        <f t="shared" si="308"/>
        <v>1</v>
      </c>
      <c r="B492" s="1217" t="b">
        <f t="shared" si="321"/>
        <v>1</v>
      </c>
      <c r="C492" s="1218" t="str">
        <f t="shared" si="322"/>
        <v>Dólares</v>
      </c>
      <c r="D492" s="47"/>
      <c r="E492" s="836"/>
      <c r="F492" s="50"/>
      <c r="G492" s="50" t="str">
        <f t="shared" si="309"/>
        <v xml:space="preserve"> </v>
      </c>
      <c r="H492" s="45">
        <v>0</v>
      </c>
      <c r="I492" s="49" t="str">
        <f>IFERROR(VLOOKUP(G492,Proveedores!B:C,2,0)," ")</f>
        <v xml:space="preserve"> </v>
      </c>
      <c r="J492" s="838">
        <v>0</v>
      </c>
      <c r="K492" s="1124"/>
      <c r="L492" s="1266">
        <f t="shared" si="310"/>
        <v>0</v>
      </c>
      <c r="M492" s="1267">
        <f t="shared" si="311"/>
        <v>0</v>
      </c>
      <c r="N492" s="1268">
        <f t="shared" si="330"/>
        <v>0</v>
      </c>
      <c r="O492" s="836" t="str">
        <f>IFERROR(VLOOKUP(G492,Proveedores!B:D,3,0)," ")</f>
        <v xml:space="preserve"> </v>
      </c>
      <c r="P492" s="836"/>
      <c r="Q492" s="1127" t="e">
        <f t="shared" si="312"/>
        <v>#N/A</v>
      </c>
      <c r="R492" s="1127" t="b">
        <f t="shared" si="323"/>
        <v>0</v>
      </c>
      <c r="S492" s="1127" t="e">
        <f t="shared" si="313"/>
        <v>#N/A</v>
      </c>
      <c r="T492" s="1127" t="b">
        <f t="shared" si="324"/>
        <v>0</v>
      </c>
      <c r="U492" s="1127" t="e">
        <f t="shared" si="314"/>
        <v>#N/A</v>
      </c>
      <c r="V492" s="1127" t="e">
        <f t="shared" si="325"/>
        <v>#N/A</v>
      </c>
      <c r="W492" s="1127" t="e">
        <f>IF(F492="Offiho",J492,IF(_xlfn.XLOOKUP(F492,Proveedores!A$2:A$50,Proveedores!E$2:E$50,"")="Nacional",(J492/0.5)+(V492*H492),((J492/0.3/0.5)+(V492*H492))))</f>
        <v>#N/A</v>
      </c>
      <c r="X492" s="1127" t="e">
        <f t="shared" si="315"/>
        <v>#N/A</v>
      </c>
      <c r="Y492" s="1126" t="b">
        <f t="shared" si="316"/>
        <v>0</v>
      </c>
      <c r="Z492" s="43">
        <v>0</v>
      </c>
      <c r="AA492" s="1219" t="e">
        <f t="shared" si="326"/>
        <v>#N/A</v>
      </c>
      <c r="AB492" s="1219" t="e">
        <f t="shared" si="327"/>
        <v>#N/A</v>
      </c>
      <c r="AC492" s="1219" t="e">
        <f t="shared" si="317"/>
        <v>#N/A</v>
      </c>
      <c r="AD492" s="1126" t="e">
        <f t="shared" si="328"/>
        <v>#N/A</v>
      </c>
      <c r="AE492" s="1217" t="e">
        <f t="shared" si="318"/>
        <v>#N/A</v>
      </c>
      <c r="AF492" s="1220" t="e">
        <f t="shared" si="319"/>
        <v>#N/A</v>
      </c>
      <c r="AG492" s="1176" t="e">
        <f t="shared" si="320"/>
        <v>#N/A</v>
      </c>
      <c r="AH492" s="1221" t="e">
        <f t="shared" si="329"/>
        <v>#N/A</v>
      </c>
    </row>
    <row r="493" spans="1:34" ht="15.5">
      <c r="A493" s="1216" t="b">
        <f t="shared" si="308"/>
        <v>1</v>
      </c>
      <c r="B493" s="1217" t="b">
        <f t="shared" si="321"/>
        <v>1</v>
      </c>
      <c r="C493" s="1218" t="str">
        <f t="shared" si="322"/>
        <v>Dólares</v>
      </c>
      <c r="D493" s="47"/>
      <c r="E493" s="836"/>
      <c r="F493" s="50"/>
      <c r="G493" s="50" t="str">
        <f t="shared" si="309"/>
        <v xml:space="preserve"> </v>
      </c>
      <c r="H493" s="45">
        <v>0</v>
      </c>
      <c r="I493" s="49" t="str">
        <f>IFERROR(VLOOKUP(G493,Proveedores!B:C,2,0)," ")</f>
        <v xml:space="preserve"> </v>
      </c>
      <c r="J493" s="838">
        <v>0</v>
      </c>
      <c r="K493" s="1124"/>
      <c r="L493" s="1266">
        <f t="shared" si="310"/>
        <v>0</v>
      </c>
      <c r="M493" s="1267">
        <f t="shared" si="311"/>
        <v>0</v>
      </c>
      <c r="N493" s="1268">
        <f t="shared" si="330"/>
        <v>0</v>
      </c>
      <c r="O493" s="836" t="str">
        <f>IFERROR(VLOOKUP(G493,Proveedores!B:D,3,0)," ")</f>
        <v xml:space="preserve"> </v>
      </c>
      <c r="P493" s="836"/>
      <c r="Q493" s="1127" t="e">
        <f t="shared" si="312"/>
        <v>#N/A</v>
      </c>
      <c r="R493" s="1127" t="b">
        <f t="shared" si="323"/>
        <v>0</v>
      </c>
      <c r="S493" s="1127" t="e">
        <f t="shared" si="313"/>
        <v>#N/A</v>
      </c>
      <c r="T493" s="1127" t="b">
        <f t="shared" si="324"/>
        <v>0</v>
      </c>
      <c r="U493" s="1127" t="e">
        <f t="shared" si="314"/>
        <v>#N/A</v>
      </c>
      <c r="V493" s="1127" t="e">
        <f t="shared" si="325"/>
        <v>#N/A</v>
      </c>
      <c r="W493" s="1127" t="e">
        <f>IF(F493="Offiho",J493,IF(_xlfn.XLOOKUP(F493,Proveedores!A$2:A$50,Proveedores!E$2:E$50,"")="Nacional",(J493/0.5)+(V493*H493),((J493/0.3/0.5)+(V493*H493))))</f>
        <v>#N/A</v>
      </c>
      <c r="X493" s="1127" t="e">
        <f t="shared" si="315"/>
        <v>#N/A</v>
      </c>
      <c r="Y493" s="1126" t="b">
        <f t="shared" si="316"/>
        <v>0</v>
      </c>
      <c r="Z493" s="43">
        <v>0</v>
      </c>
      <c r="AA493" s="1219" t="e">
        <f t="shared" si="326"/>
        <v>#N/A</v>
      </c>
      <c r="AB493" s="1219" t="e">
        <f t="shared" si="327"/>
        <v>#N/A</v>
      </c>
      <c r="AC493" s="1219" t="e">
        <f t="shared" si="317"/>
        <v>#N/A</v>
      </c>
      <c r="AD493" s="1126" t="e">
        <f t="shared" si="328"/>
        <v>#N/A</v>
      </c>
      <c r="AE493" s="1217" t="e">
        <f t="shared" si="318"/>
        <v>#N/A</v>
      </c>
      <c r="AF493" s="1220" t="e">
        <f t="shared" si="319"/>
        <v>#N/A</v>
      </c>
      <c r="AG493" s="1176" t="e">
        <f t="shared" si="320"/>
        <v>#N/A</v>
      </c>
      <c r="AH493" s="1221" t="e">
        <f t="shared" si="329"/>
        <v>#N/A</v>
      </c>
    </row>
    <row r="494" spans="1:34" ht="15.5">
      <c r="A494" s="1216" t="b">
        <f t="shared" si="308"/>
        <v>1</v>
      </c>
      <c r="B494" s="1217" t="b">
        <f t="shared" si="321"/>
        <v>1</v>
      </c>
      <c r="C494" s="1218" t="str">
        <f t="shared" si="322"/>
        <v>Dólares</v>
      </c>
      <c r="D494" s="48"/>
      <c r="E494" s="836"/>
      <c r="F494" s="50"/>
      <c r="G494" s="50" t="str">
        <f t="shared" si="309"/>
        <v xml:space="preserve"> </v>
      </c>
      <c r="H494" s="45">
        <v>0</v>
      </c>
      <c r="I494" s="49" t="str">
        <f>IFERROR(VLOOKUP(G494,Proveedores!B:C,2,0)," ")</f>
        <v xml:space="preserve"> </v>
      </c>
      <c r="J494" s="838">
        <v>0</v>
      </c>
      <c r="K494" s="1124"/>
      <c r="L494" s="1266">
        <f t="shared" si="310"/>
        <v>0</v>
      </c>
      <c r="M494" s="1267">
        <f t="shared" si="311"/>
        <v>0</v>
      </c>
      <c r="N494" s="1268">
        <f t="shared" si="330"/>
        <v>0</v>
      </c>
      <c r="O494" s="836" t="str">
        <f>IFERROR(VLOOKUP(G494,Proveedores!B:D,3,0)," ")</f>
        <v xml:space="preserve"> </v>
      </c>
      <c r="P494" s="836"/>
      <c r="Q494" s="1127" t="e">
        <f t="shared" si="312"/>
        <v>#N/A</v>
      </c>
      <c r="R494" s="1127" t="b">
        <f t="shared" si="323"/>
        <v>0</v>
      </c>
      <c r="S494" s="1127" t="e">
        <f t="shared" si="313"/>
        <v>#N/A</v>
      </c>
      <c r="T494" s="1127" t="b">
        <f t="shared" si="324"/>
        <v>0</v>
      </c>
      <c r="U494" s="1127" t="e">
        <f t="shared" si="314"/>
        <v>#N/A</v>
      </c>
      <c r="V494" s="1127" t="e">
        <f t="shared" si="325"/>
        <v>#N/A</v>
      </c>
      <c r="W494" s="1127" t="e">
        <f>IF(F494="Offiho",J494,IF(_xlfn.XLOOKUP(F494,Proveedores!A$2:A$50,Proveedores!E$2:E$50,"")="Nacional",(J494/0.5)+(V494*H494),((J494/0.3/0.5)+(V494*H494))))</f>
        <v>#N/A</v>
      </c>
      <c r="X494" s="1127" t="e">
        <f t="shared" si="315"/>
        <v>#N/A</v>
      </c>
      <c r="Y494" s="1126" t="b">
        <f t="shared" si="316"/>
        <v>0</v>
      </c>
      <c r="Z494" s="43">
        <v>0</v>
      </c>
      <c r="AA494" s="1219" t="e">
        <f t="shared" si="326"/>
        <v>#N/A</v>
      </c>
      <c r="AB494" s="1219" t="e">
        <f t="shared" si="327"/>
        <v>#N/A</v>
      </c>
      <c r="AC494" s="1219" t="e">
        <f t="shared" si="317"/>
        <v>#N/A</v>
      </c>
      <c r="AD494" s="1126" t="e">
        <f t="shared" si="328"/>
        <v>#N/A</v>
      </c>
      <c r="AE494" s="1217" t="e">
        <f t="shared" si="318"/>
        <v>#N/A</v>
      </c>
      <c r="AF494" s="1220" t="e">
        <f t="shared" si="319"/>
        <v>#N/A</v>
      </c>
      <c r="AG494" s="1176" t="e">
        <f t="shared" si="320"/>
        <v>#N/A</v>
      </c>
      <c r="AH494" s="1221" t="e">
        <f t="shared" si="329"/>
        <v>#N/A</v>
      </c>
    </row>
    <row r="495" spans="1:34" ht="15.5">
      <c r="A495" s="1216" t="b">
        <f t="shared" si="308"/>
        <v>1</v>
      </c>
      <c r="B495" s="1217" t="b">
        <f t="shared" si="321"/>
        <v>1</v>
      </c>
      <c r="C495" s="1218" t="str">
        <f t="shared" si="322"/>
        <v>Dólares</v>
      </c>
      <c r="D495" s="48"/>
      <c r="E495" s="836"/>
      <c r="F495" s="50"/>
      <c r="G495" s="50" t="str">
        <f t="shared" si="309"/>
        <v xml:space="preserve"> </v>
      </c>
      <c r="H495" s="45">
        <v>0</v>
      </c>
      <c r="I495" s="49" t="str">
        <f>IFERROR(VLOOKUP(G495,Proveedores!B:C,2,0)," ")</f>
        <v xml:space="preserve"> </v>
      </c>
      <c r="J495" s="838">
        <v>0</v>
      </c>
      <c r="K495" s="1124"/>
      <c r="L495" s="1266">
        <f t="shared" si="310"/>
        <v>0</v>
      </c>
      <c r="M495" s="1267">
        <f t="shared" si="311"/>
        <v>0</v>
      </c>
      <c r="N495" s="1268">
        <f t="shared" si="330"/>
        <v>0</v>
      </c>
      <c r="O495" s="836" t="str">
        <f>IFERROR(VLOOKUP(G495,Proveedores!B:D,3,0)," ")</f>
        <v xml:space="preserve"> </v>
      </c>
      <c r="P495" s="836"/>
      <c r="Q495" s="1127" t="e">
        <f t="shared" si="312"/>
        <v>#N/A</v>
      </c>
      <c r="R495" s="1127" t="b">
        <f t="shared" si="323"/>
        <v>0</v>
      </c>
      <c r="S495" s="1127" t="e">
        <f t="shared" si="313"/>
        <v>#N/A</v>
      </c>
      <c r="T495" s="1127" t="b">
        <f t="shared" si="324"/>
        <v>0</v>
      </c>
      <c r="U495" s="1127" t="e">
        <f t="shared" si="314"/>
        <v>#N/A</v>
      </c>
      <c r="V495" s="1127" t="e">
        <f t="shared" si="325"/>
        <v>#N/A</v>
      </c>
      <c r="W495" s="1127" t="e">
        <f>IF(F495="Offiho",J495,IF(_xlfn.XLOOKUP(F495,Proveedores!A$2:A$50,Proveedores!E$2:E$50,"")="Nacional",(J495/0.5)+(V495*H495),((J495/0.3/0.5)+(V495*H495))))</f>
        <v>#N/A</v>
      </c>
      <c r="X495" s="1127" t="e">
        <f t="shared" si="315"/>
        <v>#N/A</v>
      </c>
      <c r="Y495" s="1126" t="b">
        <f t="shared" si="316"/>
        <v>0</v>
      </c>
      <c r="Z495" s="43">
        <v>0</v>
      </c>
      <c r="AA495" s="1219" t="e">
        <f t="shared" si="326"/>
        <v>#N/A</v>
      </c>
      <c r="AB495" s="1219" t="e">
        <f t="shared" si="327"/>
        <v>#N/A</v>
      </c>
      <c r="AC495" s="1219" t="e">
        <f t="shared" si="317"/>
        <v>#N/A</v>
      </c>
      <c r="AD495" s="1126" t="e">
        <f t="shared" si="328"/>
        <v>#N/A</v>
      </c>
      <c r="AE495" s="1217" t="e">
        <f t="shared" si="318"/>
        <v>#N/A</v>
      </c>
      <c r="AF495" s="1220" t="e">
        <f t="shared" si="319"/>
        <v>#N/A</v>
      </c>
      <c r="AG495" s="1176" t="e">
        <f t="shared" si="320"/>
        <v>#N/A</v>
      </c>
      <c r="AH495" s="1221" t="e">
        <f t="shared" si="329"/>
        <v>#N/A</v>
      </c>
    </row>
    <row r="496" spans="1:34" ht="15.5">
      <c r="A496" s="1216" t="b">
        <f t="shared" si="308"/>
        <v>1</v>
      </c>
      <c r="B496" s="1217" t="b">
        <f t="shared" si="321"/>
        <v>1</v>
      </c>
      <c r="C496" s="1218" t="str">
        <f t="shared" si="322"/>
        <v>Dólares</v>
      </c>
      <c r="D496" s="47"/>
      <c r="E496" s="836"/>
      <c r="F496" s="50"/>
      <c r="G496" s="50" t="str">
        <f t="shared" si="309"/>
        <v xml:space="preserve"> </v>
      </c>
      <c r="H496" s="45">
        <v>0</v>
      </c>
      <c r="I496" s="49" t="str">
        <f>IFERROR(VLOOKUP(G496,Proveedores!B:C,2,0)," ")</f>
        <v xml:space="preserve"> </v>
      </c>
      <c r="J496" s="838">
        <v>0</v>
      </c>
      <c r="K496" s="1124"/>
      <c r="L496" s="1266">
        <f t="shared" si="310"/>
        <v>0</v>
      </c>
      <c r="M496" s="1267">
        <f t="shared" si="311"/>
        <v>0</v>
      </c>
      <c r="N496" s="1268">
        <f t="shared" si="330"/>
        <v>0</v>
      </c>
      <c r="O496" s="836" t="str">
        <f>IFERROR(VLOOKUP(G496,Proveedores!B:D,3,0)," ")</f>
        <v xml:space="preserve"> </v>
      </c>
      <c r="P496" s="836"/>
      <c r="Q496" s="1127" t="e">
        <f t="shared" si="312"/>
        <v>#N/A</v>
      </c>
      <c r="R496" s="1127" t="b">
        <f t="shared" si="323"/>
        <v>0</v>
      </c>
      <c r="S496" s="1127" t="e">
        <f t="shared" si="313"/>
        <v>#N/A</v>
      </c>
      <c r="T496" s="1127" t="b">
        <f t="shared" si="324"/>
        <v>0</v>
      </c>
      <c r="U496" s="1127" t="e">
        <f t="shared" si="314"/>
        <v>#N/A</v>
      </c>
      <c r="V496" s="1127" t="e">
        <f t="shared" si="325"/>
        <v>#N/A</v>
      </c>
      <c r="W496" s="1127" t="e">
        <f>IF(F496="Offiho",J496,IF(_xlfn.XLOOKUP(F496,Proveedores!A$2:A$50,Proveedores!E$2:E$50,"")="Nacional",(J496/0.5)+(V496*H496),((J496/0.3/0.5)+(V496*H496))))</f>
        <v>#N/A</v>
      </c>
      <c r="X496" s="1127" t="e">
        <f t="shared" si="315"/>
        <v>#N/A</v>
      </c>
      <c r="Y496" s="1126" t="b">
        <f t="shared" si="316"/>
        <v>0</v>
      </c>
      <c r="Z496" s="43">
        <v>0</v>
      </c>
      <c r="AA496" s="1219" t="e">
        <f t="shared" si="326"/>
        <v>#N/A</v>
      </c>
      <c r="AB496" s="1219" t="e">
        <f t="shared" si="327"/>
        <v>#N/A</v>
      </c>
      <c r="AC496" s="1219" t="e">
        <f t="shared" si="317"/>
        <v>#N/A</v>
      </c>
      <c r="AD496" s="1126" t="e">
        <f t="shared" si="328"/>
        <v>#N/A</v>
      </c>
      <c r="AE496" s="1217" t="e">
        <f t="shared" si="318"/>
        <v>#N/A</v>
      </c>
      <c r="AF496" s="1220" t="e">
        <f t="shared" si="319"/>
        <v>#N/A</v>
      </c>
      <c r="AG496" s="1176" t="e">
        <f t="shared" si="320"/>
        <v>#N/A</v>
      </c>
      <c r="AH496" s="1221" t="e">
        <f t="shared" si="329"/>
        <v>#N/A</v>
      </c>
    </row>
    <row r="497" spans="1:34" ht="15.5">
      <c r="A497" s="1216" t="b">
        <f t="shared" si="308"/>
        <v>1</v>
      </c>
      <c r="B497" s="1217" t="b">
        <f t="shared" si="321"/>
        <v>1</v>
      </c>
      <c r="C497" s="1218" t="str">
        <f t="shared" si="322"/>
        <v>Dólares</v>
      </c>
      <c r="D497" s="47"/>
      <c r="E497" s="836"/>
      <c r="F497" s="50"/>
      <c r="G497" s="50" t="str">
        <f t="shared" si="309"/>
        <v xml:space="preserve"> </v>
      </c>
      <c r="H497" s="45">
        <v>0</v>
      </c>
      <c r="I497" s="49" t="str">
        <f>IFERROR(VLOOKUP(G497,Proveedores!B:C,2,0)," ")</f>
        <v xml:space="preserve"> </v>
      </c>
      <c r="J497" s="838">
        <v>0</v>
      </c>
      <c r="K497" s="1124"/>
      <c r="L497" s="1266">
        <f t="shared" si="310"/>
        <v>0</v>
      </c>
      <c r="M497" s="1267">
        <f t="shared" si="311"/>
        <v>0</v>
      </c>
      <c r="N497" s="1268">
        <f t="shared" si="330"/>
        <v>0</v>
      </c>
      <c r="O497" s="836" t="str">
        <f>IFERROR(VLOOKUP(G497,Proveedores!B:D,3,0)," ")</f>
        <v xml:space="preserve"> </v>
      </c>
      <c r="P497" s="836"/>
      <c r="Q497" s="1127" t="e">
        <f t="shared" si="312"/>
        <v>#N/A</v>
      </c>
      <c r="R497" s="1127" t="b">
        <f t="shared" si="323"/>
        <v>0</v>
      </c>
      <c r="S497" s="1127" t="e">
        <f t="shared" si="313"/>
        <v>#N/A</v>
      </c>
      <c r="T497" s="1127" t="b">
        <f t="shared" si="324"/>
        <v>0</v>
      </c>
      <c r="U497" s="1127" t="e">
        <f t="shared" si="314"/>
        <v>#N/A</v>
      </c>
      <c r="V497" s="1127" t="e">
        <f t="shared" si="325"/>
        <v>#N/A</v>
      </c>
      <c r="W497" s="1127" t="e">
        <f>IF(F497="Offiho",J497,IF(_xlfn.XLOOKUP(F497,Proveedores!A$2:A$50,Proveedores!E$2:E$50,"")="Nacional",(J497/0.5)+(V497*H497),((J497/0.3/0.5)+(V497*H497))))</f>
        <v>#N/A</v>
      </c>
      <c r="X497" s="1127" t="e">
        <f t="shared" si="315"/>
        <v>#N/A</v>
      </c>
      <c r="Y497" s="1126" t="b">
        <f t="shared" si="316"/>
        <v>0</v>
      </c>
      <c r="Z497" s="43">
        <v>0</v>
      </c>
      <c r="AA497" s="1219" t="e">
        <f t="shared" si="326"/>
        <v>#N/A</v>
      </c>
      <c r="AB497" s="1219" t="e">
        <f t="shared" si="327"/>
        <v>#N/A</v>
      </c>
      <c r="AC497" s="1219" t="e">
        <f t="shared" si="317"/>
        <v>#N/A</v>
      </c>
      <c r="AD497" s="1126" t="e">
        <f t="shared" si="328"/>
        <v>#N/A</v>
      </c>
      <c r="AE497" s="1217" t="e">
        <f t="shared" si="318"/>
        <v>#N/A</v>
      </c>
      <c r="AF497" s="1220" t="e">
        <f t="shared" si="319"/>
        <v>#N/A</v>
      </c>
      <c r="AG497" s="1176" t="e">
        <f t="shared" si="320"/>
        <v>#N/A</v>
      </c>
      <c r="AH497" s="1221" t="e">
        <f t="shared" si="329"/>
        <v>#N/A</v>
      </c>
    </row>
    <row r="498" spans="1:34" ht="15.5">
      <c r="A498" s="1216" t="b">
        <f t="shared" si="308"/>
        <v>1</v>
      </c>
      <c r="B498" s="1217" t="b">
        <f t="shared" si="321"/>
        <v>1</v>
      </c>
      <c r="C498" s="1218" t="str">
        <f t="shared" si="322"/>
        <v>Dólares</v>
      </c>
      <c r="D498" s="47"/>
      <c r="E498" s="836"/>
      <c r="F498" s="50"/>
      <c r="G498" s="50" t="str">
        <f t="shared" si="309"/>
        <v xml:space="preserve"> </v>
      </c>
      <c r="H498" s="45">
        <v>0</v>
      </c>
      <c r="I498" s="49" t="str">
        <f>IFERROR(VLOOKUP(G498,Proveedores!B:C,2,0)," ")</f>
        <v xml:space="preserve"> </v>
      </c>
      <c r="J498" s="838">
        <v>0</v>
      </c>
      <c r="K498" s="1124"/>
      <c r="L498" s="1266">
        <f t="shared" si="310"/>
        <v>0</v>
      </c>
      <c r="M498" s="1267">
        <f t="shared" si="311"/>
        <v>0</v>
      </c>
      <c r="N498" s="1268">
        <f t="shared" si="330"/>
        <v>0</v>
      </c>
      <c r="O498" s="836" t="str">
        <f>IFERROR(VLOOKUP(G498,Proveedores!B:D,3,0)," ")</f>
        <v xml:space="preserve"> </v>
      </c>
      <c r="P498" s="836"/>
      <c r="Q498" s="1127" t="e">
        <f t="shared" si="312"/>
        <v>#N/A</v>
      </c>
      <c r="R498" s="1127" t="b">
        <f t="shared" si="323"/>
        <v>0</v>
      </c>
      <c r="S498" s="1127" t="e">
        <f t="shared" si="313"/>
        <v>#N/A</v>
      </c>
      <c r="T498" s="1127" t="b">
        <f t="shared" si="324"/>
        <v>0</v>
      </c>
      <c r="U498" s="1127" t="e">
        <f t="shared" si="314"/>
        <v>#N/A</v>
      </c>
      <c r="V498" s="1127" t="e">
        <f t="shared" si="325"/>
        <v>#N/A</v>
      </c>
      <c r="W498" s="1127" t="e">
        <f>IF(F498="Offiho",J498,IF(_xlfn.XLOOKUP(F498,Proveedores!A$2:A$50,Proveedores!E$2:E$50,"")="Nacional",(J498/0.5)+(V498*H498),((J498/0.3/0.5)+(V498*H498))))</f>
        <v>#N/A</v>
      </c>
      <c r="X498" s="1127" t="e">
        <f t="shared" si="315"/>
        <v>#N/A</v>
      </c>
      <c r="Y498" s="1126" t="b">
        <f t="shared" si="316"/>
        <v>0</v>
      </c>
      <c r="Z498" s="43">
        <v>0</v>
      </c>
      <c r="AA498" s="1219" t="e">
        <f t="shared" si="326"/>
        <v>#N/A</v>
      </c>
      <c r="AB498" s="1219" t="e">
        <f t="shared" si="327"/>
        <v>#N/A</v>
      </c>
      <c r="AC498" s="1219" t="e">
        <f t="shared" si="317"/>
        <v>#N/A</v>
      </c>
      <c r="AD498" s="1126" t="e">
        <f t="shared" si="328"/>
        <v>#N/A</v>
      </c>
      <c r="AE498" s="1217" t="e">
        <f t="shared" si="318"/>
        <v>#N/A</v>
      </c>
      <c r="AF498" s="1220" t="e">
        <f t="shared" si="319"/>
        <v>#N/A</v>
      </c>
      <c r="AG498" s="1176" t="e">
        <f t="shared" si="320"/>
        <v>#N/A</v>
      </c>
      <c r="AH498" s="1221" t="e">
        <f t="shared" si="329"/>
        <v>#N/A</v>
      </c>
    </row>
    <row r="499" spans="1:34" ht="15.5">
      <c r="A499" s="1216" t="b">
        <f t="shared" si="308"/>
        <v>1</v>
      </c>
      <c r="B499" s="1217" t="b">
        <f t="shared" si="321"/>
        <v>1</v>
      </c>
      <c r="C499" s="1218" t="str">
        <f t="shared" si="322"/>
        <v>Dólares</v>
      </c>
      <c r="D499" s="47"/>
      <c r="E499" s="836"/>
      <c r="F499" s="50"/>
      <c r="G499" s="50" t="str">
        <f t="shared" si="309"/>
        <v xml:space="preserve"> </v>
      </c>
      <c r="H499" s="45">
        <v>0</v>
      </c>
      <c r="I499" s="49" t="str">
        <f>IFERROR(VLOOKUP(G499,Proveedores!B:C,2,0)," ")</f>
        <v xml:space="preserve"> </v>
      </c>
      <c r="J499" s="838">
        <v>0</v>
      </c>
      <c r="K499" s="1124"/>
      <c r="L499" s="1266">
        <f t="shared" si="310"/>
        <v>0</v>
      </c>
      <c r="M499" s="1267">
        <f t="shared" si="311"/>
        <v>0</v>
      </c>
      <c r="N499" s="1268">
        <f t="shared" si="330"/>
        <v>0</v>
      </c>
      <c r="O499" s="836" t="str">
        <f>IFERROR(VLOOKUP(G499,Proveedores!B:D,3,0)," ")</f>
        <v xml:space="preserve"> </v>
      </c>
      <c r="P499" s="836"/>
      <c r="Q499" s="1127" t="e">
        <f t="shared" si="312"/>
        <v>#N/A</v>
      </c>
      <c r="R499" s="1127" t="b">
        <f t="shared" si="323"/>
        <v>0</v>
      </c>
      <c r="S499" s="1127" t="e">
        <f t="shared" si="313"/>
        <v>#N/A</v>
      </c>
      <c r="T499" s="1127" t="b">
        <f t="shared" si="324"/>
        <v>0</v>
      </c>
      <c r="U499" s="1127" t="e">
        <f t="shared" si="314"/>
        <v>#N/A</v>
      </c>
      <c r="V499" s="1127" t="e">
        <f t="shared" si="325"/>
        <v>#N/A</v>
      </c>
      <c r="W499" s="1127" t="e">
        <f>IF(F499="Offiho",J499,IF(_xlfn.XLOOKUP(F499,Proveedores!A$2:A$50,Proveedores!E$2:E$50,"")="Nacional",(J499/0.5)+(V499*H499),((J499/0.3/0.5)+(V499*H499))))</f>
        <v>#N/A</v>
      </c>
      <c r="X499" s="1127" t="e">
        <f t="shared" si="315"/>
        <v>#N/A</v>
      </c>
      <c r="Y499" s="1126" t="b">
        <f t="shared" si="316"/>
        <v>0</v>
      </c>
      <c r="Z499" s="43">
        <v>0</v>
      </c>
      <c r="AA499" s="1219" t="e">
        <f t="shared" si="326"/>
        <v>#N/A</v>
      </c>
      <c r="AB499" s="1219" t="e">
        <f t="shared" si="327"/>
        <v>#N/A</v>
      </c>
      <c r="AC499" s="1219" t="e">
        <f t="shared" si="317"/>
        <v>#N/A</v>
      </c>
      <c r="AD499" s="1126" t="e">
        <f t="shared" si="328"/>
        <v>#N/A</v>
      </c>
      <c r="AE499" s="1217" t="e">
        <f t="shared" si="318"/>
        <v>#N/A</v>
      </c>
      <c r="AF499" s="1220" t="e">
        <f t="shared" si="319"/>
        <v>#N/A</v>
      </c>
      <c r="AG499" s="1176" t="e">
        <f t="shared" si="320"/>
        <v>#N/A</v>
      </c>
      <c r="AH499" s="1221" t="e">
        <f t="shared" si="329"/>
        <v>#N/A</v>
      </c>
    </row>
    <row r="500" spans="1:34" ht="15.5">
      <c r="A500" s="1216" t="b">
        <f t="shared" si="308"/>
        <v>1</v>
      </c>
      <c r="B500" s="1217" t="b">
        <f t="shared" si="321"/>
        <v>1</v>
      </c>
      <c r="C500" s="1218" t="str">
        <f t="shared" si="322"/>
        <v>Dólares</v>
      </c>
      <c r="D500" s="47"/>
      <c r="E500" s="836"/>
      <c r="F500" s="50"/>
      <c r="G500" s="50" t="str">
        <f t="shared" si="309"/>
        <v xml:space="preserve"> </v>
      </c>
      <c r="H500" s="45">
        <v>0</v>
      </c>
      <c r="I500" s="49" t="str">
        <f>IFERROR(VLOOKUP(G500,Proveedores!B:C,2,0)," ")</f>
        <v xml:space="preserve"> </v>
      </c>
      <c r="J500" s="838">
        <v>0</v>
      </c>
      <c r="K500" s="1124"/>
      <c r="L500" s="1266">
        <f t="shared" si="310"/>
        <v>0</v>
      </c>
      <c r="M500" s="1267">
        <f t="shared" si="311"/>
        <v>0</v>
      </c>
      <c r="N500" s="1268">
        <f t="shared" si="330"/>
        <v>0</v>
      </c>
      <c r="O500" s="836" t="str">
        <f>IFERROR(VLOOKUP(G500,Proveedores!B:D,3,0)," ")</f>
        <v xml:space="preserve"> </v>
      </c>
      <c r="P500" s="836"/>
      <c r="Q500" s="1127" t="e">
        <f t="shared" si="312"/>
        <v>#N/A</v>
      </c>
      <c r="R500" s="1127" t="b">
        <f t="shared" si="323"/>
        <v>0</v>
      </c>
      <c r="S500" s="1127" t="e">
        <f t="shared" si="313"/>
        <v>#N/A</v>
      </c>
      <c r="T500" s="1127" t="b">
        <f t="shared" si="324"/>
        <v>0</v>
      </c>
      <c r="U500" s="1127" t="e">
        <f t="shared" si="314"/>
        <v>#N/A</v>
      </c>
      <c r="V500" s="1127" t="e">
        <f t="shared" si="325"/>
        <v>#N/A</v>
      </c>
      <c r="W500" s="1127" t="e">
        <f>IF(F500="Offiho",J500,IF(_xlfn.XLOOKUP(F500,Proveedores!A$2:A$50,Proveedores!E$2:E$50,"")="Nacional",(J500/0.5)+(V500*H500),((J500/0.3/0.5)+(V500*H500))))</f>
        <v>#N/A</v>
      </c>
      <c r="X500" s="1127" t="e">
        <f t="shared" si="315"/>
        <v>#N/A</v>
      </c>
      <c r="Y500" s="1126" t="b">
        <f t="shared" si="316"/>
        <v>0</v>
      </c>
      <c r="Z500" s="43">
        <v>0</v>
      </c>
      <c r="AA500" s="1219" t="e">
        <f t="shared" si="326"/>
        <v>#N/A</v>
      </c>
      <c r="AB500" s="1219" t="e">
        <f t="shared" si="327"/>
        <v>#N/A</v>
      </c>
      <c r="AC500" s="1219" t="e">
        <f t="shared" si="317"/>
        <v>#N/A</v>
      </c>
      <c r="AD500" s="1126" t="e">
        <f t="shared" si="328"/>
        <v>#N/A</v>
      </c>
      <c r="AE500" s="1217" t="e">
        <f t="shared" si="318"/>
        <v>#N/A</v>
      </c>
      <c r="AF500" s="1220" t="e">
        <f t="shared" si="319"/>
        <v>#N/A</v>
      </c>
      <c r="AG500" s="1176" t="e">
        <f t="shared" si="320"/>
        <v>#N/A</v>
      </c>
      <c r="AH500" s="1221" t="e">
        <f t="shared" si="329"/>
        <v>#N/A</v>
      </c>
    </row>
    <row r="501" spans="1:34" ht="15.5">
      <c r="A501" s="1216" t="b">
        <f t="shared" si="308"/>
        <v>1</v>
      </c>
      <c r="B501" s="1217" t="b">
        <f t="shared" si="321"/>
        <v>1</v>
      </c>
      <c r="C501" s="1218" t="str">
        <f t="shared" si="322"/>
        <v>Dólares</v>
      </c>
      <c r="D501" s="47"/>
      <c r="E501" s="836"/>
      <c r="F501" s="50"/>
      <c r="G501" s="50" t="str">
        <f t="shared" si="309"/>
        <v xml:space="preserve"> </v>
      </c>
      <c r="H501" s="45">
        <v>0</v>
      </c>
      <c r="I501" s="49" t="str">
        <f>IFERROR(VLOOKUP(G501,Proveedores!B:C,2,0)," ")</f>
        <v xml:space="preserve"> </v>
      </c>
      <c r="J501" s="838">
        <v>0</v>
      </c>
      <c r="K501" s="1124"/>
      <c r="L501" s="1266">
        <f t="shared" si="310"/>
        <v>0</v>
      </c>
      <c r="M501" s="1267">
        <f t="shared" si="311"/>
        <v>0</v>
      </c>
      <c r="N501" s="1268">
        <f t="shared" si="330"/>
        <v>0</v>
      </c>
      <c r="O501" s="836" t="str">
        <f>IFERROR(VLOOKUP(G501,Proveedores!B:D,3,0)," ")</f>
        <v xml:space="preserve"> </v>
      </c>
      <c r="P501" s="836"/>
      <c r="Q501" s="1127" t="e">
        <f t="shared" si="312"/>
        <v>#N/A</v>
      </c>
      <c r="R501" s="1127" t="b">
        <f t="shared" si="323"/>
        <v>0</v>
      </c>
      <c r="S501" s="1127" t="e">
        <f t="shared" si="313"/>
        <v>#N/A</v>
      </c>
      <c r="T501" s="1127" t="b">
        <f t="shared" si="324"/>
        <v>0</v>
      </c>
      <c r="U501" s="1127" t="e">
        <f t="shared" si="314"/>
        <v>#N/A</v>
      </c>
      <c r="V501" s="1127" t="e">
        <f t="shared" si="325"/>
        <v>#N/A</v>
      </c>
      <c r="W501" s="1127" t="e">
        <f>IF(F501="Offiho",J501,IF(_xlfn.XLOOKUP(F501,Proveedores!A$2:A$50,Proveedores!E$2:E$50,"")="Nacional",(J501/0.5)+(V501*H501),((J501/0.3/0.5)+(V501*H501))))</f>
        <v>#N/A</v>
      </c>
      <c r="X501" s="1127" t="e">
        <f t="shared" si="315"/>
        <v>#N/A</v>
      </c>
      <c r="Y501" s="1126" t="b">
        <f t="shared" si="316"/>
        <v>0</v>
      </c>
      <c r="Z501" s="43">
        <v>0</v>
      </c>
      <c r="AA501" s="1219" t="e">
        <f t="shared" si="326"/>
        <v>#N/A</v>
      </c>
      <c r="AB501" s="1219" t="e">
        <f t="shared" si="327"/>
        <v>#N/A</v>
      </c>
      <c r="AC501" s="1219" t="e">
        <f t="shared" si="317"/>
        <v>#N/A</v>
      </c>
      <c r="AD501" s="1126" t="str">
        <f t="shared" si="328"/>
        <v>NA</v>
      </c>
      <c r="AE501" s="1217" t="e">
        <f t="shared" si="318"/>
        <v>#N/A</v>
      </c>
      <c r="AF501" s="1220" t="e">
        <f t="shared" si="319"/>
        <v>#N/A</v>
      </c>
      <c r="AG501" s="1176" t="e">
        <f t="shared" si="320"/>
        <v>#N/A</v>
      </c>
      <c r="AH501" s="1221" t="e">
        <f t="shared" si="329"/>
        <v>#N/A</v>
      </c>
    </row>
    <row r="502" spans="1:34" ht="24" customHeight="1">
      <c r="A502" s="1422" t="s">
        <v>142</v>
      </c>
      <c r="B502" s="1422"/>
      <c r="C502" s="1422"/>
      <c r="D502" s="1422"/>
      <c r="E502" s="1422"/>
      <c r="F502" s="1422"/>
      <c r="G502" s="1228"/>
      <c r="H502" s="1229" cm="1">
        <f t="array" ref="H502">SUM(IFERROR(H469:H501,0))</f>
        <v>0</v>
      </c>
      <c r="I502" s="1228"/>
      <c r="J502" s="1228"/>
      <c r="K502" s="1231"/>
      <c r="L502" s="1229" cm="1">
        <f t="array" ref="L502">SUM(IFERROR(L469:L501,0))</f>
        <v>0</v>
      </c>
      <c r="M502" s="1235"/>
      <c r="N502" s="1232" cm="1">
        <f t="array" ref="N502">SUM(IFERROR(N469:N501,0))</f>
        <v>0</v>
      </c>
      <c r="O502" s="1233"/>
      <c r="P502" s="1233"/>
      <c r="Q502" s="1233"/>
      <c r="R502" s="1233"/>
      <c r="S502" s="1233"/>
      <c r="T502" s="1233"/>
      <c r="U502" s="1233"/>
      <c r="V502" s="1233"/>
      <c r="W502" s="1231"/>
      <c r="X502" s="1232" cm="1">
        <f t="array" ref="X502">SUM(IFERROR(X469:X501,0))</f>
        <v>0</v>
      </c>
      <c r="Y502" s="1233" t="s">
        <v>116</v>
      </c>
      <c r="Z502" s="1233"/>
      <c r="AA502" s="1233"/>
      <c r="AB502" s="1233"/>
      <c r="AC502" s="1232" cm="1">
        <f t="array" ref="AC502">SUM(IFERROR(AC469:AC501,0))</f>
        <v>0</v>
      </c>
      <c r="AD502" s="1232"/>
      <c r="AE502" s="1232"/>
      <c r="AF502" s="1232" cm="1">
        <f t="array" ref="AF502">SUM(IFERROR(AF469:AF501,0))</f>
        <v>0</v>
      </c>
      <c r="AG502" s="1177">
        <f>IFERROR(1-(N502/AC502),0)</f>
        <v>0</v>
      </c>
      <c r="AH502"/>
    </row>
    <row r="503" spans="1:34" ht="26" customHeight="1">
      <c r="A503" s="1419" t="s">
        <v>143</v>
      </c>
      <c r="B503" s="1419"/>
      <c r="C503" s="1419"/>
      <c r="D503" s="1419"/>
      <c r="E503" s="1419"/>
      <c r="F503" s="1419"/>
      <c r="G503" s="1419"/>
      <c r="H503" s="1419"/>
      <c r="I503" s="1419"/>
      <c r="J503" s="1420"/>
      <c r="K503" s="1214"/>
      <c r="L503" s="1214"/>
      <c r="M503" s="1236"/>
      <c r="N503" s="1214"/>
      <c r="O503" s="1213"/>
      <c r="P503" s="1213"/>
      <c r="Q503" s="1213"/>
      <c r="R503" s="1213"/>
      <c r="S503" s="1213"/>
      <c r="T503" s="1213"/>
      <c r="U503" s="1213"/>
      <c r="V503" s="1213"/>
      <c r="W503" s="1178"/>
      <c r="X503" s="1178"/>
      <c r="Y503" s="1178"/>
      <c r="Z503" s="1213"/>
      <c r="AA503" s="1213"/>
      <c r="AB503" s="1213"/>
      <c r="AC503" s="1213"/>
      <c r="AD503" s="1213"/>
      <c r="AE503" s="1213"/>
      <c r="AF503" s="1213"/>
      <c r="AG503" s="1215"/>
      <c r="AH503"/>
    </row>
    <row r="504" spans="1:34" ht="15.5">
      <c r="A504" s="1216" t="b">
        <f t="shared" ref="A504:A536" si="331">$A$13</f>
        <v>1</v>
      </c>
      <c r="B504" s="1217" t="b">
        <f>A504</f>
        <v>1</v>
      </c>
      <c r="C504" s="1218" t="str">
        <f>$C$13</f>
        <v>Dólares</v>
      </c>
      <c r="D504" s="44"/>
      <c r="E504" s="836"/>
      <c r="F504" s="50"/>
      <c r="G504" s="50" t="str">
        <f t="shared" ref="G504:G536" si="332">IFERROR(VLOOKUP(F504,Tabla_Proveedores_1,2,0)," ")</f>
        <v xml:space="preserve"> </v>
      </c>
      <c r="H504" s="45">
        <v>0</v>
      </c>
      <c r="I504" s="49" t="str">
        <f>IFERROR(VLOOKUP(G504,Proveedores!B:C,2,0)," ")</f>
        <v xml:space="preserve"> </v>
      </c>
      <c r="J504" s="838">
        <v>0</v>
      </c>
      <c r="K504" s="1124"/>
      <c r="L504" s="1266">
        <f t="shared" ref="L504:L536" si="333">K504*H504</f>
        <v>0</v>
      </c>
      <c r="M504" s="1267">
        <f t="shared" ref="M504:M536" si="334">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Brasil"),J504,IFERROR(IF(K1063&lt;=$AO$578,J504*2.14,IF(K1063&lt;=$AN$579,J504*1.8,IF(K1063&gt;$AN$580,J504*1.5))),J504))*1.1)</f>
        <v>0</v>
      </c>
      <c r="N504" s="1268">
        <f>M504*H504</f>
        <v>0</v>
      </c>
      <c r="O504" s="836" t="str">
        <f>IFERROR(VLOOKUP(G504,Proveedores!B:D,3,0)," ")</f>
        <v xml:space="preserve"> </v>
      </c>
      <c r="P504" s="836"/>
      <c r="Q504" s="1127" t="e">
        <f t="shared" ref="Q504:Q536" si="335">VLOOKUP(E504,Tabla_Fletes,3,FALSE)</f>
        <v>#N/A</v>
      </c>
      <c r="R504" s="1127" t="b">
        <f>IF(P504="Centro",Q504,IF(P504="Norte",Q504*1.6,IF(P504="Occidente",Q504*1.2,IF(P504="Sur",Q504*2))))</f>
        <v>0</v>
      </c>
      <c r="S504" s="1127" t="e">
        <f t="shared" ref="S504:S536" si="336">VLOOKUP(E504,Tabla_Instalacion,2,FALSE)</f>
        <v>#N/A</v>
      </c>
      <c r="T504" s="1127" t="b">
        <f>IF(P504="Centro",S504,IF(P504="Norte",S504*1.1,IF(P504="Occidente",S504*1.1,IF(P504="Sur",S504*1.1))))</f>
        <v>0</v>
      </c>
      <c r="U504" s="1127" t="e">
        <f t="shared" ref="U504:U536" si="337">IF(F504="Offiho",0,Q504+S504)</f>
        <v>#N/A</v>
      </c>
      <c r="V504" s="1127" t="e">
        <f>IF(K504=0,U504/$H$573,U504*(K504/L504))*H504</f>
        <v>#N/A</v>
      </c>
      <c r="W504" s="1127" t="e">
        <f>IF(F504="Offiho",J504,IF(_xlfn.XLOOKUP(F504,Proveedores!A$2:A$50,Proveedores!E$2:E$50,"")="Nacional",(J504/0.5)+(V504*H504),((J504/0.3/0.5)+(V504*H504))))</f>
        <v>#N/A</v>
      </c>
      <c r="X504" s="1127" t="e">
        <f t="shared" ref="X504:X536" si="338">W504*H504</f>
        <v>#N/A</v>
      </c>
      <c r="Y504" s="1126" t="b">
        <f t="shared" ref="Y504:Y536" si="339">IF(F504="Sunon Inc",$AJ$577,IF(F504="Alma - Exterior",$AJ$578,IF(F504="Yabo - Hotelería",$AJ$579,IF(F504="OSJ - Medical",$AJ$580,IF(F504="Seezo - Home",$AJ$581,IF(F504="A&amp;D - Home",$AJ$582,IF(F504="Encore Alfombras Hoteleria Asia",$AJ$583,IF(F504="Zhong Xian - Leds",$AJ$584,IF(F504="Tarkett Europa",$AJ$585,IF(F504="2tec2",$AJ$586,IF(F504="Balsan Europa",$AJ$587,IF(F504="Armstrong Pisos USA",$AJ$588,IF(F504="Tarkett USA",$AJ$589,IF(F504="Tarkett Brasil",$AJ$590,IF(F504="Tarkett MX",$AJ$591,IF(F504="Jome",$AJ$592,IF(F504="Offiho",$AJ$593,IF(F504="Lumbro",$AJ$594,IF(F504="Sunon Mty",$AJ$595,IF(F504="Conceptos Sofas",$AJ$596,IF(F504="Lauco Sofas",$AJ$597,IF(F504="CR Global - Mesas Ajustables",$AJ$598,IF(F504="Vandesk",$AJ$599,IF(F504="Mamparas Tela",$AJ$600,IF(F504="Mampara Cristales",$AJ$601,IF(F504="Herrajes",$AJ$602,IF(F504="MetalWork",$AJ$603,IF(F504="Requiez",$AJ$604,IF(F504="Labenze",$AJ$605,IF(F504="Infinity",$AJ$606,IF(F504="Proveedor Externo",$AJ$607)))))))))))))))))))))))))))))))</f>
        <v>0</v>
      </c>
      <c r="Z504" s="43">
        <v>0</v>
      </c>
      <c r="AA504" s="1219" t="e">
        <f>W504*Z504</f>
        <v>#N/A</v>
      </c>
      <c r="AB504" s="1219" t="e">
        <f>IF(Z504&gt;Y504,"ERROR",(W504-AA504))</f>
        <v>#N/A</v>
      </c>
      <c r="AC504" s="1219" t="e">
        <f t="shared" ref="AC504:AC536" si="340">AB504*H504</f>
        <v>#N/A</v>
      </c>
      <c r="AD504" s="1126" t="e">
        <f>IF(A505=TRUE,MAX(0,1-(AE504/W504)),"NA")</f>
        <v>#N/A</v>
      </c>
      <c r="AE504" s="1217" t="e">
        <f t="shared" ref="AE504:AE536" si="341">IF(A503=FALSE,"NO APLICA",AB504*1.2)</f>
        <v>#N/A</v>
      </c>
      <c r="AF504" s="1220" t="e">
        <f t="shared" ref="AF504:AF536" si="342">AE504*H504</f>
        <v>#N/A</v>
      </c>
      <c r="AG504" s="1176" t="e">
        <f t="shared" ref="AG504:AG536" si="343">(AC504-N504)/AC504</f>
        <v>#N/A</v>
      </c>
      <c r="AH504" s="1221" t="e">
        <f>IF(AG504&lt;30%,"ERROR","OK")</f>
        <v>#N/A</v>
      </c>
    </row>
    <row r="505" spans="1:34" ht="15.5">
      <c r="A505" s="1216" t="b">
        <f t="shared" si="331"/>
        <v>1</v>
      </c>
      <c r="B505" s="1217" t="b">
        <f t="shared" ref="B505:B536" si="344">A505</f>
        <v>1</v>
      </c>
      <c r="C505" s="1218" t="str">
        <f t="shared" ref="C505:C536" si="345">$C$13</f>
        <v>Dólares</v>
      </c>
      <c r="D505" s="46"/>
      <c r="E505" s="836"/>
      <c r="F505" s="50"/>
      <c r="G505" s="50" t="str">
        <f t="shared" si="332"/>
        <v xml:space="preserve"> </v>
      </c>
      <c r="H505" s="45">
        <v>0</v>
      </c>
      <c r="I505" s="49" t="str">
        <f>IFERROR(VLOOKUP(G505,Proveedores!B:C,2,0)," ")</f>
        <v xml:space="preserve"> </v>
      </c>
      <c r="J505" s="838">
        <v>0</v>
      </c>
      <c r="K505" s="1124"/>
      <c r="L505" s="1266">
        <f t="shared" si="333"/>
        <v>0</v>
      </c>
      <c r="M505" s="1267">
        <f t="shared" si="334"/>
        <v>0</v>
      </c>
      <c r="N505" s="1268">
        <f>M505*H505</f>
        <v>0</v>
      </c>
      <c r="O505" s="836" t="str">
        <f>IFERROR(VLOOKUP(G505,Proveedores!B:D,3,0)," ")</f>
        <v xml:space="preserve"> </v>
      </c>
      <c r="P505" s="836"/>
      <c r="Q505" s="1127" t="e">
        <f t="shared" si="335"/>
        <v>#N/A</v>
      </c>
      <c r="R505" s="1127" t="b">
        <f t="shared" ref="R505:R536" si="346">IF(P505="Centro",Q505,IF(P505="Norte",Q505*1.6,IF(P505="Occidente",Q505*1.2,IF(P505="Sur",Q505*2))))</f>
        <v>0</v>
      </c>
      <c r="S505" s="1127" t="e">
        <f t="shared" si="336"/>
        <v>#N/A</v>
      </c>
      <c r="T505" s="1127" t="b">
        <f t="shared" ref="T505:T536" si="347">IF(P505="Centro",S505,IF(P505="Norte",S505*1.1,IF(P505="Occidente",S505*1.1,IF(P505="Sur",S505*1.1))))</f>
        <v>0</v>
      </c>
      <c r="U505" s="1127" t="e">
        <f t="shared" si="337"/>
        <v>#N/A</v>
      </c>
      <c r="V505" s="1127" t="e">
        <f t="shared" ref="V505:V536" si="348">IF(K505=0,U505/$H$573,U505*(K505/L505))*H505</f>
        <v>#N/A</v>
      </c>
      <c r="W505" s="1127" t="e">
        <f>IF(F505="Offiho",J505,IF(_xlfn.XLOOKUP(F505,Proveedores!A$2:A$50,Proveedores!E$2:E$50,"")="Nacional",(J505/0.5)+(V505*H505),((J505/0.3/0.5)+(V505*H505))))</f>
        <v>#N/A</v>
      </c>
      <c r="X505" s="1127" t="e">
        <f t="shared" si="338"/>
        <v>#N/A</v>
      </c>
      <c r="Y505" s="1126" t="b">
        <f t="shared" si="339"/>
        <v>0</v>
      </c>
      <c r="Z505" s="43">
        <v>0</v>
      </c>
      <c r="AA505" s="1219" t="e">
        <f t="shared" ref="AA505:AA536" si="349">W505*Z505</f>
        <v>#N/A</v>
      </c>
      <c r="AB505" s="1219" t="e">
        <f t="shared" ref="AB505:AB536" si="350">IF(Z505&gt;Y505,"ERROR",(W505-AA505))</f>
        <v>#N/A</v>
      </c>
      <c r="AC505" s="1219" t="e">
        <f t="shared" si="340"/>
        <v>#N/A</v>
      </c>
      <c r="AD505" s="1126" t="e">
        <f t="shared" ref="AD505:AD536" si="351">IF(A506=TRUE,MAX(0,1-(AE505/W505)),"NA")</f>
        <v>#N/A</v>
      </c>
      <c r="AE505" s="1217" t="e">
        <f t="shared" si="341"/>
        <v>#N/A</v>
      </c>
      <c r="AF505" s="1220" t="e">
        <f t="shared" si="342"/>
        <v>#N/A</v>
      </c>
      <c r="AG505" s="1176" t="e">
        <f t="shared" si="343"/>
        <v>#N/A</v>
      </c>
      <c r="AH505" s="1221" t="e">
        <f t="shared" ref="AH505:AH536" si="352">IF(AG505&lt;30%,"ERROR","OK")</f>
        <v>#N/A</v>
      </c>
    </row>
    <row r="506" spans="1:34" ht="15.5">
      <c r="A506" s="1216" t="b">
        <f t="shared" si="331"/>
        <v>1</v>
      </c>
      <c r="B506" s="1217" t="b">
        <f t="shared" si="344"/>
        <v>1</v>
      </c>
      <c r="C506" s="1218" t="str">
        <f t="shared" si="345"/>
        <v>Dólares</v>
      </c>
      <c r="D506" s="46"/>
      <c r="E506" s="836"/>
      <c r="F506" s="50"/>
      <c r="G506" s="50" t="str">
        <f t="shared" si="332"/>
        <v xml:space="preserve"> </v>
      </c>
      <c r="H506" s="45">
        <v>0</v>
      </c>
      <c r="I506" s="49" t="str">
        <f>IFERROR(VLOOKUP(G506,Proveedores!B:C,2,0)," ")</f>
        <v xml:space="preserve"> </v>
      </c>
      <c r="J506" s="838">
        <v>0</v>
      </c>
      <c r="K506" s="1124"/>
      <c r="L506" s="1266">
        <f t="shared" si="333"/>
        <v>0</v>
      </c>
      <c r="M506" s="1267">
        <f t="shared" si="334"/>
        <v>0</v>
      </c>
      <c r="N506" s="1268">
        <f>(M506*H506)</f>
        <v>0</v>
      </c>
      <c r="O506" s="836" t="str">
        <f>IFERROR(VLOOKUP(G506,Proveedores!B:D,3,0)," ")</f>
        <v xml:space="preserve"> </v>
      </c>
      <c r="P506" s="836"/>
      <c r="Q506" s="1127" t="e">
        <f t="shared" si="335"/>
        <v>#N/A</v>
      </c>
      <c r="R506" s="1127" t="b">
        <f t="shared" si="346"/>
        <v>0</v>
      </c>
      <c r="S506" s="1127" t="e">
        <f t="shared" si="336"/>
        <v>#N/A</v>
      </c>
      <c r="T506" s="1127" t="b">
        <f t="shared" si="347"/>
        <v>0</v>
      </c>
      <c r="U506" s="1127" t="e">
        <f t="shared" si="337"/>
        <v>#N/A</v>
      </c>
      <c r="V506" s="1127" t="e">
        <f t="shared" si="348"/>
        <v>#N/A</v>
      </c>
      <c r="W506" s="1127" t="e">
        <f>IF(F506="Offiho",J506,IF(_xlfn.XLOOKUP(F506,Proveedores!A$2:A$50,Proveedores!E$2:E$50,"")="Nacional",(J506/0.5)+(V506*H506),((J506/0.3/0.5)+(V506*H506))))</f>
        <v>#N/A</v>
      </c>
      <c r="X506" s="1127" t="e">
        <f t="shared" si="338"/>
        <v>#N/A</v>
      </c>
      <c r="Y506" s="1126" t="b">
        <f t="shared" si="339"/>
        <v>0</v>
      </c>
      <c r="Z506" s="43">
        <v>0</v>
      </c>
      <c r="AA506" s="1219" t="e">
        <f t="shared" si="349"/>
        <v>#N/A</v>
      </c>
      <c r="AB506" s="1219" t="e">
        <f t="shared" si="350"/>
        <v>#N/A</v>
      </c>
      <c r="AC506" s="1219" t="e">
        <f t="shared" si="340"/>
        <v>#N/A</v>
      </c>
      <c r="AD506" s="1126" t="e">
        <f t="shared" si="351"/>
        <v>#N/A</v>
      </c>
      <c r="AE506" s="1217" t="e">
        <f t="shared" si="341"/>
        <v>#N/A</v>
      </c>
      <c r="AF506" s="1220" t="e">
        <f t="shared" si="342"/>
        <v>#N/A</v>
      </c>
      <c r="AG506" s="1176" t="e">
        <f t="shared" si="343"/>
        <v>#N/A</v>
      </c>
      <c r="AH506" s="1221" t="e">
        <f t="shared" si="352"/>
        <v>#N/A</v>
      </c>
    </row>
    <row r="507" spans="1:34" ht="15.5">
      <c r="A507" s="1216" t="b">
        <f t="shared" si="331"/>
        <v>1</v>
      </c>
      <c r="B507" s="1217" t="b">
        <f t="shared" si="344"/>
        <v>1</v>
      </c>
      <c r="C507" s="1218" t="str">
        <f t="shared" si="345"/>
        <v>Dólares</v>
      </c>
      <c r="D507" s="46"/>
      <c r="E507" s="836"/>
      <c r="F507" s="50"/>
      <c r="G507" s="50" t="str">
        <f t="shared" si="332"/>
        <v xml:space="preserve"> </v>
      </c>
      <c r="H507" s="45">
        <v>0</v>
      </c>
      <c r="I507" s="49" t="str">
        <f>IFERROR(VLOOKUP(G507,Proveedores!B:C,2,0)," ")</f>
        <v xml:space="preserve"> </v>
      </c>
      <c r="J507" s="838">
        <v>0</v>
      </c>
      <c r="K507" s="1124"/>
      <c r="L507" s="1266">
        <f t="shared" si="333"/>
        <v>0</v>
      </c>
      <c r="M507" s="1267">
        <f t="shared" si="334"/>
        <v>0</v>
      </c>
      <c r="N507" s="1268">
        <f t="shared" ref="N507:N536" si="353">M507*H507</f>
        <v>0</v>
      </c>
      <c r="O507" s="836" t="str">
        <f>IFERROR(VLOOKUP(G507,Proveedores!B:D,3,0)," ")</f>
        <v xml:space="preserve"> </v>
      </c>
      <c r="P507" s="836"/>
      <c r="Q507" s="1127" t="e">
        <f t="shared" si="335"/>
        <v>#N/A</v>
      </c>
      <c r="R507" s="1127" t="b">
        <f t="shared" si="346"/>
        <v>0</v>
      </c>
      <c r="S507" s="1127" t="e">
        <f t="shared" si="336"/>
        <v>#N/A</v>
      </c>
      <c r="T507" s="1127" t="b">
        <f t="shared" si="347"/>
        <v>0</v>
      </c>
      <c r="U507" s="1127" t="e">
        <f t="shared" si="337"/>
        <v>#N/A</v>
      </c>
      <c r="V507" s="1127" t="e">
        <f t="shared" si="348"/>
        <v>#N/A</v>
      </c>
      <c r="W507" s="1127" t="e">
        <f>IF(F507="Offiho",J507,IF(_xlfn.XLOOKUP(F507,Proveedores!A$2:A$50,Proveedores!E$2:E$50,"")="Nacional",(J507/0.5)+(V507*H507),((J507/0.3/0.5)+(V507*H507))))</f>
        <v>#N/A</v>
      </c>
      <c r="X507" s="1127" t="e">
        <f t="shared" si="338"/>
        <v>#N/A</v>
      </c>
      <c r="Y507" s="1126" t="b">
        <f t="shared" si="339"/>
        <v>0</v>
      </c>
      <c r="Z507" s="43">
        <v>0</v>
      </c>
      <c r="AA507" s="1219" t="e">
        <f t="shared" si="349"/>
        <v>#N/A</v>
      </c>
      <c r="AB507" s="1219" t="e">
        <f t="shared" si="350"/>
        <v>#N/A</v>
      </c>
      <c r="AC507" s="1219" t="e">
        <f t="shared" si="340"/>
        <v>#N/A</v>
      </c>
      <c r="AD507" s="1126" t="e">
        <f t="shared" si="351"/>
        <v>#N/A</v>
      </c>
      <c r="AE507" s="1217" t="e">
        <f t="shared" si="341"/>
        <v>#N/A</v>
      </c>
      <c r="AF507" s="1220" t="e">
        <f t="shared" si="342"/>
        <v>#N/A</v>
      </c>
      <c r="AG507" s="1176" t="e">
        <f t="shared" si="343"/>
        <v>#N/A</v>
      </c>
      <c r="AH507" s="1221" t="e">
        <f t="shared" si="352"/>
        <v>#N/A</v>
      </c>
    </row>
    <row r="508" spans="1:34" ht="15.5">
      <c r="A508" s="1216" t="b">
        <f t="shared" si="331"/>
        <v>1</v>
      </c>
      <c r="B508" s="1217" t="b">
        <f t="shared" si="344"/>
        <v>1</v>
      </c>
      <c r="C508" s="1218" t="str">
        <f t="shared" si="345"/>
        <v>Dólares</v>
      </c>
      <c r="D508" s="46"/>
      <c r="E508" s="836"/>
      <c r="F508" s="50"/>
      <c r="G508" s="50" t="str">
        <f t="shared" si="332"/>
        <v xml:space="preserve"> </v>
      </c>
      <c r="H508" s="45">
        <v>0</v>
      </c>
      <c r="I508" s="49" t="str">
        <f>IFERROR(VLOOKUP(G508,Proveedores!B:C,2,0)," ")</f>
        <v xml:space="preserve"> </v>
      </c>
      <c r="J508" s="838">
        <v>0</v>
      </c>
      <c r="K508" s="1124"/>
      <c r="L508" s="1266">
        <f t="shared" si="333"/>
        <v>0</v>
      </c>
      <c r="M508" s="1267">
        <f t="shared" si="334"/>
        <v>0</v>
      </c>
      <c r="N508" s="1268">
        <f t="shared" si="353"/>
        <v>0</v>
      </c>
      <c r="O508" s="836" t="str">
        <f>IFERROR(VLOOKUP(G508,Proveedores!B:D,3,0)," ")</f>
        <v xml:space="preserve"> </v>
      </c>
      <c r="P508" s="836"/>
      <c r="Q508" s="1127" t="e">
        <f t="shared" si="335"/>
        <v>#N/A</v>
      </c>
      <c r="R508" s="1127" t="b">
        <f t="shared" si="346"/>
        <v>0</v>
      </c>
      <c r="S508" s="1127" t="e">
        <f t="shared" si="336"/>
        <v>#N/A</v>
      </c>
      <c r="T508" s="1127" t="b">
        <f t="shared" si="347"/>
        <v>0</v>
      </c>
      <c r="U508" s="1127" t="e">
        <f t="shared" si="337"/>
        <v>#N/A</v>
      </c>
      <c r="V508" s="1127" t="e">
        <f t="shared" si="348"/>
        <v>#N/A</v>
      </c>
      <c r="W508" s="1127" t="e">
        <f>IF(F508="Offiho",J508,IF(_xlfn.XLOOKUP(F508,Proveedores!A$2:A$50,Proveedores!E$2:E$50,"")="Nacional",(J508/0.5)+(V508*H508),((J508/0.3/0.5)+(V508*H508))))</f>
        <v>#N/A</v>
      </c>
      <c r="X508" s="1127" t="e">
        <f t="shared" si="338"/>
        <v>#N/A</v>
      </c>
      <c r="Y508" s="1126" t="b">
        <f t="shared" si="339"/>
        <v>0</v>
      </c>
      <c r="Z508" s="43">
        <v>0</v>
      </c>
      <c r="AA508" s="1219" t="e">
        <f t="shared" si="349"/>
        <v>#N/A</v>
      </c>
      <c r="AB508" s="1219" t="e">
        <f t="shared" si="350"/>
        <v>#N/A</v>
      </c>
      <c r="AC508" s="1219" t="e">
        <f t="shared" si="340"/>
        <v>#N/A</v>
      </c>
      <c r="AD508" s="1126" t="e">
        <f t="shared" si="351"/>
        <v>#N/A</v>
      </c>
      <c r="AE508" s="1217" t="e">
        <f t="shared" si="341"/>
        <v>#N/A</v>
      </c>
      <c r="AF508" s="1220" t="e">
        <f t="shared" si="342"/>
        <v>#N/A</v>
      </c>
      <c r="AG508" s="1176" t="e">
        <f t="shared" si="343"/>
        <v>#N/A</v>
      </c>
      <c r="AH508" s="1221" t="e">
        <f t="shared" si="352"/>
        <v>#N/A</v>
      </c>
    </row>
    <row r="509" spans="1:34" ht="15.5">
      <c r="A509" s="1216" t="b">
        <f t="shared" si="331"/>
        <v>1</v>
      </c>
      <c r="B509" s="1217" t="b">
        <f t="shared" si="344"/>
        <v>1</v>
      </c>
      <c r="C509" s="1218" t="str">
        <f t="shared" si="345"/>
        <v>Dólares</v>
      </c>
      <c r="D509" s="46"/>
      <c r="E509" s="836"/>
      <c r="F509" s="50"/>
      <c r="G509" s="50" t="str">
        <f t="shared" si="332"/>
        <v xml:space="preserve"> </v>
      </c>
      <c r="H509" s="45">
        <v>0</v>
      </c>
      <c r="I509" s="49" t="str">
        <f>IFERROR(VLOOKUP(G509,Proveedores!B:C,2,0)," ")</f>
        <v xml:space="preserve"> </v>
      </c>
      <c r="J509" s="838">
        <v>0</v>
      </c>
      <c r="K509" s="1124"/>
      <c r="L509" s="1266">
        <f t="shared" si="333"/>
        <v>0</v>
      </c>
      <c r="M509" s="1267">
        <f t="shared" si="334"/>
        <v>0</v>
      </c>
      <c r="N509" s="1268">
        <f t="shared" si="353"/>
        <v>0</v>
      </c>
      <c r="O509" s="836" t="str">
        <f>IFERROR(VLOOKUP(G509,Proveedores!B:D,3,0)," ")</f>
        <v xml:space="preserve"> </v>
      </c>
      <c r="P509" s="836"/>
      <c r="Q509" s="1127" t="e">
        <f t="shared" si="335"/>
        <v>#N/A</v>
      </c>
      <c r="R509" s="1127" t="b">
        <f t="shared" si="346"/>
        <v>0</v>
      </c>
      <c r="S509" s="1127" t="e">
        <f t="shared" si="336"/>
        <v>#N/A</v>
      </c>
      <c r="T509" s="1127" t="b">
        <f t="shared" si="347"/>
        <v>0</v>
      </c>
      <c r="U509" s="1127" t="e">
        <f t="shared" si="337"/>
        <v>#N/A</v>
      </c>
      <c r="V509" s="1127" t="e">
        <f t="shared" si="348"/>
        <v>#N/A</v>
      </c>
      <c r="W509" s="1127" t="e">
        <f>IF(F509="Offiho",J509,IF(_xlfn.XLOOKUP(F509,Proveedores!A$2:A$50,Proveedores!E$2:E$50,"")="Nacional",(J509/0.5)+(V509*H509),((J509/0.3/0.5)+(V509*H509))))</f>
        <v>#N/A</v>
      </c>
      <c r="X509" s="1127" t="e">
        <f t="shared" si="338"/>
        <v>#N/A</v>
      </c>
      <c r="Y509" s="1126" t="b">
        <f t="shared" si="339"/>
        <v>0</v>
      </c>
      <c r="Z509" s="43">
        <v>0</v>
      </c>
      <c r="AA509" s="1219" t="e">
        <f t="shared" si="349"/>
        <v>#N/A</v>
      </c>
      <c r="AB509" s="1219" t="e">
        <f t="shared" si="350"/>
        <v>#N/A</v>
      </c>
      <c r="AC509" s="1219" t="e">
        <f t="shared" si="340"/>
        <v>#N/A</v>
      </c>
      <c r="AD509" s="1126" t="e">
        <f t="shared" si="351"/>
        <v>#N/A</v>
      </c>
      <c r="AE509" s="1217" t="e">
        <f t="shared" si="341"/>
        <v>#N/A</v>
      </c>
      <c r="AF509" s="1220" t="e">
        <f t="shared" si="342"/>
        <v>#N/A</v>
      </c>
      <c r="AG509" s="1176" t="e">
        <f t="shared" si="343"/>
        <v>#N/A</v>
      </c>
      <c r="AH509" s="1221" t="e">
        <f t="shared" si="352"/>
        <v>#N/A</v>
      </c>
    </row>
    <row r="510" spans="1:34" ht="15.5">
      <c r="A510" s="1216" t="b">
        <f t="shared" si="331"/>
        <v>1</v>
      </c>
      <c r="B510" s="1217" t="b">
        <f t="shared" si="344"/>
        <v>1</v>
      </c>
      <c r="C510" s="1218" t="str">
        <f t="shared" si="345"/>
        <v>Dólares</v>
      </c>
      <c r="D510" s="44"/>
      <c r="E510" s="836"/>
      <c r="F510" s="50"/>
      <c r="G510" s="50" t="str">
        <f t="shared" si="332"/>
        <v xml:space="preserve"> </v>
      </c>
      <c r="H510" s="45">
        <v>0</v>
      </c>
      <c r="I510" s="49" t="str">
        <f>IFERROR(VLOOKUP(G510,Proveedores!B:C,2,0)," ")</f>
        <v xml:space="preserve"> </v>
      </c>
      <c r="J510" s="838">
        <v>0</v>
      </c>
      <c r="K510" s="1124"/>
      <c r="L510" s="1266">
        <f t="shared" si="333"/>
        <v>0</v>
      </c>
      <c r="M510" s="1267">
        <f t="shared" si="334"/>
        <v>0</v>
      </c>
      <c r="N510" s="1268">
        <f t="shared" si="353"/>
        <v>0</v>
      </c>
      <c r="O510" s="836" t="str">
        <f>IFERROR(VLOOKUP(G510,Proveedores!B:D,3,0)," ")</f>
        <v xml:space="preserve"> </v>
      </c>
      <c r="P510" s="836"/>
      <c r="Q510" s="1127" t="e">
        <f t="shared" si="335"/>
        <v>#N/A</v>
      </c>
      <c r="R510" s="1127" t="b">
        <f t="shared" si="346"/>
        <v>0</v>
      </c>
      <c r="S510" s="1127" t="e">
        <f t="shared" si="336"/>
        <v>#N/A</v>
      </c>
      <c r="T510" s="1127" t="b">
        <f t="shared" si="347"/>
        <v>0</v>
      </c>
      <c r="U510" s="1127" t="e">
        <f t="shared" si="337"/>
        <v>#N/A</v>
      </c>
      <c r="V510" s="1127" t="e">
        <f t="shared" si="348"/>
        <v>#N/A</v>
      </c>
      <c r="W510" s="1127" t="e">
        <f>IF(F510="Offiho",J510,IF(_xlfn.XLOOKUP(F510,Proveedores!A$2:A$50,Proveedores!E$2:E$50,"")="Nacional",(J510/0.5)+(V510*H510),((J510/0.3/0.5)+(V510*H510))))</f>
        <v>#N/A</v>
      </c>
      <c r="X510" s="1127" t="e">
        <f t="shared" si="338"/>
        <v>#N/A</v>
      </c>
      <c r="Y510" s="1126" t="b">
        <f t="shared" si="339"/>
        <v>0</v>
      </c>
      <c r="Z510" s="43">
        <v>0</v>
      </c>
      <c r="AA510" s="1219" t="e">
        <f t="shared" si="349"/>
        <v>#N/A</v>
      </c>
      <c r="AB510" s="1219" t="e">
        <f t="shared" si="350"/>
        <v>#N/A</v>
      </c>
      <c r="AC510" s="1219" t="e">
        <f t="shared" si="340"/>
        <v>#N/A</v>
      </c>
      <c r="AD510" s="1126" t="e">
        <f t="shared" si="351"/>
        <v>#N/A</v>
      </c>
      <c r="AE510" s="1217" t="e">
        <f t="shared" si="341"/>
        <v>#N/A</v>
      </c>
      <c r="AF510" s="1220" t="e">
        <f t="shared" si="342"/>
        <v>#N/A</v>
      </c>
      <c r="AG510" s="1176" t="e">
        <f t="shared" si="343"/>
        <v>#N/A</v>
      </c>
      <c r="AH510" s="1221" t="e">
        <f t="shared" si="352"/>
        <v>#N/A</v>
      </c>
    </row>
    <row r="511" spans="1:34" ht="15.5">
      <c r="A511" s="1216" t="b">
        <f t="shared" si="331"/>
        <v>1</v>
      </c>
      <c r="B511" s="1217" t="b">
        <f t="shared" si="344"/>
        <v>1</v>
      </c>
      <c r="C511" s="1218" t="str">
        <f t="shared" si="345"/>
        <v>Dólares</v>
      </c>
      <c r="D511" s="44"/>
      <c r="E511" s="836"/>
      <c r="F511" s="50"/>
      <c r="G511" s="50" t="str">
        <f t="shared" si="332"/>
        <v xml:space="preserve"> </v>
      </c>
      <c r="H511" s="45">
        <v>0</v>
      </c>
      <c r="I511" s="49" t="str">
        <f>IFERROR(VLOOKUP(G511,Proveedores!B:C,2,0)," ")</f>
        <v xml:space="preserve"> </v>
      </c>
      <c r="J511" s="838">
        <v>0</v>
      </c>
      <c r="K511" s="1124"/>
      <c r="L511" s="1266">
        <f t="shared" si="333"/>
        <v>0</v>
      </c>
      <c r="M511" s="1267">
        <f t="shared" si="334"/>
        <v>0</v>
      </c>
      <c r="N511" s="1268">
        <f t="shared" si="353"/>
        <v>0</v>
      </c>
      <c r="O511" s="836" t="str">
        <f>IFERROR(VLOOKUP(G511,Proveedores!B:D,3,0)," ")</f>
        <v xml:space="preserve"> </v>
      </c>
      <c r="P511" s="836"/>
      <c r="Q511" s="1127" t="e">
        <f t="shared" si="335"/>
        <v>#N/A</v>
      </c>
      <c r="R511" s="1127" t="b">
        <f t="shared" si="346"/>
        <v>0</v>
      </c>
      <c r="S511" s="1127" t="e">
        <f t="shared" si="336"/>
        <v>#N/A</v>
      </c>
      <c r="T511" s="1127" t="b">
        <f t="shared" si="347"/>
        <v>0</v>
      </c>
      <c r="U511" s="1127" t="e">
        <f t="shared" si="337"/>
        <v>#N/A</v>
      </c>
      <c r="V511" s="1127" t="e">
        <f t="shared" si="348"/>
        <v>#N/A</v>
      </c>
      <c r="W511" s="1127" t="e">
        <f>IF(F511="Offiho",J511,IF(_xlfn.XLOOKUP(F511,Proveedores!A$2:A$50,Proveedores!E$2:E$50,"")="Nacional",(J511/0.5)+(V511*H511),((J511/0.3/0.5)+(V511*H511))))</f>
        <v>#N/A</v>
      </c>
      <c r="X511" s="1127" t="e">
        <f t="shared" si="338"/>
        <v>#N/A</v>
      </c>
      <c r="Y511" s="1126" t="b">
        <f t="shared" si="339"/>
        <v>0</v>
      </c>
      <c r="Z511" s="43">
        <v>0</v>
      </c>
      <c r="AA511" s="1219" t="e">
        <f t="shared" si="349"/>
        <v>#N/A</v>
      </c>
      <c r="AB511" s="1219" t="e">
        <f t="shared" si="350"/>
        <v>#N/A</v>
      </c>
      <c r="AC511" s="1219" t="e">
        <f t="shared" si="340"/>
        <v>#N/A</v>
      </c>
      <c r="AD511" s="1126" t="e">
        <f t="shared" si="351"/>
        <v>#N/A</v>
      </c>
      <c r="AE511" s="1217" t="e">
        <f t="shared" si="341"/>
        <v>#N/A</v>
      </c>
      <c r="AF511" s="1220" t="e">
        <f t="shared" si="342"/>
        <v>#N/A</v>
      </c>
      <c r="AG511" s="1176" t="e">
        <f t="shared" si="343"/>
        <v>#N/A</v>
      </c>
      <c r="AH511" s="1221" t="e">
        <f t="shared" si="352"/>
        <v>#N/A</v>
      </c>
    </row>
    <row r="512" spans="1:34" ht="15.5">
      <c r="A512" s="1216" t="b">
        <f t="shared" si="331"/>
        <v>1</v>
      </c>
      <c r="B512" s="1217" t="b">
        <f t="shared" si="344"/>
        <v>1</v>
      </c>
      <c r="C512" s="1218" t="str">
        <f t="shared" si="345"/>
        <v>Dólares</v>
      </c>
      <c r="D512" s="44"/>
      <c r="E512" s="836"/>
      <c r="F512" s="50"/>
      <c r="G512" s="50" t="str">
        <f t="shared" si="332"/>
        <v xml:space="preserve"> </v>
      </c>
      <c r="H512" s="45">
        <v>0</v>
      </c>
      <c r="I512" s="49" t="str">
        <f>IFERROR(VLOOKUP(G512,Proveedores!B:C,2,0)," ")</f>
        <v xml:space="preserve"> </v>
      </c>
      <c r="J512" s="838">
        <v>0</v>
      </c>
      <c r="K512" s="1124"/>
      <c r="L512" s="1266">
        <f t="shared" si="333"/>
        <v>0</v>
      </c>
      <c r="M512" s="1267">
        <f t="shared" si="334"/>
        <v>0</v>
      </c>
      <c r="N512" s="1268">
        <f t="shared" si="353"/>
        <v>0</v>
      </c>
      <c r="O512" s="836" t="str">
        <f>IFERROR(VLOOKUP(G512,Proveedores!B:D,3,0)," ")</f>
        <v xml:space="preserve"> </v>
      </c>
      <c r="P512" s="836"/>
      <c r="Q512" s="1127" t="e">
        <f t="shared" si="335"/>
        <v>#N/A</v>
      </c>
      <c r="R512" s="1127" t="b">
        <f t="shared" si="346"/>
        <v>0</v>
      </c>
      <c r="S512" s="1127" t="e">
        <f t="shared" si="336"/>
        <v>#N/A</v>
      </c>
      <c r="T512" s="1127" t="b">
        <f t="shared" si="347"/>
        <v>0</v>
      </c>
      <c r="U512" s="1127" t="e">
        <f t="shared" si="337"/>
        <v>#N/A</v>
      </c>
      <c r="V512" s="1127" t="e">
        <f t="shared" si="348"/>
        <v>#N/A</v>
      </c>
      <c r="W512" s="1127" t="e">
        <f>IF(F512="Offiho",J512,IF(_xlfn.XLOOKUP(F512,Proveedores!A$2:A$50,Proveedores!E$2:E$50,"")="Nacional",(J512/0.5)+(V512*H512),((J512/0.3/0.5)+(V512*H512))))</f>
        <v>#N/A</v>
      </c>
      <c r="X512" s="1127" t="e">
        <f t="shared" si="338"/>
        <v>#N/A</v>
      </c>
      <c r="Y512" s="1126" t="b">
        <f t="shared" si="339"/>
        <v>0</v>
      </c>
      <c r="Z512" s="43">
        <v>0</v>
      </c>
      <c r="AA512" s="1219" t="e">
        <f t="shared" si="349"/>
        <v>#N/A</v>
      </c>
      <c r="AB512" s="1219" t="e">
        <f t="shared" si="350"/>
        <v>#N/A</v>
      </c>
      <c r="AC512" s="1219" t="e">
        <f t="shared" si="340"/>
        <v>#N/A</v>
      </c>
      <c r="AD512" s="1126" t="e">
        <f t="shared" si="351"/>
        <v>#N/A</v>
      </c>
      <c r="AE512" s="1217" t="e">
        <f t="shared" si="341"/>
        <v>#N/A</v>
      </c>
      <c r="AF512" s="1220" t="e">
        <f t="shared" si="342"/>
        <v>#N/A</v>
      </c>
      <c r="AG512" s="1176" t="e">
        <f t="shared" si="343"/>
        <v>#N/A</v>
      </c>
      <c r="AH512" s="1221" t="e">
        <f t="shared" si="352"/>
        <v>#N/A</v>
      </c>
    </row>
    <row r="513" spans="1:34" ht="15.5">
      <c r="A513" s="1216" t="b">
        <f t="shared" si="331"/>
        <v>1</v>
      </c>
      <c r="B513" s="1217" t="b">
        <f t="shared" si="344"/>
        <v>1</v>
      </c>
      <c r="C513" s="1218" t="str">
        <f t="shared" si="345"/>
        <v>Dólares</v>
      </c>
      <c r="D513" s="44"/>
      <c r="E513" s="836"/>
      <c r="F513" s="50"/>
      <c r="G513" s="50" t="str">
        <f t="shared" si="332"/>
        <v xml:space="preserve"> </v>
      </c>
      <c r="H513" s="45">
        <v>0</v>
      </c>
      <c r="I513" s="49" t="str">
        <f>IFERROR(VLOOKUP(G513,Proveedores!B:C,2,0)," ")</f>
        <v xml:space="preserve"> </v>
      </c>
      <c r="J513" s="838">
        <v>0</v>
      </c>
      <c r="K513" s="1124"/>
      <c r="L513" s="1266">
        <f t="shared" si="333"/>
        <v>0</v>
      </c>
      <c r="M513" s="1267">
        <f t="shared" si="334"/>
        <v>0</v>
      </c>
      <c r="N513" s="1268">
        <f t="shared" si="353"/>
        <v>0</v>
      </c>
      <c r="O513" s="836" t="str">
        <f>IFERROR(VLOOKUP(G513,Proveedores!B:D,3,0)," ")</f>
        <v xml:space="preserve"> </v>
      </c>
      <c r="P513" s="836"/>
      <c r="Q513" s="1127" t="e">
        <f t="shared" si="335"/>
        <v>#N/A</v>
      </c>
      <c r="R513" s="1127" t="b">
        <f t="shared" si="346"/>
        <v>0</v>
      </c>
      <c r="S513" s="1127" t="e">
        <f t="shared" si="336"/>
        <v>#N/A</v>
      </c>
      <c r="T513" s="1127" t="b">
        <f t="shared" si="347"/>
        <v>0</v>
      </c>
      <c r="U513" s="1127" t="e">
        <f t="shared" si="337"/>
        <v>#N/A</v>
      </c>
      <c r="V513" s="1127" t="e">
        <f t="shared" si="348"/>
        <v>#N/A</v>
      </c>
      <c r="W513" s="1127" t="e">
        <f>IF(F513="Offiho",J513,IF(_xlfn.XLOOKUP(F513,Proveedores!A$2:A$50,Proveedores!E$2:E$50,"")="Nacional",(J513/0.5)+(V513*H513),((J513/0.3/0.5)+(V513*H513))))</f>
        <v>#N/A</v>
      </c>
      <c r="X513" s="1127" t="e">
        <f t="shared" si="338"/>
        <v>#N/A</v>
      </c>
      <c r="Y513" s="1126" t="b">
        <f t="shared" si="339"/>
        <v>0</v>
      </c>
      <c r="Z513" s="43">
        <v>0</v>
      </c>
      <c r="AA513" s="1219" t="e">
        <f t="shared" si="349"/>
        <v>#N/A</v>
      </c>
      <c r="AB513" s="1219" t="e">
        <f t="shared" si="350"/>
        <v>#N/A</v>
      </c>
      <c r="AC513" s="1219" t="e">
        <f t="shared" si="340"/>
        <v>#N/A</v>
      </c>
      <c r="AD513" s="1126" t="e">
        <f t="shared" si="351"/>
        <v>#N/A</v>
      </c>
      <c r="AE513" s="1217" t="e">
        <f t="shared" si="341"/>
        <v>#N/A</v>
      </c>
      <c r="AF513" s="1220" t="e">
        <f t="shared" si="342"/>
        <v>#N/A</v>
      </c>
      <c r="AG513" s="1176" t="e">
        <f t="shared" si="343"/>
        <v>#N/A</v>
      </c>
      <c r="AH513" s="1221" t="e">
        <f t="shared" si="352"/>
        <v>#N/A</v>
      </c>
    </row>
    <row r="514" spans="1:34" ht="15.5">
      <c r="A514" s="1216" t="b">
        <f t="shared" si="331"/>
        <v>1</v>
      </c>
      <c r="B514" s="1217" t="b">
        <f t="shared" si="344"/>
        <v>1</v>
      </c>
      <c r="C514" s="1218" t="str">
        <f t="shared" si="345"/>
        <v>Dólares</v>
      </c>
      <c r="D514" s="46"/>
      <c r="E514" s="836"/>
      <c r="F514" s="50"/>
      <c r="G514" s="50" t="str">
        <f t="shared" si="332"/>
        <v xml:space="preserve"> </v>
      </c>
      <c r="H514" s="45">
        <v>0</v>
      </c>
      <c r="I514" s="49" t="str">
        <f>IFERROR(VLOOKUP(G514,Proveedores!B:C,2,0)," ")</f>
        <v xml:space="preserve"> </v>
      </c>
      <c r="J514" s="838">
        <v>0</v>
      </c>
      <c r="K514" s="1124"/>
      <c r="L514" s="1266">
        <f t="shared" si="333"/>
        <v>0</v>
      </c>
      <c r="M514" s="1267">
        <f t="shared" si="334"/>
        <v>0</v>
      </c>
      <c r="N514" s="1268">
        <f t="shared" si="353"/>
        <v>0</v>
      </c>
      <c r="O514" s="836" t="str">
        <f>IFERROR(VLOOKUP(G514,Proveedores!B:D,3,0)," ")</f>
        <v xml:space="preserve"> </v>
      </c>
      <c r="P514" s="836"/>
      <c r="Q514" s="1127" t="e">
        <f t="shared" si="335"/>
        <v>#N/A</v>
      </c>
      <c r="R514" s="1127" t="b">
        <f t="shared" si="346"/>
        <v>0</v>
      </c>
      <c r="S514" s="1127" t="e">
        <f t="shared" si="336"/>
        <v>#N/A</v>
      </c>
      <c r="T514" s="1127" t="b">
        <f t="shared" si="347"/>
        <v>0</v>
      </c>
      <c r="U514" s="1127" t="e">
        <f t="shared" si="337"/>
        <v>#N/A</v>
      </c>
      <c r="V514" s="1127" t="e">
        <f t="shared" si="348"/>
        <v>#N/A</v>
      </c>
      <c r="W514" s="1127" t="e">
        <f>IF(F514="Offiho",J514,IF(_xlfn.XLOOKUP(F514,Proveedores!A$2:A$50,Proveedores!E$2:E$50,"")="Nacional",(J514/0.5)+(V514*H514),((J514/0.3/0.5)+(V514*H514))))</f>
        <v>#N/A</v>
      </c>
      <c r="X514" s="1127" t="e">
        <f t="shared" si="338"/>
        <v>#N/A</v>
      </c>
      <c r="Y514" s="1126" t="b">
        <f t="shared" si="339"/>
        <v>0</v>
      </c>
      <c r="Z514" s="43">
        <v>0</v>
      </c>
      <c r="AA514" s="1219" t="e">
        <f t="shared" si="349"/>
        <v>#N/A</v>
      </c>
      <c r="AB514" s="1219" t="e">
        <f t="shared" si="350"/>
        <v>#N/A</v>
      </c>
      <c r="AC514" s="1219" t="e">
        <f t="shared" si="340"/>
        <v>#N/A</v>
      </c>
      <c r="AD514" s="1126" t="e">
        <f t="shared" si="351"/>
        <v>#N/A</v>
      </c>
      <c r="AE514" s="1217" t="e">
        <f t="shared" si="341"/>
        <v>#N/A</v>
      </c>
      <c r="AF514" s="1220" t="e">
        <f t="shared" si="342"/>
        <v>#N/A</v>
      </c>
      <c r="AG514" s="1176" t="e">
        <f t="shared" si="343"/>
        <v>#N/A</v>
      </c>
      <c r="AH514" s="1221" t="e">
        <f t="shared" si="352"/>
        <v>#N/A</v>
      </c>
    </row>
    <row r="515" spans="1:34" ht="15.5">
      <c r="A515" s="1216" t="b">
        <f t="shared" si="331"/>
        <v>1</v>
      </c>
      <c r="B515" s="1217" t="b">
        <f t="shared" si="344"/>
        <v>1</v>
      </c>
      <c r="C515" s="1218" t="str">
        <f t="shared" si="345"/>
        <v>Dólares</v>
      </c>
      <c r="D515" s="46"/>
      <c r="E515" s="836"/>
      <c r="F515" s="50"/>
      <c r="G515" s="50" t="str">
        <f t="shared" si="332"/>
        <v xml:space="preserve"> </v>
      </c>
      <c r="H515" s="45">
        <v>0</v>
      </c>
      <c r="I515" s="49" t="str">
        <f>IFERROR(VLOOKUP(G515,Proveedores!B:C,2,0)," ")</f>
        <v xml:space="preserve"> </v>
      </c>
      <c r="J515" s="838">
        <v>0</v>
      </c>
      <c r="K515" s="1124"/>
      <c r="L515" s="1266">
        <f t="shared" si="333"/>
        <v>0</v>
      </c>
      <c r="M515" s="1267">
        <f t="shared" si="334"/>
        <v>0</v>
      </c>
      <c r="N515" s="1268">
        <f t="shared" si="353"/>
        <v>0</v>
      </c>
      <c r="O515" s="836" t="str">
        <f>IFERROR(VLOOKUP(G515,Proveedores!B:D,3,0)," ")</f>
        <v xml:space="preserve"> </v>
      </c>
      <c r="P515" s="836"/>
      <c r="Q515" s="1127" t="e">
        <f t="shared" si="335"/>
        <v>#N/A</v>
      </c>
      <c r="R515" s="1127" t="b">
        <f t="shared" si="346"/>
        <v>0</v>
      </c>
      <c r="S515" s="1127" t="e">
        <f t="shared" si="336"/>
        <v>#N/A</v>
      </c>
      <c r="T515" s="1127" t="b">
        <f t="shared" si="347"/>
        <v>0</v>
      </c>
      <c r="U515" s="1127" t="e">
        <f t="shared" si="337"/>
        <v>#N/A</v>
      </c>
      <c r="V515" s="1127" t="e">
        <f t="shared" si="348"/>
        <v>#N/A</v>
      </c>
      <c r="W515" s="1127" t="e">
        <f>IF(F515="Offiho",J515,IF(_xlfn.XLOOKUP(F515,Proveedores!A$2:A$50,Proveedores!E$2:E$50,"")="Nacional",(J515/0.5)+(V515*H515),((J515/0.3/0.5)+(V515*H515))))</f>
        <v>#N/A</v>
      </c>
      <c r="X515" s="1127" t="e">
        <f t="shared" si="338"/>
        <v>#N/A</v>
      </c>
      <c r="Y515" s="1126" t="b">
        <f t="shared" si="339"/>
        <v>0</v>
      </c>
      <c r="Z515" s="43">
        <v>0</v>
      </c>
      <c r="AA515" s="1219" t="e">
        <f t="shared" si="349"/>
        <v>#N/A</v>
      </c>
      <c r="AB515" s="1219" t="e">
        <f t="shared" si="350"/>
        <v>#N/A</v>
      </c>
      <c r="AC515" s="1219" t="e">
        <f t="shared" si="340"/>
        <v>#N/A</v>
      </c>
      <c r="AD515" s="1126" t="e">
        <f t="shared" si="351"/>
        <v>#N/A</v>
      </c>
      <c r="AE515" s="1217" t="e">
        <f t="shared" si="341"/>
        <v>#N/A</v>
      </c>
      <c r="AF515" s="1220" t="e">
        <f t="shared" si="342"/>
        <v>#N/A</v>
      </c>
      <c r="AG515" s="1176" t="e">
        <f t="shared" si="343"/>
        <v>#N/A</v>
      </c>
      <c r="AH515" s="1221" t="e">
        <f t="shared" si="352"/>
        <v>#N/A</v>
      </c>
    </row>
    <row r="516" spans="1:34" ht="15.5">
      <c r="A516" s="1216" t="b">
        <f t="shared" si="331"/>
        <v>1</v>
      </c>
      <c r="B516" s="1217" t="b">
        <f t="shared" si="344"/>
        <v>1</v>
      </c>
      <c r="C516" s="1218" t="str">
        <f t="shared" si="345"/>
        <v>Dólares</v>
      </c>
      <c r="D516" s="46"/>
      <c r="E516" s="836"/>
      <c r="F516" s="50"/>
      <c r="G516" s="50" t="str">
        <f t="shared" si="332"/>
        <v xml:space="preserve"> </v>
      </c>
      <c r="H516" s="45">
        <v>0</v>
      </c>
      <c r="I516" s="49" t="str">
        <f>IFERROR(VLOOKUP(G516,Proveedores!B:C,2,0)," ")</f>
        <v xml:space="preserve"> </v>
      </c>
      <c r="J516" s="838">
        <v>0</v>
      </c>
      <c r="K516" s="1124"/>
      <c r="L516" s="1266">
        <f t="shared" si="333"/>
        <v>0</v>
      </c>
      <c r="M516" s="1267">
        <f t="shared" si="334"/>
        <v>0</v>
      </c>
      <c r="N516" s="1268">
        <f t="shared" si="353"/>
        <v>0</v>
      </c>
      <c r="O516" s="836" t="str">
        <f>IFERROR(VLOOKUP(G516,Proveedores!B:D,3,0)," ")</f>
        <v xml:space="preserve"> </v>
      </c>
      <c r="P516" s="836"/>
      <c r="Q516" s="1127" t="e">
        <f t="shared" si="335"/>
        <v>#N/A</v>
      </c>
      <c r="R516" s="1127" t="b">
        <f t="shared" si="346"/>
        <v>0</v>
      </c>
      <c r="S516" s="1127" t="e">
        <f t="shared" si="336"/>
        <v>#N/A</v>
      </c>
      <c r="T516" s="1127" t="b">
        <f t="shared" si="347"/>
        <v>0</v>
      </c>
      <c r="U516" s="1127" t="e">
        <f t="shared" si="337"/>
        <v>#N/A</v>
      </c>
      <c r="V516" s="1127" t="e">
        <f t="shared" si="348"/>
        <v>#N/A</v>
      </c>
      <c r="W516" s="1127" t="e">
        <f>IF(F516="Offiho",J516,IF(_xlfn.XLOOKUP(F516,Proveedores!A$2:A$50,Proveedores!E$2:E$50,"")="Nacional",(J516/0.5)+(V516*H516),((J516/0.3/0.5)+(V516*H516))))</f>
        <v>#N/A</v>
      </c>
      <c r="X516" s="1127" t="e">
        <f t="shared" si="338"/>
        <v>#N/A</v>
      </c>
      <c r="Y516" s="1126" t="b">
        <f t="shared" si="339"/>
        <v>0</v>
      </c>
      <c r="Z516" s="43">
        <v>0</v>
      </c>
      <c r="AA516" s="1219" t="e">
        <f t="shared" si="349"/>
        <v>#N/A</v>
      </c>
      <c r="AB516" s="1219" t="e">
        <f t="shared" si="350"/>
        <v>#N/A</v>
      </c>
      <c r="AC516" s="1219" t="e">
        <f t="shared" si="340"/>
        <v>#N/A</v>
      </c>
      <c r="AD516" s="1126" t="e">
        <f t="shared" si="351"/>
        <v>#N/A</v>
      </c>
      <c r="AE516" s="1217" t="e">
        <f t="shared" si="341"/>
        <v>#N/A</v>
      </c>
      <c r="AF516" s="1220" t="e">
        <f t="shared" si="342"/>
        <v>#N/A</v>
      </c>
      <c r="AG516" s="1176" t="e">
        <f t="shared" si="343"/>
        <v>#N/A</v>
      </c>
      <c r="AH516" s="1221" t="e">
        <f t="shared" si="352"/>
        <v>#N/A</v>
      </c>
    </row>
    <row r="517" spans="1:34" ht="15.5">
      <c r="A517" s="1216" t="b">
        <f t="shared" si="331"/>
        <v>1</v>
      </c>
      <c r="B517" s="1217" t="b">
        <f t="shared" si="344"/>
        <v>1</v>
      </c>
      <c r="C517" s="1218" t="str">
        <f t="shared" si="345"/>
        <v>Dólares</v>
      </c>
      <c r="D517" s="46"/>
      <c r="E517" s="836"/>
      <c r="F517" s="50"/>
      <c r="G517" s="50" t="str">
        <f t="shared" si="332"/>
        <v xml:space="preserve"> </v>
      </c>
      <c r="H517" s="45">
        <v>0</v>
      </c>
      <c r="I517" s="49" t="str">
        <f>IFERROR(VLOOKUP(G517,Proveedores!B:C,2,0)," ")</f>
        <v xml:space="preserve"> </v>
      </c>
      <c r="J517" s="838">
        <v>0</v>
      </c>
      <c r="K517" s="1124"/>
      <c r="L517" s="1266">
        <f t="shared" si="333"/>
        <v>0</v>
      </c>
      <c r="M517" s="1267">
        <f t="shared" si="334"/>
        <v>0</v>
      </c>
      <c r="N517" s="1268">
        <f t="shared" si="353"/>
        <v>0</v>
      </c>
      <c r="O517" s="836" t="str">
        <f>IFERROR(VLOOKUP(G517,Proveedores!B:D,3,0)," ")</f>
        <v xml:space="preserve"> </v>
      </c>
      <c r="P517" s="836"/>
      <c r="Q517" s="1127" t="e">
        <f t="shared" si="335"/>
        <v>#N/A</v>
      </c>
      <c r="R517" s="1127" t="b">
        <f t="shared" si="346"/>
        <v>0</v>
      </c>
      <c r="S517" s="1127" t="e">
        <f t="shared" si="336"/>
        <v>#N/A</v>
      </c>
      <c r="T517" s="1127" t="b">
        <f t="shared" si="347"/>
        <v>0</v>
      </c>
      <c r="U517" s="1127" t="e">
        <f t="shared" si="337"/>
        <v>#N/A</v>
      </c>
      <c r="V517" s="1127" t="e">
        <f t="shared" si="348"/>
        <v>#N/A</v>
      </c>
      <c r="W517" s="1127" t="e">
        <f>IF(F517="Offiho",J517,IF(_xlfn.XLOOKUP(F517,Proveedores!A$2:A$50,Proveedores!E$2:E$50,"")="Nacional",(J517/0.5)+(V517*H517),((J517/0.3/0.5)+(V517*H517))))</f>
        <v>#N/A</v>
      </c>
      <c r="X517" s="1127" t="e">
        <f t="shared" si="338"/>
        <v>#N/A</v>
      </c>
      <c r="Y517" s="1126" t="b">
        <f t="shared" si="339"/>
        <v>0</v>
      </c>
      <c r="Z517" s="43">
        <v>0</v>
      </c>
      <c r="AA517" s="1219" t="e">
        <f t="shared" si="349"/>
        <v>#N/A</v>
      </c>
      <c r="AB517" s="1219" t="e">
        <f t="shared" si="350"/>
        <v>#N/A</v>
      </c>
      <c r="AC517" s="1219" t="e">
        <f t="shared" si="340"/>
        <v>#N/A</v>
      </c>
      <c r="AD517" s="1126" t="e">
        <f t="shared" si="351"/>
        <v>#N/A</v>
      </c>
      <c r="AE517" s="1217" t="e">
        <f t="shared" si="341"/>
        <v>#N/A</v>
      </c>
      <c r="AF517" s="1220" t="e">
        <f t="shared" si="342"/>
        <v>#N/A</v>
      </c>
      <c r="AG517" s="1176" t="e">
        <f t="shared" si="343"/>
        <v>#N/A</v>
      </c>
      <c r="AH517" s="1221" t="e">
        <f t="shared" si="352"/>
        <v>#N/A</v>
      </c>
    </row>
    <row r="518" spans="1:34" ht="15.5">
      <c r="A518" s="1216" t="b">
        <f t="shared" si="331"/>
        <v>1</v>
      </c>
      <c r="B518" s="1217" t="b">
        <f t="shared" si="344"/>
        <v>1</v>
      </c>
      <c r="C518" s="1218" t="str">
        <f t="shared" si="345"/>
        <v>Dólares</v>
      </c>
      <c r="D518" s="46"/>
      <c r="E518" s="836"/>
      <c r="F518" s="50"/>
      <c r="G518" s="50" t="str">
        <f t="shared" si="332"/>
        <v xml:space="preserve"> </v>
      </c>
      <c r="H518" s="45">
        <v>0</v>
      </c>
      <c r="I518" s="49" t="str">
        <f>IFERROR(VLOOKUP(G518,Proveedores!B:C,2,0)," ")</f>
        <v xml:space="preserve"> </v>
      </c>
      <c r="J518" s="838">
        <v>0</v>
      </c>
      <c r="K518" s="1124"/>
      <c r="L518" s="1266">
        <f t="shared" si="333"/>
        <v>0</v>
      </c>
      <c r="M518" s="1267">
        <f t="shared" si="334"/>
        <v>0</v>
      </c>
      <c r="N518" s="1268">
        <f t="shared" si="353"/>
        <v>0</v>
      </c>
      <c r="O518" s="836" t="str">
        <f>IFERROR(VLOOKUP(G518,Proveedores!B:D,3,0)," ")</f>
        <v xml:space="preserve"> </v>
      </c>
      <c r="P518" s="836"/>
      <c r="Q518" s="1127" t="e">
        <f t="shared" si="335"/>
        <v>#N/A</v>
      </c>
      <c r="R518" s="1127" t="b">
        <f t="shared" si="346"/>
        <v>0</v>
      </c>
      <c r="S518" s="1127" t="e">
        <f t="shared" si="336"/>
        <v>#N/A</v>
      </c>
      <c r="T518" s="1127" t="b">
        <f t="shared" si="347"/>
        <v>0</v>
      </c>
      <c r="U518" s="1127" t="e">
        <f t="shared" si="337"/>
        <v>#N/A</v>
      </c>
      <c r="V518" s="1127" t="e">
        <f t="shared" si="348"/>
        <v>#N/A</v>
      </c>
      <c r="W518" s="1127" t="e">
        <f>IF(F518="Offiho",J518,IF(_xlfn.XLOOKUP(F518,Proveedores!A$2:A$50,Proveedores!E$2:E$50,"")="Nacional",(J518/0.5)+(V518*H518),((J518/0.3/0.5)+(V518*H518))))</f>
        <v>#N/A</v>
      </c>
      <c r="X518" s="1127" t="e">
        <f t="shared" si="338"/>
        <v>#N/A</v>
      </c>
      <c r="Y518" s="1126" t="b">
        <f t="shared" si="339"/>
        <v>0</v>
      </c>
      <c r="Z518" s="43">
        <v>0</v>
      </c>
      <c r="AA518" s="1219" t="e">
        <f t="shared" si="349"/>
        <v>#N/A</v>
      </c>
      <c r="AB518" s="1219" t="e">
        <f t="shared" si="350"/>
        <v>#N/A</v>
      </c>
      <c r="AC518" s="1219" t="e">
        <f t="shared" si="340"/>
        <v>#N/A</v>
      </c>
      <c r="AD518" s="1126" t="e">
        <f t="shared" si="351"/>
        <v>#N/A</v>
      </c>
      <c r="AE518" s="1217" t="e">
        <f t="shared" si="341"/>
        <v>#N/A</v>
      </c>
      <c r="AF518" s="1220" t="e">
        <f t="shared" si="342"/>
        <v>#N/A</v>
      </c>
      <c r="AG518" s="1176" t="e">
        <f t="shared" si="343"/>
        <v>#N/A</v>
      </c>
      <c r="AH518" s="1221" t="e">
        <f t="shared" si="352"/>
        <v>#N/A</v>
      </c>
    </row>
    <row r="519" spans="1:34" ht="15.5">
      <c r="A519" s="1216" t="b">
        <f t="shared" si="331"/>
        <v>1</v>
      </c>
      <c r="B519" s="1217" t="b">
        <f t="shared" si="344"/>
        <v>1</v>
      </c>
      <c r="C519" s="1218" t="str">
        <f t="shared" si="345"/>
        <v>Dólares</v>
      </c>
      <c r="D519" s="46"/>
      <c r="E519" s="836"/>
      <c r="F519" s="50"/>
      <c r="G519" s="50" t="str">
        <f t="shared" si="332"/>
        <v xml:space="preserve"> </v>
      </c>
      <c r="H519" s="45">
        <v>0</v>
      </c>
      <c r="I519" s="49" t="str">
        <f>IFERROR(VLOOKUP(G519,Proveedores!B:C,2,0)," ")</f>
        <v xml:space="preserve"> </v>
      </c>
      <c r="J519" s="838">
        <v>0</v>
      </c>
      <c r="K519" s="1124"/>
      <c r="L519" s="1266">
        <f t="shared" si="333"/>
        <v>0</v>
      </c>
      <c r="M519" s="1267">
        <f t="shared" si="334"/>
        <v>0</v>
      </c>
      <c r="N519" s="1268">
        <f t="shared" si="353"/>
        <v>0</v>
      </c>
      <c r="O519" s="836" t="str">
        <f>IFERROR(VLOOKUP(G519,Proveedores!B:D,3,0)," ")</f>
        <v xml:space="preserve"> </v>
      </c>
      <c r="P519" s="836"/>
      <c r="Q519" s="1127" t="e">
        <f t="shared" si="335"/>
        <v>#N/A</v>
      </c>
      <c r="R519" s="1127" t="b">
        <f t="shared" si="346"/>
        <v>0</v>
      </c>
      <c r="S519" s="1127" t="e">
        <f t="shared" si="336"/>
        <v>#N/A</v>
      </c>
      <c r="T519" s="1127" t="b">
        <f t="shared" si="347"/>
        <v>0</v>
      </c>
      <c r="U519" s="1127" t="e">
        <f t="shared" si="337"/>
        <v>#N/A</v>
      </c>
      <c r="V519" s="1127" t="e">
        <f t="shared" si="348"/>
        <v>#N/A</v>
      </c>
      <c r="W519" s="1127" t="e">
        <f>IF(F519="Offiho",J519,IF(_xlfn.XLOOKUP(F519,Proveedores!A$2:A$50,Proveedores!E$2:E$50,"")="Nacional",(J519/0.5)+(V519*H519),((J519/0.3/0.5)+(V519*H519))))</f>
        <v>#N/A</v>
      </c>
      <c r="X519" s="1127" t="e">
        <f t="shared" si="338"/>
        <v>#N/A</v>
      </c>
      <c r="Y519" s="1126" t="b">
        <f t="shared" si="339"/>
        <v>0</v>
      </c>
      <c r="Z519" s="43">
        <v>0</v>
      </c>
      <c r="AA519" s="1219" t="e">
        <f t="shared" si="349"/>
        <v>#N/A</v>
      </c>
      <c r="AB519" s="1219" t="e">
        <f t="shared" si="350"/>
        <v>#N/A</v>
      </c>
      <c r="AC519" s="1219" t="e">
        <f t="shared" si="340"/>
        <v>#N/A</v>
      </c>
      <c r="AD519" s="1126" t="e">
        <f t="shared" si="351"/>
        <v>#N/A</v>
      </c>
      <c r="AE519" s="1217" t="e">
        <f t="shared" si="341"/>
        <v>#N/A</v>
      </c>
      <c r="AF519" s="1220" t="e">
        <f t="shared" si="342"/>
        <v>#N/A</v>
      </c>
      <c r="AG519" s="1176" t="e">
        <f t="shared" si="343"/>
        <v>#N/A</v>
      </c>
      <c r="AH519" s="1221" t="e">
        <f t="shared" si="352"/>
        <v>#N/A</v>
      </c>
    </row>
    <row r="520" spans="1:34" ht="15.5">
      <c r="A520" s="1216" t="b">
        <f t="shared" si="331"/>
        <v>1</v>
      </c>
      <c r="B520" s="1217" t="b">
        <f t="shared" si="344"/>
        <v>1</v>
      </c>
      <c r="C520" s="1218" t="str">
        <f t="shared" si="345"/>
        <v>Dólares</v>
      </c>
      <c r="D520" s="46"/>
      <c r="E520" s="836"/>
      <c r="F520" s="50"/>
      <c r="G520" s="50" t="str">
        <f t="shared" si="332"/>
        <v xml:space="preserve"> </v>
      </c>
      <c r="H520" s="45">
        <v>0</v>
      </c>
      <c r="I520" s="49" t="str">
        <f>IFERROR(VLOOKUP(G520,Proveedores!B:C,2,0)," ")</f>
        <v xml:space="preserve"> </v>
      </c>
      <c r="J520" s="838">
        <v>0</v>
      </c>
      <c r="K520" s="1124"/>
      <c r="L520" s="1266">
        <f t="shared" si="333"/>
        <v>0</v>
      </c>
      <c r="M520" s="1267">
        <f t="shared" si="334"/>
        <v>0</v>
      </c>
      <c r="N520" s="1268">
        <f t="shared" si="353"/>
        <v>0</v>
      </c>
      <c r="O520" s="836" t="str">
        <f>IFERROR(VLOOKUP(G520,Proveedores!B:D,3,0)," ")</f>
        <v xml:space="preserve"> </v>
      </c>
      <c r="P520" s="836"/>
      <c r="Q520" s="1127" t="e">
        <f t="shared" si="335"/>
        <v>#N/A</v>
      </c>
      <c r="R520" s="1127" t="b">
        <f t="shared" si="346"/>
        <v>0</v>
      </c>
      <c r="S520" s="1127" t="e">
        <f t="shared" si="336"/>
        <v>#N/A</v>
      </c>
      <c r="T520" s="1127" t="b">
        <f t="shared" si="347"/>
        <v>0</v>
      </c>
      <c r="U520" s="1127" t="e">
        <f t="shared" si="337"/>
        <v>#N/A</v>
      </c>
      <c r="V520" s="1127" t="e">
        <f t="shared" si="348"/>
        <v>#N/A</v>
      </c>
      <c r="W520" s="1127" t="e">
        <f>IF(F520="Offiho",J520,IF(_xlfn.XLOOKUP(F520,Proveedores!A$2:A$50,Proveedores!E$2:E$50,"")="Nacional",(J520/0.5)+(V520*H520),((J520/0.3/0.5)+(V520*H520))))</f>
        <v>#N/A</v>
      </c>
      <c r="X520" s="1127" t="e">
        <f t="shared" si="338"/>
        <v>#N/A</v>
      </c>
      <c r="Y520" s="1126" t="b">
        <f t="shared" si="339"/>
        <v>0</v>
      </c>
      <c r="Z520" s="43">
        <v>0</v>
      </c>
      <c r="AA520" s="1219" t="e">
        <f t="shared" si="349"/>
        <v>#N/A</v>
      </c>
      <c r="AB520" s="1219" t="e">
        <f t="shared" si="350"/>
        <v>#N/A</v>
      </c>
      <c r="AC520" s="1219" t="e">
        <f t="shared" si="340"/>
        <v>#N/A</v>
      </c>
      <c r="AD520" s="1126" t="e">
        <f t="shared" si="351"/>
        <v>#N/A</v>
      </c>
      <c r="AE520" s="1217" t="e">
        <f t="shared" si="341"/>
        <v>#N/A</v>
      </c>
      <c r="AF520" s="1220" t="e">
        <f t="shared" si="342"/>
        <v>#N/A</v>
      </c>
      <c r="AG520" s="1176" t="e">
        <f t="shared" si="343"/>
        <v>#N/A</v>
      </c>
      <c r="AH520" s="1221" t="e">
        <f t="shared" si="352"/>
        <v>#N/A</v>
      </c>
    </row>
    <row r="521" spans="1:34" ht="15.5">
      <c r="A521" s="1216" t="b">
        <f t="shared" si="331"/>
        <v>1</v>
      </c>
      <c r="B521" s="1217" t="b">
        <f t="shared" si="344"/>
        <v>1</v>
      </c>
      <c r="C521" s="1218" t="str">
        <f t="shared" si="345"/>
        <v>Dólares</v>
      </c>
      <c r="D521" s="47"/>
      <c r="E521" s="836"/>
      <c r="F521" s="50"/>
      <c r="G521" s="50" t="str">
        <f t="shared" si="332"/>
        <v xml:space="preserve"> </v>
      </c>
      <c r="H521" s="45">
        <v>0</v>
      </c>
      <c r="I521" s="49" t="str">
        <f>IFERROR(VLOOKUP(G521,Proveedores!B:C,2,0)," ")</f>
        <v xml:space="preserve"> </v>
      </c>
      <c r="J521" s="838">
        <v>0</v>
      </c>
      <c r="K521" s="1124"/>
      <c r="L521" s="1266">
        <f t="shared" si="333"/>
        <v>0</v>
      </c>
      <c r="M521" s="1267">
        <f t="shared" si="334"/>
        <v>0</v>
      </c>
      <c r="N521" s="1268">
        <f t="shared" si="353"/>
        <v>0</v>
      </c>
      <c r="O521" s="836" t="str">
        <f>IFERROR(VLOOKUP(G521,Proveedores!B:D,3,0)," ")</f>
        <v xml:space="preserve"> </v>
      </c>
      <c r="P521" s="836"/>
      <c r="Q521" s="1127" t="e">
        <f t="shared" si="335"/>
        <v>#N/A</v>
      </c>
      <c r="R521" s="1127" t="b">
        <f t="shared" si="346"/>
        <v>0</v>
      </c>
      <c r="S521" s="1127" t="e">
        <f t="shared" si="336"/>
        <v>#N/A</v>
      </c>
      <c r="T521" s="1127" t="b">
        <f t="shared" si="347"/>
        <v>0</v>
      </c>
      <c r="U521" s="1127" t="e">
        <f t="shared" si="337"/>
        <v>#N/A</v>
      </c>
      <c r="V521" s="1127" t="e">
        <f t="shared" si="348"/>
        <v>#N/A</v>
      </c>
      <c r="W521" s="1127" t="e">
        <f>IF(F521="Offiho",J521,IF(_xlfn.XLOOKUP(F521,Proveedores!A$2:A$50,Proveedores!E$2:E$50,"")="Nacional",(J521/0.5)+(V521*H521),((J521/0.3/0.5)+(V521*H521))))</f>
        <v>#N/A</v>
      </c>
      <c r="X521" s="1127" t="e">
        <f t="shared" si="338"/>
        <v>#N/A</v>
      </c>
      <c r="Y521" s="1126" t="b">
        <f t="shared" si="339"/>
        <v>0</v>
      </c>
      <c r="Z521" s="43">
        <v>0</v>
      </c>
      <c r="AA521" s="1219" t="e">
        <f t="shared" si="349"/>
        <v>#N/A</v>
      </c>
      <c r="AB521" s="1219" t="e">
        <f t="shared" si="350"/>
        <v>#N/A</v>
      </c>
      <c r="AC521" s="1219" t="e">
        <f t="shared" si="340"/>
        <v>#N/A</v>
      </c>
      <c r="AD521" s="1126" t="e">
        <f t="shared" si="351"/>
        <v>#N/A</v>
      </c>
      <c r="AE521" s="1217" t="e">
        <f t="shared" si="341"/>
        <v>#N/A</v>
      </c>
      <c r="AF521" s="1220" t="e">
        <f t="shared" si="342"/>
        <v>#N/A</v>
      </c>
      <c r="AG521" s="1176" t="e">
        <f t="shared" si="343"/>
        <v>#N/A</v>
      </c>
      <c r="AH521" s="1221" t="e">
        <f t="shared" si="352"/>
        <v>#N/A</v>
      </c>
    </row>
    <row r="522" spans="1:34" ht="15.5">
      <c r="A522" s="1216" t="b">
        <f t="shared" si="331"/>
        <v>1</v>
      </c>
      <c r="B522" s="1217" t="b">
        <f t="shared" si="344"/>
        <v>1</v>
      </c>
      <c r="C522" s="1218" t="str">
        <f t="shared" si="345"/>
        <v>Dólares</v>
      </c>
      <c r="D522" s="48"/>
      <c r="E522" s="836"/>
      <c r="F522" s="50"/>
      <c r="G522" s="50" t="str">
        <f t="shared" si="332"/>
        <v xml:space="preserve"> </v>
      </c>
      <c r="H522" s="45">
        <v>0</v>
      </c>
      <c r="I522" s="49" t="str">
        <f>IFERROR(VLOOKUP(G522,Proveedores!B:C,2,0)," ")</f>
        <v xml:space="preserve"> </v>
      </c>
      <c r="J522" s="838">
        <v>0</v>
      </c>
      <c r="K522" s="1124"/>
      <c r="L522" s="1266">
        <f t="shared" si="333"/>
        <v>0</v>
      </c>
      <c r="M522" s="1267">
        <f t="shared" si="334"/>
        <v>0</v>
      </c>
      <c r="N522" s="1268">
        <f t="shared" si="353"/>
        <v>0</v>
      </c>
      <c r="O522" s="836" t="str">
        <f>IFERROR(VLOOKUP(G522,Proveedores!B:D,3,0)," ")</f>
        <v xml:space="preserve"> </v>
      </c>
      <c r="P522" s="836"/>
      <c r="Q522" s="1127" t="e">
        <f t="shared" si="335"/>
        <v>#N/A</v>
      </c>
      <c r="R522" s="1127" t="b">
        <f t="shared" si="346"/>
        <v>0</v>
      </c>
      <c r="S522" s="1127" t="e">
        <f t="shared" si="336"/>
        <v>#N/A</v>
      </c>
      <c r="T522" s="1127" t="b">
        <f t="shared" si="347"/>
        <v>0</v>
      </c>
      <c r="U522" s="1127" t="e">
        <f t="shared" si="337"/>
        <v>#N/A</v>
      </c>
      <c r="V522" s="1127" t="e">
        <f t="shared" si="348"/>
        <v>#N/A</v>
      </c>
      <c r="W522" s="1127" t="e">
        <f>IF(F522="Offiho",J522,IF(_xlfn.XLOOKUP(F522,Proveedores!A$2:A$50,Proveedores!E$2:E$50,"")="Nacional",(J522/0.5)+(V522*H522),((J522/0.3/0.5)+(V522*H522))))</f>
        <v>#N/A</v>
      </c>
      <c r="X522" s="1127" t="e">
        <f t="shared" si="338"/>
        <v>#N/A</v>
      </c>
      <c r="Y522" s="1126" t="b">
        <f t="shared" si="339"/>
        <v>0</v>
      </c>
      <c r="Z522" s="43">
        <v>0</v>
      </c>
      <c r="AA522" s="1219" t="e">
        <f t="shared" si="349"/>
        <v>#N/A</v>
      </c>
      <c r="AB522" s="1219" t="e">
        <f t="shared" si="350"/>
        <v>#N/A</v>
      </c>
      <c r="AC522" s="1219" t="e">
        <f t="shared" si="340"/>
        <v>#N/A</v>
      </c>
      <c r="AD522" s="1126" t="e">
        <f t="shared" si="351"/>
        <v>#N/A</v>
      </c>
      <c r="AE522" s="1217" t="e">
        <f t="shared" si="341"/>
        <v>#N/A</v>
      </c>
      <c r="AF522" s="1220" t="e">
        <f t="shared" si="342"/>
        <v>#N/A</v>
      </c>
      <c r="AG522" s="1176" t="e">
        <f t="shared" si="343"/>
        <v>#N/A</v>
      </c>
      <c r="AH522" s="1221" t="e">
        <f t="shared" si="352"/>
        <v>#N/A</v>
      </c>
    </row>
    <row r="523" spans="1:34" ht="15.5">
      <c r="A523" s="1216" t="b">
        <f t="shared" si="331"/>
        <v>1</v>
      </c>
      <c r="B523" s="1217" t="b">
        <f t="shared" si="344"/>
        <v>1</v>
      </c>
      <c r="C523" s="1218" t="str">
        <f t="shared" si="345"/>
        <v>Dólares</v>
      </c>
      <c r="D523" s="48"/>
      <c r="E523" s="836"/>
      <c r="F523" s="50"/>
      <c r="G523" s="50" t="str">
        <f t="shared" si="332"/>
        <v xml:space="preserve"> </v>
      </c>
      <c r="H523" s="45">
        <v>0</v>
      </c>
      <c r="I523" s="49" t="str">
        <f>IFERROR(VLOOKUP(G523,Proveedores!B:C,2,0)," ")</f>
        <v xml:space="preserve"> </v>
      </c>
      <c r="J523" s="838">
        <v>0</v>
      </c>
      <c r="K523" s="1124"/>
      <c r="L523" s="1266">
        <f t="shared" si="333"/>
        <v>0</v>
      </c>
      <c r="M523" s="1267">
        <f t="shared" si="334"/>
        <v>0</v>
      </c>
      <c r="N523" s="1268">
        <f t="shared" si="353"/>
        <v>0</v>
      </c>
      <c r="O523" s="836" t="str">
        <f>IFERROR(VLOOKUP(G523,Proveedores!B:D,3,0)," ")</f>
        <v xml:space="preserve"> </v>
      </c>
      <c r="P523" s="836"/>
      <c r="Q523" s="1127" t="e">
        <f t="shared" si="335"/>
        <v>#N/A</v>
      </c>
      <c r="R523" s="1127" t="b">
        <f t="shared" si="346"/>
        <v>0</v>
      </c>
      <c r="S523" s="1127" t="e">
        <f t="shared" si="336"/>
        <v>#N/A</v>
      </c>
      <c r="T523" s="1127" t="b">
        <f t="shared" si="347"/>
        <v>0</v>
      </c>
      <c r="U523" s="1127" t="e">
        <f t="shared" si="337"/>
        <v>#N/A</v>
      </c>
      <c r="V523" s="1127" t="e">
        <f t="shared" si="348"/>
        <v>#N/A</v>
      </c>
      <c r="W523" s="1127" t="e">
        <f>IF(F523="Offiho",J523,IF(_xlfn.XLOOKUP(F523,Proveedores!A$2:A$50,Proveedores!E$2:E$50,"")="Nacional",(J523/0.5)+(V523*H523),((J523/0.3/0.5)+(V523*H523))))</f>
        <v>#N/A</v>
      </c>
      <c r="X523" s="1127" t="e">
        <f t="shared" si="338"/>
        <v>#N/A</v>
      </c>
      <c r="Y523" s="1126" t="b">
        <f t="shared" si="339"/>
        <v>0</v>
      </c>
      <c r="Z523" s="43">
        <v>0</v>
      </c>
      <c r="AA523" s="1219" t="e">
        <f t="shared" si="349"/>
        <v>#N/A</v>
      </c>
      <c r="AB523" s="1219" t="e">
        <f t="shared" si="350"/>
        <v>#N/A</v>
      </c>
      <c r="AC523" s="1219" t="e">
        <f t="shared" si="340"/>
        <v>#N/A</v>
      </c>
      <c r="AD523" s="1126" t="e">
        <f t="shared" si="351"/>
        <v>#N/A</v>
      </c>
      <c r="AE523" s="1217" t="e">
        <f t="shared" si="341"/>
        <v>#N/A</v>
      </c>
      <c r="AF523" s="1220" t="e">
        <f t="shared" si="342"/>
        <v>#N/A</v>
      </c>
      <c r="AG523" s="1176" t="e">
        <f t="shared" si="343"/>
        <v>#N/A</v>
      </c>
      <c r="AH523" s="1221" t="e">
        <f t="shared" si="352"/>
        <v>#N/A</v>
      </c>
    </row>
    <row r="524" spans="1:34" ht="15.5">
      <c r="A524" s="1216" t="b">
        <f t="shared" si="331"/>
        <v>1</v>
      </c>
      <c r="B524" s="1217" t="b">
        <f t="shared" si="344"/>
        <v>1</v>
      </c>
      <c r="C524" s="1218" t="str">
        <f t="shared" si="345"/>
        <v>Dólares</v>
      </c>
      <c r="D524" s="48"/>
      <c r="E524" s="836"/>
      <c r="F524" s="50"/>
      <c r="G524" s="50" t="str">
        <f t="shared" si="332"/>
        <v xml:space="preserve"> </v>
      </c>
      <c r="H524" s="45">
        <v>0</v>
      </c>
      <c r="I524" s="49" t="str">
        <f>IFERROR(VLOOKUP(G524,Proveedores!B:C,2,0)," ")</f>
        <v xml:space="preserve"> </v>
      </c>
      <c r="J524" s="838">
        <v>0</v>
      </c>
      <c r="K524" s="1124"/>
      <c r="L524" s="1266">
        <f t="shared" si="333"/>
        <v>0</v>
      </c>
      <c r="M524" s="1267">
        <f t="shared" si="334"/>
        <v>0</v>
      </c>
      <c r="N524" s="1268">
        <f t="shared" si="353"/>
        <v>0</v>
      </c>
      <c r="O524" s="836" t="str">
        <f>IFERROR(VLOOKUP(G524,Proveedores!B:D,3,0)," ")</f>
        <v xml:space="preserve"> </v>
      </c>
      <c r="P524" s="836"/>
      <c r="Q524" s="1127" t="e">
        <f t="shared" si="335"/>
        <v>#N/A</v>
      </c>
      <c r="R524" s="1127" t="b">
        <f t="shared" si="346"/>
        <v>0</v>
      </c>
      <c r="S524" s="1127" t="e">
        <f t="shared" si="336"/>
        <v>#N/A</v>
      </c>
      <c r="T524" s="1127" t="b">
        <f t="shared" si="347"/>
        <v>0</v>
      </c>
      <c r="U524" s="1127" t="e">
        <f t="shared" si="337"/>
        <v>#N/A</v>
      </c>
      <c r="V524" s="1127" t="e">
        <f t="shared" si="348"/>
        <v>#N/A</v>
      </c>
      <c r="W524" s="1127" t="e">
        <f>IF(F524="Offiho",J524,IF(_xlfn.XLOOKUP(F524,Proveedores!A$2:A$50,Proveedores!E$2:E$50,"")="Nacional",(J524/0.5)+(V524*H524),((J524/0.3/0.5)+(V524*H524))))</f>
        <v>#N/A</v>
      </c>
      <c r="X524" s="1127" t="e">
        <f t="shared" si="338"/>
        <v>#N/A</v>
      </c>
      <c r="Y524" s="1126" t="b">
        <f t="shared" si="339"/>
        <v>0</v>
      </c>
      <c r="Z524" s="43">
        <v>0</v>
      </c>
      <c r="AA524" s="1219" t="e">
        <f t="shared" si="349"/>
        <v>#N/A</v>
      </c>
      <c r="AB524" s="1219" t="e">
        <f t="shared" si="350"/>
        <v>#N/A</v>
      </c>
      <c r="AC524" s="1219" t="e">
        <f t="shared" si="340"/>
        <v>#N/A</v>
      </c>
      <c r="AD524" s="1126" t="e">
        <f t="shared" si="351"/>
        <v>#N/A</v>
      </c>
      <c r="AE524" s="1217" t="e">
        <f t="shared" si="341"/>
        <v>#N/A</v>
      </c>
      <c r="AF524" s="1220" t="e">
        <f t="shared" si="342"/>
        <v>#N/A</v>
      </c>
      <c r="AG524" s="1176" t="e">
        <f t="shared" si="343"/>
        <v>#N/A</v>
      </c>
      <c r="AH524" s="1221" t="e">
        <f t="shared" si="352"/>
        <v>#N/A</v>
      </c>
    </row>
    <row r="525" spans="1:34" ht="15.5">
      <c r="A525" s="1216" t="b">
        <f t="shared" si="331"/>
        <v>1</v>
      </c>
      <c r="B525" s="1217" t="b">
        <f t="shared" si="344"/>
        <v>1</v>
      </c>
      <c r="C525" s="1218" t="str">
        <f t="shared" si="345"/>
        <v>Dólares</v>
      </c>
      <c r="D525" s="48"/>
      <c r="E525" s="836"/>
      <c r="F525" s="50"/>
      <c r="G525" s="50" t="str">
        <f t="shared" si="332"/>
        <v xml:space="preserve"> </v>
      </c>
      <c r="H525" s="45">
        <v>0</v>
      </c>
      <c r="I525" s="49" t="str">
        <f>IFERROR(VLOOKUP(G525,Proveedores!B:C,2,0)," ")</f>
        <v xml:space="preserve"> </v>
      </c>
      <c r="J525" s="838">
        <v>0</v>
      </c>
      <c r="K525" s="1124"/>
      <c r="L525" s="1266">
        <f t="shared" si="333"/>
        <v>0</v>
      </c>
      <c r="M525" s="1267">
        <f t="shared" si="334"/>
        <v>0</v>
      </c>
      <c r="N525" s="1268">
        <f t="shared" si="353"/>
        <v>0</v>
      </c>
      <c r="O525" s="836" t="str">
        <f>IFERROR(VLOOKUP(G525,Proveedores!B:D,3,0)," ")</f>
        <v xml:space="preserve"> </v>
      </c>
      <c r="P525" s="836"/>
      <c r="Q525" s="1127" t="e">
        <f t="shared" si="335"/>
        <v>#N/A</v>
      </c>
      <c r="R525" s="1127" t="b">
        <f t="shared" si="346"/>
        <v>0</v>
      </c>
      <c r="S525" s="1127" t="e">
        <f t="shared" si="336"/>
        <v>#N/A</v>
      </c>
      <c r="T525" s="1127" t="b">
        <f t="shared" si="347"/>
        <v>0</v>
      </c>
      <c r="U525" s="1127" t="e">
        <f t="shared" si="337"/>
        <v>#N/A</v>
      </c>
      <c r="V525" s="1127" t="e">
        <f t="shared" si="348"/>
        <v>#N/A</v>
      </c>
      <c r="W525" s="1127" t="e">
        <f>IF(F525="Offiho",J525,IF(_xlfn.XLOOKUP(F525,Proveedores!A$2:A$50,Proveedores!E$2:E$50,"")="Nacional",(J525/0.5)+(V525*H525),((J525/0.3/0.5)+(V525*H525))))</f>
        <v>#N/A</v>
      </c>
      <c r="X525" s="1127" t="e">
        <f t="shared" si="338"/>
        <v>#N/A</v>
      </c>
      <c r="Y525" s="1126" t="b">
        <f t="shared" si="339"/>
        <v>0</v>
      </c>
      <c r="Z525" s="43">
        <v>0</v>
      </c>
      <c r="AA525" s="1219" t="e">
        <f t="shared" si="349"/>
        <v>#N/A</v>
      </c>
      <c r="AB525" s="1219" t="e">
        <f t="shared" si="350"/>
        <v>#N/A</v>
      </c>
      <c r="AC525" s="1219" t="e">
        <f t="shared" si="340"/>
        <v>#N/A</v>
      </c>
      <c r="AD525" s="1126" t="e">
        <f t="shared" si="351"/>
        <v>#N/A</v>
      </c>
      <c r="AE525" s="1217" t="e">
        <f t="shared" si="341"/>
        <v>#N/A</v>
      </c>
      <c r="AF525" s="1220" t="e">
        <f t="shared" si="342"/>
        <v>#N/A</v>
      </c>
      <c r="AG525" s="1176" t="e">
        <f t="shared" si="343"/>
        <v>#N/A</v>
      </c>
      <c r="AH525" s="1221" t="e">
        <f t="shared" si="352"/>
        <v>#N/A</v>
      </c>
    </row>
    <row r="526" spans="1:34" ht="15.5">
      <c r="A526" s="1216" t="b">
        <f t="shared" si="331"/>
        <v>1</v>
      </c>
      <c r="B526" s="1217" t="b">
        <f t="shared" si="344"/>
        <v>1</v>
      </c>
      <c r="C526" s="1218" t="str">
        <f t="shared" si="345"/>
        <v>Dólares</v>
      </c>
      <c r="D526" s="47"/>
      <c r="E526" s="836"/>
      <c r="F526" s="50"/>
      <c r="G526" s="50" t="str">
        <f t="shared" si="332"/>
        <v xml:space="preserve"> </v>
      </c>
      <c r="H526" s="45">
        <v>0</v>
      </c>
      <c r="I526" s="49" t="str">
        <f>IFERROR(VLOOKUP(G526,Proveedores!B:C,2,0)," ")</f>
        <v xml:space="preserve"> </v>
      </c>
      <c r="J526" s="838">
        <v>0</v>
      </c>
      <c r="K526" s="1124"/>
      <c r="L526" s="1266">
        <f t="shared" si="333"/>
        <v>0</v>
      </c>
      <c r="M526" s="1267">
        <f t="shared" si="334"/>
        <v>0</v>
      </c>
      <c r="N526" s="1268">
        <f t="shared" si="353"/>
        <v>0</v>
      </c>
      <c r="O526" s="836" t="str">
        <f>IFERROR(VLOOKUP(G526,Proveedores!B:D,3,0)," ")</f>
        <v xml:space="preserve"> </v>
      </c>
      <c r="P526" s="836"/>
      <c r="Q526" s="1127" t="e">
        <f t="shared" si="335"/>
        <v>#N/A</v>
      </c>
      <c r="R526" s="1127" t="b">
        <f t="shared" si="346"/>
        <v>0</v>
      </c>
      <c r="S526" s="1127" t="e">
        <f t="shared" si="336"/>
        <v>#N/A</v>
      </c>
      <c r="T526" s="1127" t="b">
        <f t="shared" si="347"/>
        <v>0</v>
      </c>
      <c r="U526" s="1127" t="e">
        <f t="shared" si="337"/>
        <v>#N/A</v>
      </c>
      <c r="V526" s="1127" t="e">
        <f t="shared" si="348"/>
        <v>#N/A</v>
      </c>
      <c r="W526" s="1127" t="e">
        <f>IF(F526="Offiho",J526,IF(_xlfn.XLOOKUP(F526,Proveedores!A$2:A$50,Proveedores!E$2:E$50,"")="Nacional",(J526/0.5)+(V526*H526),((J526/0.3/0.5)+(V526*H526))))</f>
        <v>#N/A</v>
      </c>
      <c r="X526" s="1127" t="e">
        <f t="shared" si="338"/>
        <v>#N/A</v>
      </c>
      <c r="Y526" s="1126" t="b">
        <f t="shared" si="339"/>
        <v>0</v>
      </c>
      <c r="Z526" s="43">
        <v>0</v>
      </c>
      <c r="AA526" s="1219" t="e">
        <f t="shared" si="349"/>
        <v>#N/A</v>
      </c>
      <c r="AB526" s="1219" t="e">
        <f t="shared" si="350"/>
        <v>#N/A</v>
      </c>
      <c r="AC526" s="1219" t="e">
        <f t="shared" si="340"/>
        <v>#N/A</v>
      </c>
      <c r="AD526" s="1126" t="e">
        <f t="shared" si="351"/>
        <v>#N/A</v>
      </c>
      <c r="AE526" s="1217" t="e">
        <f t="shared" si="341"/>
        <v>#N/A</v>
      </c>
      <c r="AF526" s="1220" t="e">
        <f t="shared" si="342"/>
        <v>#N/A</v>
      </c>
      <c r="AG526" s="1176" t="e">
        <f t="shared" si="343"/>
        <v>#N/A</v>
      </c>
      <c r="AH526" s="1221" t="e">
        <f t="shared" si="352"/>
        <v>#N/A</v>
      </c>
    </row>
    <row r="527" spans="1:34" ht="15.5">
      <c r="A527" s="1216" t="b">
        <f t="shared" si="331"/>
        <v>1</v>
      </c>
      <c r="B527" s="1217" t="b">
        <f t="shared" si="344"/>
        <v>1</v>
      </c>
      <c r="C527" s="1218" t="str">
        <f t="shared" si="345"/>
        <v>Dólares</v>
      </c>
      <c r="D527" s="47"/>
      <c r="E527" s="836"/>
      <c r="F527" s="50"/>
      <c r="G527" s="50" t="str">
        <f t="shared" si="332"/>
        <v xml:space="preserve"> </v>
      </c>
      <c r="H527" s="45">
        <v>0</v>
      </c>
      <c r="I527" s="49" t="str">
        <f>IFERROR(VLOOKUP(G527,Proveedores!B:C,2,0)," ")</f>
        <v xml:space="preserve"> </v>
      </c>
      <c r="J527" s="838">
        <v>0</v>
      </c>
      <c r="K527" s="1124"/>
      <c r="L527" s="1266">
        <f t="shared" si="333"/>
        <v>0</v>
      </c>
      <c r="M527" s="1267">
        <f t="shared" si="334"/>
        <v>0</v>
      </c>
      <c r="N527" s="1268">
        <f t="shared" si="353"/>
        <v>0</v>
      </c>
      <c r="O527" s="836" t="str">
        <f>IFERROR(VLOOKUP(G527,Proveedores!B:D,3,0)," ")</f>
        <v xml:space="preserve"> </v>
      </c>
      <c r="P527" s="836"/>
      <c r="Q527" s="1127" t="e">
        <f t="shared" si="335"/>
        <v>#N/A</v>
      </c>
      <c r="R527" s="1127" t="b">
        <f t="shared" si="346"/>
        <v>0</v>
      </c>
      <c r="S527" s="1127" t="e">
        <f t="shared" si="336"/>
        <v>#N/A</v>
      </c>
      <c r="T527" s="1127" t="b">
        <f t="shared" si="347"/>
        <v>0</v>
      </c>
      <c r="U527" s="1127" t="e">
        <f t="shared" si="337"/>
        <v>#N/A</v>
      </c>
      <c r="V527" s="1127" t="e">
        <f t="shared" si="348"/>
        <v>#N/A</v>
      </c>
      <c r="W527" s="1127" t="e">
        <f>IF(F527="Offiho",J527,IF(_xlfn.XLOOKUP(F527,Proveedores!A$2:A$50,Proveedores!E$2:E$50,"")="Nacional",(J527/0.5)+(V527*H527),((J527/0.3/0.5)+(V527*H527))))</f>
        <v>#N/A</v>
      </c>
      <c r="X527" s="1127" t="e">
        <f t="shared" si="338"/>
        <v>#N/A</v>
      </c>
      <c r="Y527" s="1126" t="b">
        <f t="shared" si="339"/>
        <v>0</v>
      </c>
      <c r="Z527" s="43">
        <v>0</v>
      </c>
      <c r="AA527" s="1219" t="e">
        <f t="shared" si="349"/>
        <v>#N/A</v>
      </c>
      <c r="AB527" s="1219" t="e">
        <f t="shared" si="350"/>
        <v>#N/A</v>
      </c>
      <c r="AC527" s="1219" t="e">
        <f t="shared" si="340"/>
        <v>#N/A</v>
      </c>
      <c r="AD527" s="1126" t="e">
        <f t="shared" si="351"/>
        <v>#N/A</v>
      </c>
      <c r="AE527" s="1217" t="e">
        <f t="shared" si="341"/>
        <v>#N/A</v>
      </c>
      <c r="AF527" s="1220" t="e">
        <f t="shared" si="342"/>
        <v>#N/A</v>
      </c>
      <c r="AG527" s="1176" t="e">
        <f t="shared" si="343"/>
        <v>#N/A</v>
      </c>
      <c r="AH527" s="1221" t="e">
        <f t="shared" si="352"/>
        <v>#N/A</v>
      </c>
    </row>
    <row r="528" spans="1:34" ht="15.5">
      <c r="A528" s="1216" t="b">
        <f t="shared" si="331"/>
        <v>1</v>
      </c>
      <c r="B528" s="1217" t="b">
        <f t="shared" si="344"/>
        <v>1</v>
      </c>
      <c r="C528" s="1218" t="str">
        <f t="shared" si="345"/>
        <v>Dólares</v>
      </c>
      <c r="D528" s="47"/>
      <c r="E528" s="836"/>
      <c r="F528" s="50"/>
      <c r="G528" s="50" t="str">
        <f t="shared" si="332"/>
        <v xml:space="preserve"> </v>
      </c>
      <c r="H528" s="45">
        <v>0</v>
      </c>
      <c r="I528" s="49" t="str">
        <f>IFERROR(VLOOKUP(G528,Proveedores!B:C,2,0)," ")</f>
        <v xml:space="preserve"> </v>
      </c>
      <c r="J528" s="838">
        <v>0</v>
      </c>
      <c r="K528" s="1124"/>
      <c r="L528" s="1266">
        <f t="shared" si="333"/>
        <v>0</v>
      </c>
      <c r="M528" s="1267">
        <f t="shared" si="334"/>
        <v>0</v>
      </c>
      <c r="N528" s="1268">
        <f t="shared" si="353"/>
        <v>0</v>
      </c>
      <c r="O528" s="836" t="str">
        <f>IFERROR(VLOOKUP(G528,Proveedores!B:D,3,0)," ")</f>
        <v xml:space="preserve"> </v>
      </c>
      <c r="P528" s="836"/>
      <c r="Q528" s="1127" t="e">
        <f t="shared" si="335"/>
        <v>#N/A</v>
      </c>
      <c r="R528" s="1127" t="b">
        <f t="shared" si="346"/>
        <v>0</v>
      </c>
      <c r="S528" s="1127" t="e">
        <f t="shared" si="336"/>
        <v>#N/A</v>
      </c>
      <c r="T528" s="1127" t="b">
        <f t="shared" si="347"/>
        <v>0</v>
      </c>
      <c r="U528" s="1127" t="e">
        <f t="shared" si="337"/>
        <v>#N/A</v>
      </c>
      <c r="V528" s="1127" t="e">
        <f t="shared" si="348"/>
        <v>#N/A</v>
      </c>
      <c r="W528" s="1127" t="e">
        <f>IF(F528="Offiho",J528,IF(_xlfn.XLOOKUP(F528,Proveedores!A$2:A$50,Proveedores!E$2:E$50,"")="Nacional",(J528/0.5)+(V528*H528),((J528/0.3/0.5)+(V528*H528))))</f>
        <v>#N/A</v>
      </c>
      <c r="X528" s="1127" t="e">
        <f t="shared" si="338"/>
        <v>#N/A</v>
      </c>
      <c r="Y528" s="1126" t="b">
        <f t="shared" si="339"/>
        <v>0</v>
      </c>
      <c r="Z528" s="43">
        <v>0</v>
      </c>
      <c r="AA528" s="1219" t="e">
        <f t="shared" si="349"/>
        <v>#N/A</v>
      </c>
      <c r="AB528" s="1219" t="e">
        <f t="shared" si="350"/>
        <v>#N/A</v>
      </c>
      <c r="AC528" s="1219" t="e">
        <f t="shared" si="340"/>
        <v>#N/A</v>
      </c>
      <c r="AD528" s="1126" t="e">
        <f t="shared" si="351"/>
        <v>#N/A</v>
      </c>
      <c r="AE528" s="1217" t="e">
        <f t="shared" si="341"/>
        <v>#N/A</v>
      </c>
      <c r="AF528" s="1220" t="e">
        <f t="shared" si="342"/>
        <v>#N/A</v>
      </c>
      <c r="AG528" s="1176" t="e">
        <f t="shared" si="343"/>
        <v>#N/A</v>
      </c>
      <c r="AH528" s="1221" t="e">
        <f t="shared" si="352"/>
        <v>#N/A</v>
      </c>
    </row>
    <row r="529" spans="1:34" ht="15.5">
      <c r="A529" s="1216" t="b">
        <f t="shared" si="331"/>
        <v>1</v>
      </c>
      <c r="B529" s="1217" t="b">
        <f t="shared" si="344"/>
        <v>1</v>
      </c>
      <c r="C529" s="1218" t="str">
        <f t="shared" si="345"/>
        <v>Dólares</v>
      </c>
      <c r="D529" s="48"/>
      <c r="E529" s="836"/>
      <c r="F529" s="50"/>
      <c r="G529" s="50" t="str">
        <f t="shared" si="332"/>
        <v xml:space="preserve"> </v>
      </c>
      <c r="H529" s="45">
        <v>0</v>
      </c>
      <c r="I529" s="49" t="str">
        <f>IFERROR(VLOOKUP(G529,Proveedores!B:C,2,0)," ")</f>
        <v xml:space="preserve"> </v>
      </c>
      <c r="J529" s="838">
        <v>0</v>
      </c>
      <c r="K529" s="1124"/>
      <c r="L529" s="1266">
        <f t="shared" si="333"/>
        <v>0</v>
      </c>
      <c r="M529" s="1267">
        <f t="shared" si="334"/>
        <v>0</v>
      </c>
      <c r="N529" s="1268">
        <f t="shared" si="353"/>
        <v>0</v>
      </c>
      <c r="O529" s="836" t="str">
        <f>IFERROR(VLOOKUP(G529,Proveedores!B:D,3,0)," ")</f>
        <v xml:space="preserve"> </v>
      </c>
      <c r="P529" s="836"/>
      <c r="Q529" s="1127" t="e">
        <f t="shared" si="335"/>
        <v>#N/A</v>
      </c>
      <c r="R529" s="1127" t="b">
        <f t="shared" si="346"/>
        <v>0</v>
      </c>
      <c r="S529" s="1127" t="e">
        <f t="shared" si="336"/>
        <v>#N/A</v>
      </c>
      <c r="T529" s="1127" t="b">
        <f t="shared" si="347"/>
        <v>0</v>
      </c>
      <c r="U529" s="1127" t="e">
        <f t="shared" si="337"/>
        <v>#N/A</v>
      </c>
      <c r="V529" s="1127" t="e">
        <f t="shared" si="348"/>
        <v>#N/A</v>
      </c>
      <c r="W529" s="1127" t="e">
        <f>IF(F529="Offiho",J529,IF(_xlfn.XLOOKUP(F529,Proveedores!A$2:A$50,Proveedores!E$2:E$50,"")="Nacional",(J529/0.5)+(V529*H529),((J529/0.3/0.5)+(V529*H529))))</f>
        <v>#N/A</v>
      </c>
      <c r="X529" s="1127" t="e">
        <f t="shared" si="338"/>
        <v>#N/A</v>
      </c>
      <c r="Y529" s="1126" t="b">
        <f t="shared" si="339"/>
        <v>0</v>
      </c>
      <c r="Z529" s="43">
        <v>0</v>
      </c>
      <c r="AA529" s="1219" t="e">
        <f t="shared" si="349"/>
        <v>#N/A</v>
      </c>
      <c r="AB529" s="1219" t="e">
        <f t="shared" si="350"/>
        <v>#N/A</v>
      </c>
      <c r="AC529" s="1219" t="e">
        <f t="shared" si="340"/>
        <v>#N/A</v>
      </c>
      <c r="AD529" s="1126" t="e">
        <f t="shared" si="351"/>
        <v>#N/A</v>
      </c>
      <c r="AE529" s="1217" t="e">
        <f t="shared" si="341"/>
        <v>#N/A</v>
      </c>
      <c r="AF529" s="1220" t="e">
        <f t="shared" si="342"/>
        <v>#N/A</v>
      </c>
      <c r="AG529" s="1176" t="e">
        <f t="shared" si="343"/>
        <v>#N/A</v>
      </c>
      <c r="AH529" s="1221" t="e">
        <f t="shared" si="352"/>
        <v>#N/A</v>
      </c>
    </row>
    <row r="530" spans="1:34" ht="15.5">
      <c r="A530" s="1216" t="b">
        <f t="shared" si="331"/>
        <v>1</v>
      </c>
      <c r="B530" s="1217" t="b">
        <f t="shared" si="344"/>
        <v>1</v>
      </c>
      <c r="C530" s="1218" t="str">
        <f t="shared" si="345"/>
        <v>Dólares</v>
      </c>
      <c r="D530" s="48"/>
      <c r="E530" s="836"/>
      <c r="F530" s="50"/>
      <c r="G530" s="50" t="str">
        <f t="shared" si="332"/>
        <v xml:space="preserve"> </v>
      </c>
      <c r="H530" s="45">
        <v>0</v>
      </c>
      <c r="I530" s="49" t="str">
        <f>IFERROR(VLOOKUP(G530,Proveedores!B:C,2,0)," ")</f>
        <v xml:space="preserve"> </v>
      </c>
      <c r="J530" s="838">
        <v>0</v>
      </c>
      <c r="K530" s="1124"/>
      <c r="L530" s="1266">
        <f t="shared" si="333"/>
        <v>0</v>
      </c>
      <c r="M530" s="1267">
        <f t="shared" si="334"/>
        <v>0</v>
      </c>
      <c r="N530" s="1268">
        <f t="shared" si="353"/>
        <v>0</v>
      </c>
      <c r="O530" s="836" t="str">
        <f>IFERROR(VLOOKUP(G530,Proveedores!B:D,3,0)," ")</f>
        <v xml:space="preserve"> </v>
      </c>
      <c r="P530" s="836"/>
      <c r="Q530" s="1127" t="e">
        <f t="shared" si="335"/>
        <v>#N/A</v>
      </c>
      <c r="R530" s="1127" t="b">
        <f t="shared" si="346"/>
        <v>0</v>
      </c>
      <c r="S530" s="1127" t="e">
        <f t="shared" si="336"/>
        <v>#N/A</v>
      </c>
      <c r="T530" s="1127" t="b">
        <f t="shared" si="347"/>
        <v>0</v>
      </c>
      <c r="U530" s="1127" t="e">
        <f t="shared" si="337"/>
        <v>#N/A</v>
      </c>
      <c r="V530" s="1127" t="e">
        <f t="shared" si="348"/>
        <v>#N/A</v>
      </c>
      <c r="W530" s="1127" t="e">
        <f>IF(F530="Offiho",J530,IF(_xlfn.XLOOKUP(F530,Proveedores!A$2:A$50,Proveedores!E$2:E$50,"")="Nacional",(J530/0.5)+(V530*H530),((J530/0.3/0.5)+(V530*H530))))</f>
        <v>#N/A</v>
      </c>
      <c r="X530" s="1127" t="e">
        <f t="shared" si="338"/>
        <v>#N/A</v>
      </c>
      <c r="Y530" s="1126" t="b">
        <f t="shared" si="339"/>
        <v>0</v>
      </c>
      <c r="Z530" s="43">
        <v>0</v>
      </c>
      <c r="AA530" s="1219" t="e">
        <f t="shared" si="349"/>
        <v>#N/A</v>
      </c>
      <c r="AB530" s="1219" t="e">
        <f t="shared" si="350"/>
        <v>#N/A</v>
      </c>
      <c r="AC530" s="1219" t="e">
        <f t="shared" si="340"/>
        <v>#N/A</v>
      </c>
      <c r="AD530" s="1126" t="e">
        <f t="shared" si="351"/>
        <v>#N/A</v>
      </c>
      <c r="AE530" s="1217" t="e">
        <f t="shared" si="341"/>
        <v>#N/A</v>
      </c>
      <c r="AF530" s="1220" t="e">
        <f t="shared" si="342"/>
        <v>#N/A</v>
      </c>
      <c r="AG530" s="1176" t="e">
        <f t="shared" si="343"/>
        <v>#N/A</v>
      </c>
      <c r="AH530" s="1221" t="e">
        <f t="shared" si="352"/>
        <v>#N/A</v>
      </c>
    </row>
    <row r="531" spans="1:34" ht="15.5">
      <c r="A531" s="1216" t="b">
        <f t="shared" si="331"/>
        <v>1</v>
      </c>
      <c r="B531" s="1217" t="b">
        <f t="shared" si="344"/>
        <v>1</v>
      </c>
      <c r="C531" s="1218" t="str">
        <f t="shared" si="345"/>
        <v>Dólares</v>
      </c>
      <c r="D531" s="47"/>
      <c r="E531" s="836"/>
      <c r="F531" s="50"/>
      <c r="G531" s="50" t="str">
        <f t="shared" si="332"/>
        <v xml:space="preserve"> </v>
      </c>
      <c r="H531" s="45">
        <v>0</v>
      </c>
      <c r="I531" s="49" t="str">
        <f>IFERROR(VLOOKUP(G531,Proveedores!B:C,2,0)," ")</f>
        <v xml:space="preserve"> </v>
      </c>
      <c r="J531" s="838">
        <v>0</v>
      </c>
      <c r="K531" s="1124"/>
      <c r="L531" s="1266">
        <f t="shared" si="333"/>
        <v>0</v>
      </c>
      <c r="M531" s="1267">
        <f t="shared" si="334"/>
        <v>0</v>
      </c>
      <c r="N531" s="1268">
        <f t="shared" si="353"/>
        <v>0</v>
      </c>
      <c r="O531" s="836" t="str">
        <f>IFERROR(VLOOKUP(G531,Proveedores!B:D,3,0)," ")</f>
        <v xml:space="preserve"> </v>
      </c>
      <c r="P531" s="836"/>
      <c r="Q531" s="1127" t="e">
        <f t="shared" si="335"/>
        <v>#N/A</v>
      </c>
      <c r="R531" s="1127" t="b">
        <f t="shared" si="346"/>
        <v>0</v>
      </c>
      <c r="S531" s="1127" t="e">
        <f t="shared" si="336"/>
        <v>#N/A</v>
      </c>
      <c r="T531" s="1127" t="b">
        <f t="shared" si="347"/>
        <v>0</v>
      </c>
      <c r="U531" s="1127" t="e">
        <f t="shared" si="337"/>
        <v>#N/A</v>
      </c>
      <c r="V531" s="1127" t="e">
        <f t="shared" si="348"/>
        <v>#N/A</v>
      </c>
      <c r="W531" s="1127" t="e">
        <f>IF(F531="Offiho",J531,IF(_xlfn.XLOOKUP(F531,Proveedores!A$2:A$50,Proveedores!E$2:E$50,"")="Nacional",(J531/0.5)+(V531*H531),((J531/0.3/0.5)+(V531*H531))))</f>
        <v>#N/A</v>
      </c>
      <c r="X531" s="1127" t="e">
        <f t="shared" si="338"/>
        <v>#N/A</v>
      </c>
      <c r="Y531" s="1126" t="b">
        <f t="shared" si="339"/>
        <v>0</v>
      </c>
      <c r="Z531" s="43">
        <v>0</v>
      </c>
      <c r="AA531" s="1219" t="e">
        <f t="shared" si="349"/>
        <v>#N/A</v>
      </c>
      <c r="AB531" s="1219" t="e">
        <f t="shared" si="350"/>
        <v>#N/A</v>
      </c>
      <c r="AC531" s="1219" t="e">
        <f t="shared" si="340"/>
        <v>#N/A</v>
      </c>
      <c r="AD531" s="1126" t="e">
        <f t="shared" si="351"/>
        <v>#N/A</v>
      </c>
      <c r="AE531" s="1217" t="e">
        <f t="shared" si="341"/>
        <v>#N/A</v>
      </c>
      <c r="AF531" s="1220" t="e">
        <f t="shared" si="342"/>
        <v>#N/A</v>
      </c>
      <c r="AG531" s="1176" t="e">
        <f t="shared" si="343"/>
        <v>#N/A</v>
      </c>
      <c r="AH531" s="1221" t="e">
        <f t="shared" si="352"/>
        <v>#N/A</v>
      </c>
    </row>
    <row r="532" spans="1:34" ht="15.5">
      <c r="A532" s="1216" t="b">
        <f t="shared" si="331"/>
        <v>1</v>
      </c>
      <c r="B532" s="1217" t="b">
        <f t="shared" si="344"/>
        <v>1</v>
      </c>
      <c r="C532" s="1218" t="str">
        <f t="shared" si="345"/>
        <v>Dólares</v>
      </c>
      <c r="D532" s="47"/>
      <c r="E532" s="836"/>
      <c r="F532" s="50"/>
      <c r="G532" s="50" t="str">
        <f t="shared" si="332"/>
        <v xml:space="preserve"> </v>
      </c>
      <c r="H532" s="45">
        <v>0</v>
      </c>
      <c r="I532" s="49" t="str">
        <f>IFERROR(VLOOKUP(G532,Proveedores!B:C,2,0)," ")</f>
        <v xml:space="preserve"> </v>
      </c>
      <c r="J532" s="838">
        <v>0</v>
      </c>
      <c r="K532" s="1124"/>
      <c r="L532" s="1266">
        <f t="shared" si="333"/>
        <v>0</v>
      </c>
      <c r="M532" s="1267">
        <f t="shared" si="334"/>
        <v>0</v>
      </c>
      <c r="N532" s="1268">
        <f t="shared" si="353"/>
        <v>0</v>
      </c>
      <c r="O532" s="836" t="str">
        <f>IFERROR(VLOOKUP(G532,Proveedores!B:D,3,0)," ")</f>
        <v xml:space="preserve"> </v>
      </c>
      <c r="P532" s="836"/>
      <c r="Q532" s="1127" t="e">
        <f t="shared" si="335"/>
        <v>#N/A</v>
      </c>
      <c r="R532" s="1127" t="b">
        <f t="shared" si="346"/>
        <v>0</v>
      </c>
      <c r="S532" s="1127" t="e">
        <f t="shared" si="336"/>
        <v>#N/A</v>
      </c>
      <c r="T532" s="1127" t="b">
        <f t="shared" si="347"/>
        <v>0</v>
      </c>
      <c r="U532" s="1127" t="e">
        <f t="shared" si="337"/>
        <v>#N/A</v>
      </c>
      <c r="V532" s="1127" t="e">
        <f t="shared" si="348"/>
        <v>#N/A</v>
      </c>
      <c r="W532" s="1127" t="e">
        <f>IF(F532="Offiho",J532,IF(_xlfn.XLOOKUP(F532,Proveedores!A$2:A$50,Proveedores!E$2:E$50,"")="Nacional",(J532/0.5)+(V532*H532),((J532/0.3/0.5)+(V532*H532))))</f>
        <v>#N/A</v>
      </c>
      <c r="X532" s="1127" t="e">
        <f t="shared" si="338"/>
        <v>#N/A</v>
      </c>
      <c r="Y532" s="1126" t="b">
        <f t="shared" si="339"/>
        <v>0</v>
      </c>
      <c r="Z532" s="43">
        <v>0</v>
      </c>
      <c r="AA532" s="1219" t="e">
        <f t="shared" si="349"/>
        <v>#N/A</v>
      </c>
      <c r="AB532" s="1219" t="e">
        <f t="shared" si="350"/>
        <v>#N/A</v>
      </c>
      <c r="AC532" s="1219" t="e">
        <f t="shared" si="340"/>
        <v>#N/A</v>
      </c>
      <c r="AD532" s="1126" t="e">
        <f t="shared" si="351"/>
        <v>#N/A</v>
      </c>
      <c r="AE532" s="1217" t="e">
        <f t="shared" si="341"/>
        <v>#N/A</v>
      </c>
      <c r="AF532" s="1220" t="e">
        <f t="shared" si="342"/>
        <v>#N/A</v>
      </c>
      <c r="AG532" s="1176" t="e">
        <f t="shared" si="343"/>
        <v>#N/A</v>
      </c>
      <c r="AH532" s="1221" t="e">
        <f t="shared" si="352"/>
        <v>#N/A</v>
      </c>
    </row>
    <row r="533" spans="1:34" ht="15.5">
      <c r="A533" s="1216" t="b">
        <f t="shared" si="331"/>
        <v>1</v>
      </c>
      <c r="B533" s="1217" t="b">
        <f t="shared" si="344"/>
        <v>1</v>
      </c>
      <c r="C533" s="1218" t="str">
        <f t="shared" si="345"/>
        <v>Dólares</v>
      </c>
      <c r="D533" s="47"/>
      <c r="E533" s="836"/>
      <c r="F533" s="50"/>
      <c r="G533" s="50" t="str">
        <f t="shared" si="332"/>
        <v xml:space="preserve"> </v>
      </c>
      <c r="H533" s="45">
        <v>0</v>
      </c>
      <c r="I533" s="49" t="str">
        <f>IFERROR(VLOOKUP(G533,Proveedores!B:C,2,0)," ")</f>
        <v xml:space="preserve"> </v>
      </c>
      <c r="J533" s="838">
        <v>0</v>
      </c>
      <c r="K533" s="1124"/>
      <c r="L533" s="1266">
        <f t="shared" si="333"/>
        <v>0</v>
      </c>
      <c r="M533" s="1267">
        <f t="shared" si="334"/>
        <v>0</v>
      </c>
      <c r="N533" s="1268">
        <f t="shared" si="353"/>
        <v>0</v>
      </c>
      <c r="O533" s="836" t="str">
        <f>IFERROR(VLOOKUP(G533,Proveedores!B:D,3,0)," ")</f>
        <v xml:space="preserve"> </v>
      </c>
      <c r="P533" s="836"/>
      <c r="Q533" s="1127" t="e">
        <f t="shared" si="335"/>
        <v>#N/A</v>
      </c>
      <c r="R533" s="1127" t="b">
        <f t="shared" si="346"/>
        <v>0</v>
      </c>
      <c r="S533" s="1127" t="e">
        <f t="shared" si="336"/>
        <v>#N/A</v>
      </c>
      <c r="T533" s="1127" t="b">
        <f t="shared" si="347"/>
        <v>0</v>
      </c>
      <c r="U533" s="1127" t="e">
        <f t="shared" si="337"/>
        <v>#N/A</v>
      </c>
      <c r="V533" s="1127" t="e">
        <f t="shared" si="348"/>
        <v>#N/A</v>
      </c>
      <c r="W533" s="1127" t="e">
        <f>IF(F533="Offiho",J533,IF(_xlfn.XLOOKUP(F533,Proveedores!A$2:A$50,Proveedores!E$2:E$50,"")="Nacional",(J533/0.5)+(V533*H533),((J533/0.3/0.5)+(V533*H533))))</f>
        <v>#N/A</v>
      </c>
      <c r="X533" s="1127" t="e">
        <f t="shared" si="338"/>
        <v>#N/A</v>
      </c>
      <c r="Y533" s="1126" t="b">
        <f t="shared" si="339"/>
        <v>0</v>
      </c>
      <c r="Z533" s="43">
        <v>0</v>
      </c>
      <c r="AA533" s="1219" t="e">
        <f t="shared" si="349"/>
        <v>#N/A</v>
      </c>
      <c r="AB533" s="1219" t="e">
        <f t="shared" si="350"/>
        <v>#N/A</v>
      </c>
      <c r="AC533" s="1219" t="e">
        <f t="shared" si="340"/>
        <v>#N/A</v>
      </c>
      <c r="AD533" s="1126" t="e">
        <f t="shared" si="351"/>
        <v>#N/A</v>
      </c>
      <c r="AE533" s="1217" t="e">
        <f t="shared" si="341"/>
        <v>#N/A</v>
      </c>
      <c r="AF533" s="1220" t="e">
        <f t="shared" si="342"/>
        <v>#N/A</v>
      </c>
      <c r="AG533" s="1176" t="e">
        <f t="shared" si="343"/>
        <v>#N/A</v>
      </c>
      <c r="AH533" s="1221" t="e">
        <f t="shared" si="352"/>
        <v>#N/A</v>
      </c>
    </row>
    <row r="534" spans="1:34" ht="15.5">
      <c r="A534" s="1216" t="b">
        <f t="shared" si="331"/>
        <v>1</v>
      </c>
      <c r="B534" s="1217" t="b">
        <f t="shared" si="344"/>
        <v>1</v>
      </c>
      <c r="C534" s="1218" t="str">
        <f t="shared" si="345"/>
        <v>Dólares</v>
      </c>
      <c r="D534" s="47"/>
      <c r="E534" s="836"/>
      <c r="F534" s="50"/>
      <c r="G534" s="50" t="str">
        <f t="shared" si="332"/>
        <v xml:space="preserve"> </v>
      </c>
      <c r="H534" s="45">
        <v>0</v>
      </c>
      <c r="I534" s="49" t="str">
        <f>IFERROR(VLOOKUP(G534,Proveedores!B:C,2,0)," ")</f>
        <v xml:space="preserve"> </v>
      </c>
      <c r="J534" s="838">
        <v>0</v>
      </c>
      <c r="K534" s="1124"/>
      <c r="L534" s="1266">
        <f t="shared" si="333"/>
        <v>0</v>
      </c>
      <c r="M534" s="1267">
        <f t="shared" si="334"/>
        <v>0</v>
      </c>
      <c r="N534" s="1268">
        <f t="shared" si="353"/>
        <v>0</v>
      </c>
      <c r="O534" s="836" t="str">
        <f>IFERROR(VLOOKUP(G534,Proveedores!B:D,3,0)," ")</f>
        <v xml:space="preserve"> </v>
      </c>
      <c r="P534" s="836"/>
      <c r="Q534" s="1127" t="e">
        <f t="shared" si="335"/>
        <v>#N/A</v>
      </c>
      <c r="R534" s="1127" t="b">
        <f t="shared" si="346"/>
        <v>0</v>
      </c>
      <c r="S534" s="1127" t="e">
        <f t="shared" si="336"/>
        <v>#N/A</v>
      </c>
      <c r="T534" s="1127" t="b">
        <f t="shared" si="347"/>
        <v>0</v>
      </c>
      <c r="U534" s="1127" t="e">
        <f t="shared" si="337"/>
        <v>#N/A</v>
      </c>
      <c r="V534" s="1127" t="e">
        <f t="shared" si="348"/>
        <v>#N/A</v>
      </c>
      <c r="W534" s="1127" t="e">
        <f>IF(F534="Offiho",J534,IF(_xlfn.XLOOKUP(F534,Proveedores!A$2:A$50,Proveedores!E$2:E$50,"")="Nacional",(J534/0.5)+(V534*H534),((J534/0.3/0.5)+(V534*H534))))</f>
        <v>#N/A</v>
      </c>
      <c r="X534" s="1127" t="e">
        <f t="shared" si="338"/>
        <v>#N/A</v>
      </c>
      <c r="Y534" s="1126" t="b">
        <f t="shared" si="339"/>
        <v>0</v>
      </c>
      <c r="Z534" s="43">
        <v>0</v>
      </c>
      <c r="AA534" s="1219" t="e">
        <f t="shared" si="349"/>
        <v>#N/A</v>
      </c>
      <c r="AB534" s="1219" t="e">
        <f t="shared" si="350"/>
        <v>#N/A</v>
      </c>
      <c r="AC534" s="1219" t="e">
        <f t="shared" si="340"/>
        <v>#N/A</v>
      </c>
      <c r="AD534" s="1126" t="e">
        <f t="shared" si="351"/>
        <v>#N/A</v>
      </c>
      <c r="AE534" s="1217" t="e">
        <f t="shared" si="341"/>
        <v>#N/A</v>
      </c>
      <c r="AF534" s="1220" t="e">
        <f t="shared" si="342"/>
        <v>#N/A</v>
      </c>
      <c r="AG534" s="1176" t="e">
        <f t="shared" si="343"/>
        <v>#N/A</v>
      </c>
      <c r="AH534" s="1221" t="e">
        <f t="shared" si="352"/>
        <v>#N/A</v>
      </c>
    </row>
    <row r="535" spans="1:34" ht="15.5">
      <c r="A535" s="1216" t="b">
        <f t="shared" si="331"/>
        <v>1</v>
      </c>
      <c r="B535" s="1217" t="b">
        <f t="shared" si="344"/>
        <v>1</v>
      </c>
      <c r="C535" s="1218" t="str">
        <f t="shared" si="345"/>
        <v>Dólares</v>
      </c>
      <c r="D535" s="47"/>
      <c r="E535" s="836"/>
      <c r="F535" s="50"/>
      <c r="G535" s="50" t="str">
        <f t="shared" si="332"/>
        <v xml:space="preserve"> </v>
      </c>
      <c r="H535" s="45">
        <v>0</v>
      </c>
      <c r="I535" s="49" t="str">
        <f>IFERROR(VLOOKUP(G535,Proveedores!B:C,2,0)," ")</f>
        <v xml:space="preserve"> </v>
      </c>
      <c r="J535" s="838">
        <v>0</v>
      </c>
      <c r="K535" s="1124"/>
      <c r="L535" s="1266">
        <f t="shared" si="333"/>
        <v>0</v>
      </c>
      <c r="M535" s="1267">
        <f t="shared" si="334"/>
        <v>0</v>
      </c>
      <c r="N535" s="1268">
        <f t="shared" si="353"/>
        <v>0</v>
      </c>
      <c r="O535" s="836" t="str">
        <f>IFERROR(VLOOKUP(G535,Proveedores!B:D,3,0)," ")</f>
        <v xml:space="preserve"> </v>
      </c>
      <c r="P535" s="836"/>
      <c r="Q535" s="1127" t="e">
        <f t="shared" si="335"/>
        <v>#N/A</v>
      </c>
      <c r="R535" s="1127" t="b">
        <f t="shared" si="346"/>
        <v>0</v>
      </c>
      <c r="S535" s="1127" t="e">
        <f t="shared" si="336"/>
        <v>#N/A</v>
      </c>
      <c r="T535" s="1127" t="b">
        <f t="shared" si="347"/>
        <v>0</v>
      </c>
      <c r="U535" s="1127" t="e">
        <f t="shared" si="337"/>
        <v>#N/A</v>
      </c>
      <c r="V535" s="1127" t="e">
        <f t="shared" si="348"/>
        <v>#N/A</v>
      </c>
      <c r="W535" s="1127" t="e">
        <f>IF(F535="Offiho",J535,IF(_xlfn.XLOOKUP(F535,Proveedores!A$2:A$50,Proveedores!E$2:E$50,"")="Nacional",(J535/0.5)+(V535*H535),((J535/0.3/0.5)+(V535*H535))))</f>
        <v>#N/A</v>
      </c>
      <c r="X535" s="1127" t="e">
        <f t="shared" si="338"/>
        <v>#N/A</v>
      </c>
      <c r="Y535" s="1126" t="b">
        <f t="shared" si="339"/>
        <v>0</v>
      </c>
      <c r="Z535" s="43">
        <v>0</v>
      </c>
      <c r="AA535" s="1219" t="e">
        <f t="shared" si="349"/>
        <v>#N/A</v>
      </c>
      <c r="AB535" s="1219" t="e">
        <f t="shared" si="350"/>
        <v>#N/A</v>
      </c>
      <c r="AC535" s="1219" t="e">
        <f t="shared" si="340"/>
        <v>#N/A</v>
      </c>
      <c r="AD535" s="1126" t="e">
        <f t="shared" si="351"/>
        <v>#N/A</v>
      </c>
      <c r="AE535" s="1217" t="e">
        <f t="shared" si="341"/>
        <v>#N/A</v>
      </c>
      <c r="AF535" s="1220" t="e">
        <f t="shared" si="342"/>
        <v>#N/A</v>
      </c>
      <c r="AG535" s="1176" t="e">
        <f t="shared" si="343"/>
        <v>#N/A</v>
      </c>
      <c r="AH535" s="1221" t="e">
        <f t="shared" si="352"/>
        <v>#N/A</v>
      </c>
    </row>
    <row r="536" spans="1:34" ht="15.5">
      <c r="A536" s="1216" t="b">
        <f t="shared" si="331"/>
        <v>1</v>
      </c>
      <c r="B536" s="1217" t="b">
        <f t="shared" si="344"/>
        <v>1</v>
      </c>
      <c r="C536" s="1218" t="str">
        <f t="shared" si="345"/>
        <v>Dólares</v>
      </c>
      <c r="D536" s="47"/>
      <c r="E536" s="836"/>
      <c r="F536" s="50"/>
      <c r="G536" s="50" t="str">
        <f t="shared" si="332"/>
        <v xml:space="preserve"> </v>
      </c>
      <c r="H536" s="45">
        <v>0</v>
      </c>
      <c r="I536" s="49" t="str">
        <f>IFERROR(VLOOKUP(G536,Proveedores!B:C,2,0)," ")</f>
        <v xml:space="preserve"> </v>
      </c>
      <c r="J536" s="838">
        <v>0</v>
      </c>
      <c r="K536" s="1124"/>
      <c r="L536" s="1266">
        <f t="shared" si="333"/>
        <v>0</v>
      </c>
      <c r="M536" s="1267">
        <f t="shared" si="334"/>
        <v>0</v>
      </c>
      <c r="N536" s="1268">
        <f t="shared" si="353"/>
        <v>0</v>
      </c>
      <c r="O536" s="836" t="str">
        <f>IFERROR(VLOOKUP(G536,Proveedores!B:D,3,0)," ")</f>
        <v xml:space="preserve"> </v>
      </c>
      <c r="P536" s="836"/>
      <c r="Q536" s="1127" t="e">
        <f t="shared" si="335"/>
        <v>#N/A</v>
      </c>
      <c r="R536" s="1127" t="b">
        <f t="shared" si="346"/>
        <v>0</v>
      </c>
      <c r="S536" s="1127" t="e">
        <f t="shared" si="336"/>
        <v>#N/A</v>
      </c>
      <c r="T536" s="1127" t="b">
        <f t="shared" si="347"/>
        <v>0</v>
      </c>
      <c r="U536" s="1127" t="e">
        <f t="shared" si="337"/>
        <v>#N/A</v>
      </c>
      <c r="V536" s="1127" t="e">
        <f t="shared" si="348"/>
        <v>#N/A</v>
      </c>
      <c r="W536" s="1127" t="e">
        <f>IF(F536="Offiho",J536,IF(_xlfn.XLOOKUP(F536,Proveedores!A$2:A$50,Proveedores!E$2:E$50,"")="Nacional",(J536/0.5)+(V536*H536),((J536/0.3/0.5)+(V536*H536))))</f>
        <v>#N/A</v>
      </c>
      <c r="X536" s="1127" t="e">
        <f t="shared" si="338"/>
        <v>#N/A</v>
      </c>
      <c r="Y536" s="1126" t="b">
        <f t="shared" si="339"/>
        <v>0</v>
      </c>
      <c r="Z536" s="43">
        <v>0</v>
      </c>
      <c r="AA536" s="1219" t="e">
        <f t="shared" si="349"/>
        <v>#N/A</v>
      </c>
      <c r="AB536" s="1219" t="e">
        <f t="shared" si="350"/>
        <v>#N/A</v>
      </c>
      <c r="AC536" s="1219" t="e">
        <f t="shared" si="340"/>
        <v>#N/A</v>
      </c>
      <c r="AD536" s="1126" t="str">
        <f t="shared" si="351"/>
        <v>NA</v>
      </c>
      <c r="AE536" s="1217" t="e">
        <f t="shared" si="341"/>
        <v>#N/A</v>
      </c>
      <c r="AF536" s="1220" t="e">
        <f t="shared" si="342"/>
        <v>#N/A</v>
      </c>
      <c r="AG536" s="1176" t="e">
        <f t="shared" si="343"/>
        <v>#N/A</v>
      </c>
      <c r="AH536" s="1221" t="e">
        <f t="shared" si="352"/>
        <v>#N/A</v>
      </c>
    </row>
    <row r="537" spans="1:34" ht="24" customHeight="1">
      <c r="A537" s="1422" t="s">
        <v>144</v>
      </c>
      <c r="B537" s="1422"/>
      <c r="C537" s="1422"/>
      <c r="D537" s="1422"/>
      <c r="E537" s="1422"/>
      <c r="F537" s="1422"/>
      <c r="G537" s="1228"/>
      <c r="H537" s="1229" cm="1">
        <f t="array" ref="H537">SUM(IFERROR(H504:H536,0))</f>
        <v>0</v>
      </c>
      <c r="I537" s="1228"/>
      <c r="J537" s="1228"/>
      <c r="K537" s="1231"/>
      <c r="L537" s="1229" cm="1">
        <f t="array" ref="L537">SUM(IFERROR(L504:L536,0))</f>
        <v>0</v>
      </c>
      <c r="M537" s="1235"/>
      <c r="N537" s="1232" cm="1">
        <f t="array" ref="N537">SUM(IFERROR(N504:N536,0))</f>
        <v>0</v>
      </c>
      <c r="O537" s="1233"/>
      <c r="P537" s="1233"/>
      <c r="Q537" s="1233"/>
      <c r="R537" s="1233"/>
      <c r="S537" s="1233"/>
      <c r="T537" s="1233"/>
      <c r="U537" s="1233"/>
      <c r="V537" s="1233"/>
      <c r="W537" s="1231"/>
      <c r="X537" s="1232" cm="1">
        <f t="array" ref="X537">SUM(IFERROR(X504:X536,0))</f>
        <v>0</v>
      </c>
      <c r="Y537" s="1233" t="s">
        <v>116</v>
      </c>
      <c r="Z537" s="1233"/>
      <c r="AA537" s="1233"/>
      <c r="AB537" s="1233"/>
      <c r="AC537" s="1232" cm="1">
        <f t="array" ref="AC537">SUM(IFERROR(AC504:AC536,0))</f>
        <v>0</v>
      </c>
      <c r="AD537" s="1232"/>
      <c r="AE537" s="1232"/>
      <c r="AF537" s="1232" cm="1">
        <f t="array" ref="AF537">SUM(IFERROR(AF504:AF536,0))</f>
        <v>0</v>
      </c>
      <c r="AG537" s="1177">
        <f>IFERROR(1-(N537/AC537),0)</f>
        <v>0</v>
      </c>
      <c r="AH537"/>
    </row>
    <row r="538" spans="1:34" ht="26" customHeight="1">
      <c r="A538" s="1419" t="s">
        <v>145</v>
      </c>
      <c r="B538" s="1419"/>
      <c r="C538" s="1419"/>
      <c r="D538" s="1419"/>
      <c r="E538" s="1419"/>
      <c r="F538" s="1419"/>
      <c r="G538" s="1419"/>
      <c r="H538" s="1419"/>
      <c r="I538" s="1419"/>
      <c r="J538" s="1420"/>
      <c r="K538" s="1214"/>
      <c r="L538" s="1214"/>
      <c r="M538" s="1236"/>
      <c r="N538" s="1214"/>
      <c r="O538" s="1213"/>
      <c r="P538" s="1213"/>
      <c r="Q538" s="1213"/>
      <c r="R538" s="1213"/>
      <c r="S538" s="1213"/>
      <c r="T538" s="1213"/>
      <c r="U538" s="1213"/>
      <c r="V538" s="1213"/>
      <c r="W538" s="1178"/>
      <c r="X538" s="1178"/>
      <c r="Y538" s="1178"/>
      <c r="Z538" s="1213"/>
      <c r="AA538" s="1213"/>
      <c r="AB538" s="1213"/>
      <c r="AC538" s="1213"/>
      <c r="AD538" s="1213"/>
      <c r="AE538" s="1213"/>
      <c r="AF538" s="1213"/>
      <c r="AG538" s="1215"/>
      <c r="AH538"/>
    </row>
    <row r="539" spans="1:34" ht="15.5">
      <c r="A539" s="1216" t="b">
        <f t="shared" ref="A539:A571" si="354">$A$13</f>
        <v>1</v>
      </c>
      <c r="B539" s="1217" t="b">
        <f>A539</f>
        <v>1</v>
      </c>
      <c r="C539" s="1218" t="str">
        <f>$C$13</f>
        <v>Dólares</v>
      </c>
      <c r="D539" s="44"/>
      <c r="E539" s="836"/>
      <c r="F539" s="50"/>
      <c r="G539" s="50" t="str">
        <f t="shared" ref="G539:G571" si="355">IFERROR(VLOOKUP(F539,Tabla_Proveedores_1,2,0)," ")</f>
        <v xml:space="preserve"> </v>
      </c>
      <c r="H539" s="45">
        <v>0</v>
      </c>
      <c r="I539" s="49" t="str">
        <f>IFERROR(VLOOKUP(G539,Proveedores!B:C,2,0)," ")</f>
        <v xml:space="preserve"> </v>
      </c>
      <c r="J539" s="838">
        <v>0</v>
      </c>
      <c r="K539" s="1124"/>
      <c r="L539" s="1266">
        <f t="shared" ref="L539:L571" si="356">K539*H539</f>
        <v>0</v>
      </c>
      <c r="M539" s="1267">
        <f t="shared" ref="M539:M571" si="357">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Brasil"),J539,IFERROR(IF(K1098&lt;=$AO$578,J539*2.14,IF(K1098&lt;=$AN$579,J539*1.8,IF(K1098&gt;$AN$580,J539*1.5))),J539))*1.1)</f>
        <v>0</v>
      </c>
      <c r="N539" s="1268">
        <f>M539*H539</f>
        <v>0</v>
      </c>
      <c r="O539" s="836" t="str">
        <f>IFERROR(VLOOKUP(G539,Proveedores!B:D,3,0)," ")</f>
        <v xml:space="preserve"> </v>
      </c>
      <c r="P539" s="836"/>
      <c r="Q539" s="1127" t="e">
        <f t="shared" ref="Q539:Q571" si="358">VLOOKUP(E539,Tabla_Fletes,3,FALSE)</f>
        <v>#N/A</v>
      </c>
      <c r="R539" s="1127" t="b">
        <f>IF(P539="Centro",Q539,IF(P539="Norte",Q539*1.6,IF(P539="Occidente",Q539*1.2,IF(P539="Sur",Q539*2))))</f>
        <v>0</v>
      </c>
      <c r="S539" s="1127" t="e">
        <f t="shared" ref="S539:S571" si="359">VLOOKUP(E539,Tabla_Instalacion,2,FALSE)</f>
        <v>#N/A</v>
      </c>
      <c r="T539" s="1127" t="b">
        <f>IF(P539="Centro",S539,IF(P539="Norte",S539*1.1,IF(P539="Occidente",S539*1.1,IF(P539="Sur",S539*1.1))))</f>
        <v>0</v>
      </c>
      <c r="U539" s="1127" t="e">
        <f t="shared" ref="U539:U571" si="360">IF(F539="Offiho",0,Q539+S539)</f>
        <v>#N/A</v>
      </c>
      <c r="V539" s="1127" t="e">
        <f>IF(K539=0,U539/$H$573,U539*(K539/L539))*H539</f>
        <v>#N/A</v>
      </c>
      <c r="W539" s="1127" t="e">
        <f>IF(F539="Offiho",J539,IF(_xlfn.XLOOKUP(F539,Proveedores!A$2:A$50,Proveedores!E$2:E$50,"")="Nacional",(J539/0.5)+(V539*H539),((J539/0.3/0.5)+(V539*H539))))</f>
        <v>#N/A</v>
      </c>
      <c r="X539" s="1127" t="e">
        <f t="shared" ref="X539:X571" si="361">W539*H539</f>
        <v>#N/A</v>
      </c>
      <c r="Y539" s="1126" t="b">
        <f t="shared" ref="Y539:Y571" si="362">IF(F539="Sunon Inc",$AJ$577,IF(F539="Alma - Exterior",$AJ$578,IF(F539="Yabo - Hotelería",$AJ$579,IF(F539="OSJ - Medical",$AJ$580,IF(F539="Seezo - Home",$AJ$581,IF(F539="A&amp;D - Home",$AJ$582,IF(F539="Encore Alfombras Hoteleria Asia",$AJ$583,IF(F539="Zhong Xian - Leds",$AJ$584,IF(F539="Tarkett Europa",$AJ$585,IF(F539="2tec2",$AJ$586,IF(F539="Balsan Europa",$AJ$587,IF(F539="Armstrong Pisos USA",$AJ$588,IF(F539="Tarkett USA",$AJ$589,IF(F539="Tarkett Brasil",$AJ$590,IF(F539="Tarkett MX",$AJ$591,IF(F539="Jome",$AJ$592,IF(F539="Offiho",$AJ$593,IF(F539="Lumbro",$AJ$594,IF(F539="Sunon Mty",$AJ$595,IF(F539="Conceptos Sofas",$AJ$596,IF(F539="Lauco Sofas",$AJ$597,IF(F539="CR Global - Mesas Ajustables",$AJ$598,IF(F539="Vandesk",$AJ$599,IF(F539="Mamparas Tela",$AJ$600,IF(F539="Mampara Cristales",$AJ$601,IF(F539="Herrajes",$AJ$602,IF(F539="MetalWork",$AJ$603,IF(F539="Requiez",$AJ$604,IF(F539="Labenze",$AJ$605,IF(F539="Infinity",$AJ$606,IF(F539="Proveedor Externo",$AJ$607)))))))))))))))))))))))))))))))</f>
        <v>0</v>
      </c>
      <c r="Z539" s="43">
        <v>0</v>
      </c>
      <c r="AA539" s="1219" t="e">
        <f>W539*Z539</f>
        <v>#N/A</v>
      </c>
      <c r="AB539" s="1219" t="e">
        <f>IF(Z539&gt;Y539,"ERROR",(W539-AA539))</f>
        <v>#N/A</v>
      </c>
      <c r="AC539" s="1219" t="e">
        <f t="shared" ref="AC539:AC571" si="363">AB539*H539</f>
        <v>#N/A</v>
      </c>
      <c r="AD539" s="1126" t="e">
        <f>IF(A540=TRUE,MAX(0,1-(AE539/W539)),"NA")</f>
        <v>#N/A</v>
      </c>
      <c r="AE539" s="1217" t="e">
        <f t="shared" ref="AE539:AE571" si="364">IF(A538=FALSE,"NO APLICA",AB539*1.2)</f>
        <v>#N/A</v>
      </c>
      <c r="AF539" s="1220" t="e">
        <f t="shared" ref="AF539:AF571" si="365">AE539*H539</f>
        <v>#N/A</v>
      </c>
      <c r="AG539" s="1176" t="e">
        <f t="shared" ref="AG539:AG571" si="366">(AC539-N539)/AC539</f>
        <v>#N/A</v>
      </c>
      <c r="AH539" s="1221" t="e">
        <f>IF(AG539&lt;30%,"ERROR","OK")</f>
        <v>#N/A</v>
      </c>
    </row>
    <row r="540" spans="1:34" ht="15.5">
      <c r="A540" s="1216" t="b">
        <f t="shared" si="354"/>
        <v>1</v>
      </c>
      <c r="B540" s="1217" t="b">
        <f t="shared" ref="B540:B571" si="367">A540</f>
        <v>1</v>
      </c>
      <c r="C540" s="1218" t="str">
        <f t="shared" ref="C540:C571" si="368">$C$13</f>
        <v>Dólares</v>
      </c>
      <c r="D540" s="46"/>
      <c r="E540" s="836"/>
      <c r="F540" s="50"/>
      <c r="G540" s="50" t="str">
        <f t="shared" si="355"/>
        <v xml:space="preserve"> </v>
      </c>
      <c r="H540" s="45">
        <v>0</v>
      </c>
      <c r="I540" s="49" t="str">
        <f>IFERROR(VLOOKUP(G540,Proveedores!B:C,2,0)," ")</f>
        <v xml:space="preserve"> </v>
      </c>
      <c r="J540" s="838">
        <v>0</v>
      </c>
      <c r="K540" s="1124"/>
      <c r="L540" s="1266">
        <f t="shared" si="356"/>
        <v>0</v>
      </c>
      <c r="M540" s="1267">
        <f t="shared" si="357"/>
        <v>0</v>
      </c>
      <c r="N540" s="1268">
        <f>M540*H540</f>
        <v>0</v>
      </c>
      <c r="O540" s="836" t="str">
        <f>IFERROR(VLOOKUP(G540,Proveedores!B:D,3,0)," ")</f>
        <v xml:space="preserve"> </v>
      </c>
      <c r="P540" s="836"/>
      <c r="Q540" s="1127" t="e">
        <f t="shared" si="358"/>
        <v>#N/A</v>
      </c>
      <c r="R540" s="1127" t="b">
        <f t="shared" ref="R540:R571" si="369">IF(P540="Centro",Q540,IF(P540="Norte",Q540*1.6,IF(P540="Occidente",Q540*1.2,IF(P540="Sur",Q540*2))))</f>
        <v>0</v>
      </c>
      <c r="S540" s="1127" t="e">
        <f t="shared" si="359"/>
        <v>#N/A</v>
      </c>
      <c r="T540" s="1127" t="b">
        <f t="shared" ref="T540:T571" si="370">IF(P540="Centro",S540,IF(P540="Norte",S540*1.1,IF(P540="Occidente",S540*1.1,IF(P540="Sur",S540*1.1))))</f>
        <v>0</v>
      </c>
      <c r="U540" s="1127" t="e">
        <f t="shared" si="360"/>
        <v>#N/A</v>
      </c>
      <c r="V540" s="1127" t="e">
        <f t="shared" ref="V540:V571" si="371">IF(K540=0,U540/$H$573,U540*(K540/L540))*H540</f>
        <v>#N/A</v>
      </c>
      <c r="W540" s="1127" t="e">
        <f>IF(F540="Offiho",J540,IF(_xlfn.XLOOKUP(F540,Proveedores!A$2:A$50,Proveedores!E$2:E$50,"")="Nacional",(J540/0.5)+(V540*H540),((J540/0.3/0.5)+(V540*H540))))</f>
        <v>#N/A</v>
      </c>
      <c r="X540" s="1127" t="e">
        <f t="shared" si="361"/>
        <v>#N/A</v>
      </c>
      <c r="Y540" s="1126" t="b">
        <f t="shared" si="362"/>
        <v>0</v>
      </c>
      <c r="Z540" s="43">
        <v>0</v>
      </c>
      <c r="AA540" s="1219" t="e">
        <f t="shared" ref="AA540:AA571" si="372">W540*Z540</f>
        <v>#N/A</v>
      </c>
      <c r="AB540" s="1219" t="e">
        <f t="shared" ref="AB540:AB571" si="373">IF(Z540&gt;Y540,"ERROR",(W540-AA540))</f>
        <v>#N/A</v>
      </c>
      <c r="AC540" s="1219" t="e">
        <f t="shared" si="363"/>
        <v>#N/A</v>
      </c>
      <c r="AD540" s="1126" t="e">
        <f t="shared" ref="AD540:AD571" si="374">IF(A541=TRUE,MAX(0,1-(AE540/W540)),"NA")</f>
        <v>#N/A</v>
      </c>
      <c r="AE540" s="1217" t="e">
        <f t="shared" si="364"/>
        <v>#N/A</v>
      </c>
      <c r="AF540" s="1220" t="e">
        <f t="shared" si="365"/>
        <v>#N/A</v>
      </c>
      <c r="AG540" s="1176" t="e">
        <f t="shared" si="366"/>
        <v>#N/A</v>
      </c>
      <c r="AH540" s="1221" t="e">
        <f t="shared" ref="AH540:AH571" si="375">IF(AG540&lt;30%,"ERROR","OK")</f>
        <v>#N/A</v>
      </c>
    </row>
    <row r="541" spans="1:34" ht="15.5">
      <c r="A541" s="1216" t="b">
        <f t="shared" si="354"/>
        <v>1</v>
      </c>
      <c r="B541" s="1217" t="b">
        <f t="shared" si="367"/>
        <v>1</v>
      </c>
      <c r="C541" s="1218" t="str">
        <f t="shared" si="368"/>
        <v>Dólares</v>
      </c>
      <c r="D541" s="46"/>
      <c r="E541" s="836"/>
      <c r="F541" s="50"/>
      <c r="G541" s="50" t="str">
        <f t="shared" si="355"/>
        <v xml:space="preserve"> </v>
      </c>
      <c r="H541" s="45">
        <v>0</v>
      </c>
      <c r="I541" s="49" t="str">
        <f>IFERROR(VLOOKUP(G541,Proveedores!B:C,2,0)," ")</f>
        <v xml:space="preserve"> </v>
      </c>
      <c r="J541" s="838">
        <v>0</v>
      </c>
      <c r="K541" s="1124"/>
      <c r="L541" s="1266">
        <f t="shared" si="356"/>
        <v>0</v>
      </c>
      <c r="M541" s="1267">
        <f t="shared" si="357"/>
        <v>0</v>
      </c>
      <c r="N541" s="1268">
        <f>(M541*H541)</f>
        <v>0</v>
      </c>
      <c r="O541" s="836" t="str">
        <f>IFERROR(VLOOKUP(G541,Proveedores!B:D,3,0)," ")</f>
        <v xml:space="preserve"> </v>
      </c>
      <c r="P541" s="836"/>
      <c r="Q541" s="1127" t="e">
        <f t="shared" si="358"/>
        <v>#N/A</v>
      </c>
      <c r="R541" s="1127" t="b">
        <f t="shared" si="369"/>
        <v>0</v>
      </c>
      <c r="S541" s="1127" t="e">
        <f t="shared" si="359"/>
        <v>#N/A</v>
      </c>
      <c r="T541" s="1127" t="b">
        <f t="shared" si="370"/>
        <v>0</v>
      </c>
      <c r="U541" s="1127" t="e">
        <f t="shared" si="360"/>
        <v>#N/A</v>
      </c>
      <c r="V541" s="1127" t="e">
        <f t="shared" si="371"/>
        <v>#N/A</v>
      </c>
      <c r="W541" s="1127" t="e">
        <f>IF(F541="Offiho",J541,IF(_xlfn.XLOOKUP(F541,Proveedores!A$2:A$50,Proveedores!E$2:E$50,"")="Nacional",(J541/0.5)+(V541*H541),((J541/0.3/0.5)+(V541*H541))))</f>
        <v>#N/A</v>
      </c>
      <c r="X541" s="1127" t="e">
        <f t="shared" si="361"/>
        <v>#N/A</v>
      </c>
      <c r="Y541" s="1126" t="b">
        <f t="shared" si="362"/>
        <v>0</v>
      </c>
      <c r="Z541" s="43">
        <v>0</v>
      </c>
      <c r="AA541" s="1219" t="e">
        <f t="shared" si="372"/>
        <v>#N/A</v>
      </c>
      <c r="AB541" s="1219" t="e">
        <f t="shared" si="373"/>
        <v>#N/A</v>
      </c>
      <c r="AC541" s="1219" t="e">
        <f t="shared" si="363"/>
        <v>#N/A</v>
      </c>
      <c r="AD541" s="1126" t="e">
        <f t="shared" si="374"/>
        <v>#N/A</v>
      </c>
      <c r="AE541" s="1217" t="e">
        <f t="shared" si="364"/>
        <v>#N/A</v>
      </c>
      <c r="AF541" s="1220" t="e">
        <f t="shared" si="365"/>
        <v>#N/A</v>
      </c>
      <c r="AG541" s="1176" t="e">
        <f t="shared" si="366"/>
        <v>#N/A</v>
      </c>
      <c r="AH541" s="1221" t="e">
        <f t="shared" si="375"/>
        <v>#N/A</v>
      </c>
    </row>
    <row r="542" spans="1:34" ht="15.5">
      <c r="A542" s="1216" t="b">
        <f t="shared" si="354"/>
        <v>1</v>
      </c>
      <c r="B542" s="1217" t="b">
        <f t="shared" si="367"/>
        <v>1</v>
      </c>
      <c r="C542" s="1218" t="str">
        <f t="shared" si="368"/>
        <v>Dólares</v>
      </c>
      <c r="D542" s="46"/>
      <c r="E542" s="836"/>
      <c r="F542" s="50"/>
      <c r="G542" s="50" t="str">
        <f t="shared" si="355"/>
        <v xml:space="preserve"> </v>
      </c>
      <c r="H542" s="45">
        <v>0</v>
      </c>
      <c r="I542" s="49" t="str">
        <f>IFERROR(VLOOKUP(G542,Proveedores!B:C,2,0)," ")</f>
        <v xml:space="preserve"> </v>
      </c>
      <c r="J542" s="838">
        <v>0</v>
      </c>
      <c r="K542" s="1124"/>
      <c r="L542" s="1266">
        <f t="shared" si="356"/>
        <v>0</v>
      </c>
      <c r="M542" s="1267">
        <f t="shared" si="357"/>
        <v>0</v>
      </c>
      <c r="N542" s="1268">
        <f t="shared" ref="N542:N571" si="376">M542*H542</f>
        <v>0</v>
      </c>
      <c r="O542" s="836" t="str">
        <f>IFERROR(VLOOKUP(G542,Proveedores!B:D,3,0)," ")</f>
        <v xml:space="preserve"> </v>
      </c>
      <c r="P542" s="836"/>
      <c r="Q542" s="1127" t="e">
        <f t="shared" si="358"/>
        <v>#N/A</v>
      </c>
      <c r="R542" s="1127" t="b">
        <f t="shared" si="369"/>
        <v>0</v>
      </c>
      <c r="S542" s="1127" t="e">
        <f t="shared" si="359"/>
        <v>#N/A</v>
      </c>
      <c r="T542" s="1127" t="b">
        <f t="shared" si="370"/>
        <v>0</v>
      </c>
      <c r="U542" s="1127" t="e">
        <f t="shared" si="360"/>
        <v>#N/A</v>
      </c>
      <c r="V542" s="1127" t="e">
        <f t="shared" si="371"/>
        <v>#N/A</v>
      </c>
      <c r="W542" s="1127" t="e">
        <f>IF(F542="Offiho",J542,IF(_xlfn.XLOOKUP(F542,Proveedores!A$2:A$50,Proveedores!E$2:E$50,"")="Nacional",(J542/0.5)+(V542*H542),((J542/0.3/0.5)+(V542*H542))))</f>
        <v>#N/A</v>
      </c>
      <c r="X542" s="1127" t="e">
        <f t="shared" si="361"/>
        <v>#N/A</v>
      </c>
      <c r="Y542" s="1126" t="b">
        <f t="shared" si="362"/>
        <v>0</v>
      </c>
      <c r="Z542" s="43">
        <v>0</v>
      </c>
      <c r="AA542" s="1219" t="e">
        <f t="shared" si="372"/>
        <v>#N/A</v>
      </c>
      <c r="AB542" s="1219" t="e">
        <f t="shared" si="373"/>
        <v>#N/A</v>
      </c>
      <c r="AC542" s="1219" t="e">
        <f t="shared" si="363"/>
        <v>#N/A</v>
      </c>
      <c r="AD542" s="1126" t="e">
        <f t="shared" si="374"/>
        <v>#N/A</v>
      </c>
      <c r="AE542" s="1217" t="e">
        <f t="shared" si="364"/>
        <v>#N/A</v>
      </c>
      <c r="AF542" s="1220" t="e">
        <f t="shared" si="365"/>
        <v>#N/A</v>
      </c>
      <c r="AG542" s="1176" t="e">
        <f t="shared" si="366"/>
        <v>#N/A</v>
      </c>
      <c r="AH542" s="1221" t="e">
        <f t="shared" si="375"/>
        <v>#N/A</v>
      </c>
    </row>
    <row r="543" spans="1:34" ht="15.5">
      <c r="A543" s="1216" t="b">
        <f t="shared" si="354"/>
        <v>1</v>
      </c>
      <c r="B543" s="1217" t="b">
        <f t="shared" si="367"/>
        <v>1</v>
      </c>
      <c r="C543" s="1218" t="str">
        <f t="shared" si="368"/>
        <v>Dólares</v>
      </c>
      <c r="D543" s="46"/>
      <c r="E543" s="836"/>
      <c r="F543" s="50"/>
      <c r="G543" s="50" t="str">
        <f t="shared" si="355"/>
        <v xml:space="preserve"> </v>
      </c>
      <c r="H543" s="45">
        <v>0</v>
      </c>
      <c r="I543" s="49" t="str">
        <f>IFERROR(VLOOKUP(G543,Proveedores!B:C,2,0)," ")</f>
        <v xml:space="preserve"> </v>
      </c>
      <c r="J543" s="838">
        <v>0</v>
      </c>
      <c r="K543" s="1124"/>
      <c r="L543" s="1266">
        <f t="shared" si="356"/>
        <v>0</v>
      </c>
      <c r="M543" s="1267">
        <f t="shared" si="357"/>
        <v>0</v>
      </c>
      <c r="N543" s="1268">
        <f t="shared" si="376"/>
        <v>0</v>
      </c>
      <c r="O543" s="836" t="str">
        <f>IFERROR(VLOOKUP(G543,Proveedores!B:D,3,0)," ")</f>
        <v xml:space="preserve"> </v>
      </c>
      <c r="P543" s="836"/>
      <c r="Q543" s="1127" t="e">
        <f t="shared" si="358"/>
        <v>#N/A</v>
      </c>
      <c r="R543" s="1127" t="b">
        <f t="shared" si="369"/>
        <v>0</v>
      </c>
      <c r="S543" s="1127" t="e">
        <f t="shared" si="359"/>
        <v>#N/A</v>
      </c>
      <c r="T543" s="1127" t="b">
        <f t="shared" si="370"/>
        <v>0</v>
      </c>
      <c r="U543" s="1127" t="e">
        <f t="shared" si="360"/>
        <v>#N/A</v>
      </c>
      <c r="V543" s="1127" t="e">
        <f t="shared" si="371"/>
        <v>#N/A</v>
      </c>
      <c r="W543" s="1127" t="e">
        <f>IF(F543="Offiho",J543,IF(_xlfn.XLOOKUP(F543,Proveedores!A$2:A$50,Proveedores!E$2:E$50,"")="Nacional",(J543/0.5)+(V543*H543),((J543/0.3/0.5)+(V543*H543))))</f>
        <v>#N/A</v>
      </c>
      <c r="X543" s="1127" t="e">
        <f t="shared" si="361"/>
        <v>#N/A</v>
      </c>
      <c r="Y543" s="1126" t="b">
        <f t="shared" si="362"/>
        <v>0</v>
      </c>
      <c r="Z543" s="43">
        <v>0</v>
      </c>
      <c r="AA543" s="1219" t="e">
        <f t="shared" si="372"/>
        <v>#N/A</v>
      </c>
      <c r="AB543" s="1219" t="e">
        <f t="shared" si="373"/>
        <v>#N/A</v>
      </c>
      <c r="AC543" s="1219" t="e">
        <f t="shared" si="363"/>
        <v>#N/A</v>
      </c>
      <c r="AD543" s="1126" t="e">
        <f t="shared" si="374"/>
        <v>#N/A</v>
      </c>
      <c r="AE543" s="1217" t="e">
        <f t="shared" si="364"/>
        <v>#N/A</v>
      </c>
      <c r="AF543" s="1220" t="e">
        <f t="shared" si="365"/>
        <v>#N/A</v>
      </c>
      <c r="AG543" s="1176" t="e">
        <f t="shared" si="366"/>
        <v>#N/A</v>
      </c>
      <c r="AH543" s="1221" t="e">
        <f t="shared" si="375"/>
        <v>#N/A</v>
      </c>
    </row>
    <row r="544" spans="1:34" ht="15.5">
      <c r="A544" s="1216" t="b">
        <f t="shared" si="354"/>
        <v>1</v>
      </c>
      <c r="B544" s="1217" t="b">
        <f t="shared" si="367"/>
        <v>1</v>
      </c>
      <c r="C544" s="1218" t="str">
        <f t="shared" si="368"/>
        <v>Dólares</v>
      </c>
      <c r="D544" s="46"/>
      <c r="E544" s="836"/>
      <c r="F544" s="50"/>
      <c r="G544" s="50" t="str">
        <f t="shared" si="355"/>
        <v xml:space="preserve"> </v>
      </c>
      <c r="H544" s="45">
        <v>0</v>
      </c>
      <c r="I544" s="49" t="str">
        <f>IFERROR(VLOOKUP(G544,Proveedores!B:C,2,0)," ")</f>
        <v xml:space="preserve"> </v>
      </c>
      <c r="J544" s="838">
        <v>0</v>
      </c>
      <c r="K544" s="1124"/>
      <c r="L544" s="1266">
        <f t="shared" si="356"/>
        <v>0</v>
      </c>
      <c r="M544" s="1267">
        <f t="shared" si="357"/>
        <v>0</v>
      </c>
      <c r="N544" s="1268">
        <f t="shared" si="376"/>
        <v>0</v>
      </c>
      <c r="O544" s="836" t="str">
        <f>IFERROR(VLOOKUP(G544,Proveedores!B:D,3,0)," ")</f>
        <v xml:space="preserve"> </v>
      </c>
      <c r="P544" s="836"/>
      <c r="Q544" s="1127" t="e">
        <f t="shared" si="358"/>
        <v>#N/A</v>
      </c>
      <c r="R544" s="1127" t="b">
        <f t="shared" si="369"/>
        <v>0</v>
      </c>
      <c r="S544" s="1127" t="e">
        <f t="shared" si="359"/>
        <v>#N/A</v>
      </c>
      <c r="T544" s="1127" t="b">
        <f t="shared" si="370"/>
        <v>0</v>
      </c>
      <c r="U544" s="1127" t="e">
        <f t="shared" si="360"/>
        <v>#N/A</v>
      </c>
      <c r="V544" s="1127" t="e">
        <f t="shared" si="371"/>
        <v>#N/A</v>
      </c>
      <c r="W544" s="1127" t="e">
        <f>IF(F544="Offiho",J544,IF(_xlfn.XLOOKUP(F544,Proveedores!A$2:A$50,Proveedores!E$2:E$50,"")="Nacional",(J544/0.5)+(V544*H544),((J544/0.3/0.5)+(V544*H544))))</f>
        <v>#N/A</v>
      </c>
      <c r="X544" s="1127" t="e">
        <f t="shared" si="361"/>
        <v>#N/A</v>
      </c>
      <c r="Y544" s="1126" t="b">
        <f t="shared" si="362"/>
        <v>0</v>
      </c>
      <c r="Z544" s="43">
        <v>0</v>
      </c>
      <c r="AA544" s="1219" t="e">
        <f t="shared" si="372"/>
        <v>#N/A</v>
      </c>
      <c r="AB544" s="1219" t="e">
        <f t="shared" si="373"/>
        <v>#N/A</v>
      </c>
      <c r="AC544" s="1219" t="e">
        <f t="shared" si="363"/>
        <v>#N/A</v>
      </c>
      <c r="AD544" s="1126" t="e">
        <f t="shared" si="374"/>
        <v>#N/A</v>
      </c>
      <c r="AE544" s="1217" t="e">
        <f t="shared" si="364"/>
        <v>#N/A</v>
      </c>
      <c r="AF544" s="1220" t="e">
        <f t="shared" si="365"/>
        <v>#N/A</v>
      </c>
      <c r="AG544" s="1176" t="e">
        <f t="shared" si="366"/>
        <v>#N/A</v>
      </c>
      <c r="AH544" s="1221" t="e">
        <f t="shared" si="375"/>
        <v>#N/A</v>
      </c>
    </row>
    <row r="545" spans="1:34" ht="15.5">
      <c r="A545" s="1216" t="b">
        <f t="shared" si="354"/>
        <v>1</v>
      </c>
      <c r="B545" s="1217" t="b">
        <f t="shared" si="367"/>
        <v>1</v>
      </c>
      <c r="C545" s="1218" t="str">
        <f t="shared" si="368"/>
        <v>Dólares</v>
      </c>
      <c r="D545" s="44"/>
      <c r="E545" s="836"/>
      <c r="F545" s="50"/>
      <c r="G545" s="50" t="str">
        <f t="shared" si="355"/>
        <v xml:space="preserve"> </v>
      </c>
      <c r="H545" s="45">
        <v>0</v>
      </c>
      <c r="I545" s="49" t="str">
        <f>IFERROR(VLOOKUP(G545,Proveedores!B:C,2,0)," ")</f>
        <v xml:space="preserve"> </v>
      </c>
      <c r="J545" s="838">
        <v>0</v>
      </c>
      <c r="K545" s="1124"/>
      <c r="L545" s="1266">
        <f t="shared" si="356"/>
        <v>0</v>
      </c>
      <c r="M545" s="1267">
        <f t="shared" si="357"/>
        <v>0</v>
      </c>
      <c r="N545" s="1268">
        <f t="shared" si="376"/>
        <v>0</v>
      </c>
      <c r="O545" s="836" t="str">
        <f>IFERROR(VLOOKUP(G545,Proveedores!B:D,3,0)," ")</f>
        <v xml:space="preserve"> </v>
      </c>
      <c r="P545" s="836"/>
      <c r="Q545" s="1127" t="e">
        <f t="shared" si="358"/>
        <v>#N/A</v>
      </c>
      <c r="R545" s="1127" t="b">
        <f t="shared" si="369"/>
        <v>0</v>
      </c>
      <c r="S545" s="1127" t="e">
        <f t="shared" si="359"/>
        <v>#N/A</v>
      </c>
      <c r="T545" s="1127" t="b">
        <f t="shared" si="370"/>
        <v>0</v>
      </c>
      <c r="U545" s="1127" t="e">
        <f t="shared" si="360"/>
        <v>#N/A</v>
      </c>
      <c r="V545" s="1127" t="e">
        <f t="shared" si="371"/>
        <v>#N/A</v>
      </c>
      <c r="W545" s="1127" t="e">
        <f>IF(F545="Offiho",J545,IF(_xlfn.XLOOKUP(F545,Proveedores!A$2:A$50,Proveedores!E$2:E$50,"")="Nacional",(J545/0.5)+(V545*H545),((J545/0.3/0.5)+(V545*H545))))</f>
        <v>#N/A</v>
      </c>
      <c r="X545" s="1127" t="e">
        <f t="shared" si="361"/>
        <v>#N/A</v>
      </c>
      <c r="Y545" s="1126" t="b">
        <f t="shared" si="362"/>
        <v>0</v>
      </c>
      <c r="Z545" s="43">
        <v>0</v>
      </c>
      <c r="AA545" s="1219" t="e">
        <f t="shared" si="372"/>
        <v>#N/A</v>
      </c>
      <c r="AB545" s="1219" t="e">
        <f t="shared" si="373"/>
        <v>#N/A</v>
      </c>
      <c r="AC545" s="1219" t="e">
        <f t="shared" si="363"/>
        <v>#N/A</v>
      </c>
      <c r="AD545" s="1126" t="e">
        <f t="shared" si="374"/>
        <v>#N/A</v>
      </c>
      <c r="AE545" s="1217" t="e">
        <f t="shared" si="364"/>
        <v>#N/A</v>
      </c>
      <c r="AF545" s="1220" t="e">
        <f t="shared" si="365"/>
        <v>#N/A</v>
      </c>
      <c r="AG545" s="1176" t="e">
        <f t="shared" si="366"/>
        <v>#N/A</v>
      </c>
      <c r="AH545" s="1221" t="e">
        <f t="shared" si="375"/>
        <v>#N/A</v>
      </c>
    </row>
    <row r="546" spans="1:34" ht="15.5">
      <c r="A546" s="1216" t="b">
        <f t="shared" si="354"/>
        <v>1</v>
      </c>
      <c r="B546" s="1217" t="b">
        <f t="shared" si="367"/>
        <v>1</v>
      </c>
      <c r="C546" s="1218" t="str">
        <f t="shared" si="368"/>
        <v>Dólares</v>
      </c>
      <c r="D546" s="44"/>
      <c r="E546" s="836"/>
      <c r="F546" s="50"/>
      <c r="G546" s="50" t="str">
        <f t="shared" si="355"/>
        <v xml:space="preserve"> </v>
      </c>
      <c r="H546" s="45">
        <v>0</v>
      </c>
      <c r="I546" s="49" t="str">
        <f>IFERROR(VLOOKUP(G546,Proveedores!B:C,2,0)," ")</f>
        <v xml:space="preserve"> </v>
      </c>
      <c r="J546" s="838">
        <v>0</v>
      </c>
      <c r="K546" s="1124"/>
      <c r="L546" s="1266">
        <f t="shared" si="356"/>
        <v>0</v>
      </c>
      <c r="M546" s="1267">
        <f t="shared" si="357"/>
        <v>0</v>
      </c>
      <c r="N546" s="1268">
        <f t="shared" si="376"/>
        <v>0</v>
      </c>
      <c r="O546" s="836" t="str">
        <f>IFERROR(VLOOKUP(G546,Proveedores!B:D,3,0)," ")</f>
        <v xml:space="preserve"> </v>
      </c>
      <c r="P546" s="836"/>
      <c r="Q546" s="1127" t="e">
        <f t="shared" si="358"/>
        <v>#N/A</v>
      </c>
      <c r="R546" s="1127" t="b">
        <f t="shared" si="369"/>
        <v>0</v>
      </c>
      <c r="S546" s="1127" t="e">
        <f t="shared" si="359"/>
        <v>#N/A</v>
      </c>
      <c r="T546" s="1127" t="b">
        <f t="shared" si="370"/>
        <v>0</v>
      </c>
      <c r="U546" s="1127" t="e">
        <f t="shared" si="360"/>
        <v>#N/A</v>
      </c>
      <c r="V546" s="1127" t="e">
        <f t="shared" si="371"/>
        <v>#N/A</v>
      </c>
      <c r="W546" s="1127" t="e">
        <f>IF(F546="Offiho",J546,IF(_xlfn.XLOOKUP(F546,Proveedores!A$2:A$50,Proveedores!E$2:E$50,"")="Nacional",(J546/0.5)+(V546*H546),((J546/0.3/0.5)+(V546*H546))))</f>
        <v>#N/A</v>
      </c>
      <c r="X546" s="1127" t="e">
        <f t="shared" si="361"/>
        <v>#N/A</v>
      </c>
      <c r="Y546" s="1126" t="b">
        <f t="shared" si="362"/>
        <v>0</v>
      </c>
      <c r="Z546" s="43">
        <v>0</v>
      </c>
      <c r="AA546" s="1219" t="e">
        <f t="shared" si="372"/>
        <v>#N/A</v>
      </c>
      <c r="AB546" s="1219" t="e">
        <f t="shared" si="373"/>
        <v>#N/A</v>
      </c>
      <c r="AC546" s="1219" t="e">
        <f t="shared" si="363"/>
        <v>#N/A</v>
      </c>
      <c r="AD546" s="1126" t="e">
        <f t="shared" si="374"/>
        <v>#N/A</v>
      </c>
      <c r="AE546" s="1217" t="e">
        <f t="shared" si="364"/>
        <v>#N/A</v>
      </c>
      <c r="AF546" s="1220" t="e">
        <f t="shared" si="365"/>
        <v>#N/A</v>
      </c>
      <c r="AG546" s="1176" t="e">
        <f t="shared" si="366"/>
        <v>#N/A</v>
      </c>
      <c r="AH546" s="1221" t="e">
        <f t="shared" si="375"/>
        <v>#N/A</v>
      </c>
    </row>
    <row r="547" spans="1:34" ht="15.5">
      <c r="A547" s="1216" t="b">
        <f t="shared" si="354"/>
        <v>1</v>
      </c>
      <c r="B547" s="1217" t="b">
        <f t="shared" si="367"/>
        <v>1</v>
      </c>
      <c r="C547" s="1218" t="str">
        <f t="shared" si="368"/>
        <v>Dólares</v>
      </c>
      <c r="D547" s="44"/>
      <c r="E547" s="836"/>
      <c r="F547" s="50"/>
      <c r="G547" s="50" t="str">
        <f t="shared" si="355"/>
        <v xml:space="preserve"> </v>
      </c>
      <c r="H547" s="45">
        <v>0</v>
      </c>
      <c r="I547" s="49" t="str">
        <f>IFERROR(VLOOKUP(G547,Proveedores!B:C,2,0)," ")</f>
        <v xml:space="preserve"> </v>
      </c>
      <c r="J547" s="838">
        <v>0</v>
      </c>
      <c r="K547" s="1124"/>
      <c r="L547" s="1266">
        <f t="shared" si="356"/>
        <v>0</v>
      </c>
      <c r="M547" s="1267">
        <f t="shared" si="357"/>
        <v>0</v>
      </c>
      <c r="N547" s="1268">
        <f t="shared" si="376"/>
        <v>0</v>
      </c>
      <c r="O547" s="836" t="str">
        <f>IFERROR(VLOOKUP(G547,Proveedores!B:D,3,0)," ")</f>
        <v xml:space="preserve"> </v>
      </c>
      <c r="P547" s="836"/>
      <c r="Q547" s="1127" t="e">
        <f t="shared" si="358"/>
        <v>#N/A</v>
      </c>
      <c r="R547" s="1127" t="b">
        <f t="shared" si="369"/>
        <v>0</v>
      </c>
      <c r="S547" s="1127" t="e">
        <f t="shared" si="359"/>
        <v>#N/A</v>
      </c>
      <c r="T547" s="1127" t="b">
        <f t="shared" si="370"/>
        <v>0</v>
      </c>
      <c r="U547" s="1127" t="e">
        <f t="shared" si="360"/>
        <v>#N/A</v>
      </c>
      <c r="V547" s="1127" t="e">
        <f t="shared" si="371"/>
        <v>#N/A</v>
      </c>
      <c r="W547" s="1127" t="e">
        <f>IF(F547="Offiho",J547,IF(_xlfn.XLOOKUP(F547,Proveedores!A$2:A$50,Proveedores!E$2:E$50,"")="Nacional",(J547/0.5)+(V547*H547),((J547/0.3/0.5)+(V547*H547))))</f>
        <v>#N/A</v>
      </c>
      <c r="X547" s="1127" t="e">
        <f t="shared" si="361"/>
        <v>#N/A</v>
      </c>
      <c r="Y547" s="1126" t="b">
        <f t="shared" si="362"/>
        <v>0</v>
      </c>
      <c r="Z547" s="43">
        <v>0</v>
      </c>
      <c r="AA547" s="1219" t="e">
        <f t="shared" si="372"/>
        <v>#N/A</v>
      </c>
      <c r="AB547" s="1219" t="e">
        <f t="shared" si="373"/>
        <v>#N/A</v>
      </c>
      <c r="AC547" s="1219" t="e">
        <f t="shared" si="363"/>
        <v>#N/A</v>
      </c>
      <c r="AD547" s="1126" t="e">
        <f t="shared" si="374"/>
        <v>#N/A</v>
      </c>
      <c r="AE547" s="1217" t="e">
        <f t="shared" si="364"/>
        <v>#N/A</v>
      </c>
      <c r="AF547" s="1220" t="e">
        <f t="shared" si="365"/>
        <v>#N/A</v>
      </c>
      <c r="AG547" s="1176" t="e">
        <f t="shared" si="366"/>
        <v>#N/A</v>
      </c>
      <c r="AH547" s="1221" t="e">
        <f t="shared" si="375"/>
        <v>#N/A</v>
      </c>
    </row>
    <row r="548" spans="1:34" ht="15.5">
      <c r="A548" s="1216" t="b">
        <f t="shared" si="354"/>
        <v>1</v>
      </c>
      <c r="B548" s="1217" t="b">
        <f t="shared" si="367"/>
        <v>1</v>
      </c>
      <c r="C548" s="1218" t="str">
        <f t="shared" si="368"/>
        <v>Dólares</v>
      </c>
      <c r="D548" s="44"/>
      <c r="E548" s="836"/>
      <c r="F548" s="50"/>
      <c r="G548" s="50" t="str">
        <f t="shared" si="355"/>
        <v xml:space="preserve"> </v>
      </c>
      <c r="H548" s="45">
        <v>0</v>
      </c>
      <c r="I548" s="49" t="str">
        <f>IFERROR(VLOOKUP(G548,Proveedores!B:C,2,0)," ")</f>
        <v xml:space="preserve"> </v>
      </c>
      <c r="J548" s="838">
        <v>0</v>
      </c>
      <c r="K548" s="1124"/>
      <c r="L548" s="1266">
        <f t="shared" si="356"/>
        <v>0</v>
      </c>
      <c r="M548" s="1267">
        <f t="shared" si="357"/>
        <v>0</v>
      </c>
      <c r="N548" s="1268">
        <f t="shared" si="376"/>
        <v>0</v>
      </c>
      <c r="O548" s="836" t="str">
        <f>IFERROR(VLOOKUP(G548,Proveedores!B:D,3,0)," ")</f>
        <v xml:space="preserve"> </v>
      </c>
      <c r="P548" s="836"/>
      <c r="Q548" s="1127" t="e">
        <f t="shared" si="358"/>
        <v>#N/A</v>
      </c>
      <c r="R548" s="1127" t="b">
        <f t="shared" si="369"/>
        <v>0</v>
      </c>
      <c r="S548" s="1127" t="e">
        <f t="shared" si="359"/>
        <v>#N/A</v>
      </c>
      <c r="T548" s="1127" t="b">
        <f t="shared" si="370"/>
        <v>0</v>
      </c>
      <c r="U548" s="1127" t="e">
        <f t="shared" si="360"/>
        <v>#N/A</v>
      </c>
      <c r="V548" s="1127" t="e">
        <f t="shared" si="371"/>
        <v>#N/A</v>
      </c>
      <c r="W548" s="1127" t="e">
        <f>IF(F548="Offiho",J548,IF(_xlfn.XLOOKUP(F548,Proveedores!A$2:A$50,Proveedores!E$2:E$50,"")="Nacional",(J548/0.5)+(V548*H548),((J548/0.3/0.5)+(V548*H548))))</f>
        <v>#N/A</v>
      </c>
      <c r="X548" s="1127" t="e">
        <f t="shared" si="361"/>
        <v>#N/A</v>
      </c>
      <c r="Y548" s="1126" t="b">
        <f t="shared" si="362"/>
        <v>0</v>
      </c>
      <c r="Z548" s="43">
        <v>0</v>
      </c>
      <c r="AA548" s="1219" t="e">
        <f t="shared" si="372"/>
        <v>#N/A</v>
      </c>
      <c r="AB548" s="1219" t="e">
        <f t="shared" si="373"/>
        <v>#N/A</v>
      </c>
      <c r="AC548" s="1219" t="e">
        <f t="shared" si="363"/>
        <v>#N/A</v>
      </c>
      <c r="AD548" s="1126" t="e">
        <f t="shared" si="374"/>
        <v>#N/A</v>
      </c>
      <c r="AE548" s="1217" t="e">
        <f t="shared" si="364"/>
        <v>#N/A</v>
      </c>
      <c r="AF548" s="1220" t="e">
        <f t="shared" si="365"/>
        <v>#N/A</v>
      </c>
      <c r="AG548" s="1176" t="e">
        <f t="shared" si="366"/>
        <v>#N/A</v>
      </c>
      <c r="AH548" s="1221" t="e">
        <f t="shared" si="375"/>
        <v>#N/A</v>
      </c>
    </row>
    <row r="549" spans="1:34" ht="15.5">
      <c r="A549" s="1216" t="b">
        <f t="shared" si="354"/>
        <v>1</v>
      </c>
      <c r="B549" s="1217" t="b">
        <f t="shared" si="367"/>
        <v>1</v>
      </c>
      <c r="C549" s="1218" t="str">
        <f t="shared" si="368"/>
        <v>Dólares</v>
      </c>
      <c r="D549" s="46"/>
      <c r="E549" s="836"/>
      <c r="F549" s="50"/>
      <c r="G549" s="50" t="str">
        <f t="shared" si="355"/>
        <v xml:space="preserve"> </v>
      </c>
      <c r="H549" s="45">
        <v>0</v>
      </c>
      <c r="I549" s="49" t="str">
        <f>IFERROR(VLOOKUP(G549,Proveedores!B:C,2,0)," ")</f>
        <v xml:space="preserve"> </v>
      </c>
      <c r="J549" s="838">
        <v>0</v>
      </c>
      <c r="K549" s="1124"/>
      <c r="L549" s="1266">
        <f t="shared" si="356"/>
        <v>0</v>
      </c>
      <c r="M549" s="1267">
        <f t="shared" si="357"/>
        <v>0</v>
      </c>
      <c r="N549" s="1268">
        <f t="shared" si="376"/>
        <v>0</v>
      </c>
      <c r="O549" s="836" t="str">
        <f>IFERROR(VLOOKUP(G549,Proveedores!B:D,3,0)," ")</f>
        <v xml:space="preserve"> </v>
      </c>
      <c r="P549" s="836"/>
      <c r="Q549" s="1127" t="e">
        <f t="shared" si="358"/>
        <v>#N/A</v>
      </c>
      <c r="R549" s="1127" t="b">
        <f t="shared" si="369"/>
        <v>0</v>
      </c>
      <c r="S549" s="1127" t="e">
        <f t="shared" si="359"/>
        <v>#N/A</v>
      </c>
      <c r="T549" s="1127" t="b">
        <f t="shared" si="370"/>
        <v>0</v>
      </c>
      <c r="U549" s="1127" t="e">
        <f t="shared" si="360"/>
        <v>#N/A</v>
      </c>
      <c r="V549" s="1127" t="e">
        <f t="shared" si="371"/>
        <v>#N/A</v>
      </c>
      <c r="W549" s="1127" t="e">
        <f>IF(F549="Offiho",J549,IF(_xlfn.XLOOKUP(F549,Proveedores!A$2:A$50,Proveedores!E$2:E$50,"")="Nacional",(J549/0.5)+(V549*H549),((J549/0.3/0.5)+(V549*H549))))</f>
        <v>#N/A</v>
      </c>
      <c r="X549" s="1127" t="e">
        <f t="shared" si="361"/>
        <v>#N/A</v>
      </c>
      <c r="Y549" s="1126" t="b">
        <f t="shared" si="362"/>
        <v>0</v>
      </c>
      <c r="Z549" s="43">
        <v>0</v>
      </c>
      <c r="AA549" s="1219" t="e">
        <f t="shared" si="372"/>
        <v>#N/A</v>
      </c>
      <c r="AB549" s="1219" t="e">
        <f t="shared" si="373"/>
        <v>#N/A</v>
      </c>
      <c r="AC549" s="1219" t="e">
        <f t="shared" si="363"/>
        <v>#N/A</v>
      </c>
      <c r="AD549" s="1126" t="e">
        <f t="shared" si="374"/>
        <v>#N/A</v>
      </c>
      <c r="AE549" s="1217" t="e">
        <f t="shared" si="364"/>
        <v>#N/A</v>
      </c>
      <c r="AF549" s="1220" t="e">
        <f t="shared" si="365"/>
        <v>#N/A</v>
      </c>
      <c r="AG549" s="1176" t="e">
        <f t="shared" si="366"/>
        <v>#N/A</v>
      </c>
      <c r="AH549" s="1221" t="e">
        <f t="shared" si="375"/>
        <v>#N/A</v>
      </c>
    </row>
    <row r="550" spans="1:34" ht="15.5">
      <c r="A550" s="1216" t="b">
        <f t="shared" si="354"/>
        <v>1</v>
      </c>
      <c r="B550" s="1217" t="b">
        <f t="shared" si="367"/>
        <v>1</v>
      </c>
      <c r="C550" s="1218" t="str">
        <f t="shared" si="368"/>
        <v>Dólares</v>
      </c>
      <c r="D550" s="46"/>
      <c r="E550" s="836"/>
      <c r="F550" s="50"/>
      <c r="G550" s="50" t="str">
        <f t="shared" si="355"/>
        <v xml:space="preserve"> </v>
      </c>
      <c r="H550" s="45">
        <v>0</v>
      </c>
      <c r="I550" s="49" t="str">
        <f>IFERROR(VLOOKUP(G550,Proveedores!B:C,2,0)," ")</f>
        <v xml:space="preserve"> </v>
      </c>
      <c r="J550" s="838">
        <v>0</v>
      </c>
      <c r="K550" s="1124"/>
      <c r="L550" s="1266">
        <f t="shared" si="356"/>
        <v>0</v>
      </c>
      <c r="M550" s="1267">
        <f t="shared" si="357"/>
        <v>0</v>
      </c>
      <c r="N550" s="1268">
        <f t="shared" si="376"/>
        <v>0</v>
      </c>
      <c r="O550" s="836" t="str">
        <f>IFERROR(VLOOKUP(G550,Proveedores!B:D,3,0)," ")</f>
        <v xml:space="preserve"> </v>
      </c>
      <c r="P550" s="836"/>
      <c r="Q550" s="1127" t="e">
        <f t="shared" si="358"/>
        <v>#N/A</v>
      </c>
      <c r="R550" s="1127" t="b">
        <f t="shared" si="369"/>
        <v>0</v>
      </c>
      <c r="S550" s="1127" t="e">
        <f t="shared" si="359"/>
        <v>#N/A</v>
      </c>
      <c r="T550" s="1127" t="b">
        <f t="shared" si="370"/>
        <v>0</v>
      </c>
      <c r="U550" s="1127" t="e">
        <f t="shared" si="360"/>
        <v>#N/A</v>
      </c>
      <c r="V550" s="1127" t="e">
        <f t="shared" si="371"/>
        <v>#N/A</v>
      </c>
      <c r="W550" s="1127" t="e">
        <f>IF(F550="Offiho",J550,IF(_xlfn.XLOOKUP(F550,Proveedores!A$2:A$50,Proveedores!E$2:E$50,"")="Nacional",(J550/0.5)+(V550*H550),((J550/0.3/0.5)+(V550*H550))))</f>
        <v>#N/A</v>
      </c>
      <c r="X550" s="1127" t="e">
        <f t="shared" si="361"/>
        <v>#N/A</v>
      </c>
      <c r="Y550" s="1126" t="b">
        <f t="shared" si="362"/>
        <v>0</v>
      </c>
      <c r="Z550" s="43">
        <v>0</v>
      </c>
      <c r="AA550" s="1219" t="e">
        <f t="shared" si="372"/>
        <v>#N/A</v>
      </c>
      <c r="AB550" s="1219" t="e">
        <f t="shared" si="373"/>
        <v>#N/A</v>
      </c>
      <c r="AC550" s="1219" t="e">
        <f t="shared" si="363"/>
        <v>#N/A</v>
      </c>
      <c r="AD550" s="1126" t="e">
        <f t="shared" si="374"/>
        <v>#N/A</v>
      </c>
      <c r="AE550" s="1217" t="e">
        <f t="shared" si="364"/>
        <v>#N/A</v>
      </c>
      <c r="AF550" s="1220" t="e">
        <f t="shared" si="365"/>
        <v>#N/A</v>
      </c>
      <c r="AG550" s="1176" t="e">
        <f t="shared" si="366"/>
        <v>#N/A</v>
      </c>
      <c r="AH550" s="1221" t="e">
        <f t="shared" si="375"/>
        <v>#N/A</v>
      </c>
    </row>
    <row r="551" spans="1:34" ht="15.5">
      <c r="A551" s="1216" t="b">
        <f t="shared" si="354"/>
        <v>1</v>
      </c>
      <c r="B551" s="1217" t="b">
        <f t="shared" si="367"/>
        <v>1</v>
      </c>
      <c r="C551" s="1218" t="str">
        <f t="shared" si="368"/>
        <v>Dólares</v>
      </c>
      <c r="D551" s="46"/>
      <c r="E551" s="836"/>
      <c r="F551" s="50"/>
      <c r="G551" s="50" t="str">
        <f t="shared" si="355"/>
        <v xml:space="preserve"> </v>
      </c>
      <c r="H551" s="45">
        <v>0</v>
      </c>
      <c r="I551" s="49" t="str">
        <f>IFERROR(VLOOKUP(G551,Proveedores!B:C,2,0)," ")</f>
        <v xml:space="preserve"> </v>
      </c>
      <c r="J551" s="838">
        <v>0</v>
      </c>
      <c r="K551" s="1124"/>
      <c r="L551" s="1266">
        <f t="shared" si="356"/>
        <v>0</v>
      </c>
      <c r="M551" s="1267">
        <f t="shared" si="357"/>
        <v>0</v>
      </c>
      <c r="N551" s="1268">
        <f t="shared" si="376"/>
        <v>0</v>
      </c>
      <c r="O551" s="836" t="str">
        <f>IFERROR(VLOOKUP(G551,Proveedores!B:D,3,0)," ")</f>
        <v xml:space="preserve"> </v>
      </c>
      <c r="P551" s="836"/>
      <c r="Q551" s="1127" t="e">
        <f t="shared" si="358"/>
        <v>#N/A</v>
      </c>
      <c r="R551" s="1127" t="b">
        <f t="shared" si="369"/>
        <v>0</v>
      </c>
      <c r="S551" s="1127" t="e">
        <f t="shared" si="359"/>
        <v>#N/A</v>
      </c>
      <c r="T551" s="1127" t="b">
        <f t="shared" si="370"/>
        <v>0</v>
      </c>
      <c r="U551" s="1127" t="e">
        <f t="shared" si="360"/>
        <v>#N/A</v>
      </c>
      <c r="V551" s="1127" t="e">
        <f t="shared" si="371"/>
        <v>#N/A</v>
      </c>
      <c r="W551" s="1127" t="e">
        <f>IF(F551="Offiho",J551,IF(_xlfn.XLOOKUP(F551,Proveedores!A$2:A$50,Proveedores!E$2:E$50,"")="Nacional",(J551/0.5)+(V551*H551),((J551/0.3/0.5)+(V551*H551))))</f>
        <v>#N/A</v>
      </c>
      <c r="X551" s="1127" t="e">
        <f t="shared" si="361"/>
        <v>#N/A</v>
      </c>
      <c r="Y551" s="1126" t="b">
        <f t="shared" si="362"/>
        <v>0</v>
      </c>
      <c r="Z551" s="43">
        <v>0</v>
      </c>
      <c r="AA551" s="1219" t="e">
        <f t="shared" si="372"/>
        <v>#N/A</v>
      </c>
      <c r="AB551" s="1219" t="e">
        <f t="shared" si="373"/>
        <v>#N/A</v>
      </c>
      <c r="AC551" s="1219" t="e">
        <f t="shared" si="363"/>
        <v>#N/A</v>
      </c>
      <c r="AD551" s="1126" t="e">
        <f t="shared" si="374"/>
        <v>#N/A</v>
      </c>
      <c r="AE551" s="1217" t="e">
        <f t="shared" si="364"/>
        <v>#N/A</v>
      </c>
      <c r="AF551" s="1220" t="e">
        <f t="shared" si="365"/>
        <v>#N/A</v>
      </c>
      <c r="AG551" s="1176" t="e">
        <f t="shared" si="366"/>
        <v>#N/A</v>
      </c>
      <c r="AH551" s="1221" t="e">
        <f t="shared" si="375"/>
        <v>#N/A</v>
      </c>
    </row>
    <row r="552" spans="1:34" ht="15.5">
      <c r="A552" s="1216" t="b">
        <f t="shared" si="354"/>
        <v>1</v>
      </c>
      <c r="B552" s="1217" t="b">
        <f t="shared" si="367"/>
        <v>1</v>
      </c>
      <c r="C552" s="1218" t="str">
        <f t="shared" si="368"/>
        <v>Dólares</v>
      </c>
      <c r="D552" s="46"/>
      <c r="E552" s="836"/>
      <c r="F552" s="50"/>
      <c r="G552" s="50" t="str">
        <f t="shared" si="355"/>
        <v xml:space="preserve"> </v>
      </c>
      <c r="H552" s="45">
        <v>0</v>
      </c>
      <c r="I552" s="49" t="str">
        <f>IFERROR(VLOOKUP(G552,Proveedores!B:C,2,0)," ")</f>
        <v xml:space="preserve"> </v>
      </c>
      <c r="J552" s="838">
        <v>0</v>
      </c>
      <c r="K552" s="1124"/>
      <c r="L552" s="1266">
        <f t="shared" si="356"/>
        <v>0</v>
      </c>
      <c r="M552" s="1267">
        <f t="shared" si="357"/>
        <v>0</v>
      </c>
      <c r="N552" s="1268">
        <f t="shared" si="376"/>
        <v>0</v>
      </c>
      <c r="O552" s="836" t="str">
        <f>IFERROR(VLOOKUP(G552,Proveedores!B:D,3,0)," ")</f>
        <v xml:space="preserve"> </v>
      </c>
      <c r="P552" s="836"/>
      <c r="Q552" s="1127" t="e">
        <f t="shared" si="358"/>
        <v>#N/A</v>
      </c>
      <c r="R552" s="1127" t="b">
        <f t="shared" si="369"/>
        <v>0</v>
      </c>
      <c r="S552" s="1127" t="e">
        <f t="shared" si="359"/>
        <v>#N/A</v>
      </c>
      <c r="T552" s="1127" t="b">
        <f t="shared" si="370"/>
        <v>0</v>
      </c>
      <c r="U552" s="1127" t="e">
        <f t="shared" si="360"/>
        <v>#N/A</v>
      </c>
      <c r="V552" s="1127" t="e">
        <f t="shared" si="371"/>
        <v>#N/A</v>
      </c>
      <c r="W552" s="1127" t="e">
        <f>IF(F552="Offiho",J552,IF(_xlfn.XLOOKUP(F552,Proveedores!A$2:A$50,Proveedores!E$2:E$50,"")="Nacional",(J552/0.5)+(V552*H552),((J552/0.3/0.5)+(V552*H552))))</f>
        <v>#N/A</v>
      </c>
      <c r="X552" s="1127" t="e">
        <f t="shared" si="361"/>
        <v>#N/A</v>
      </c>
      <c r="Y552" s="1126" t="b">
        <f t="shared" si="362"/>
        <v>0</v>
      </c>
      <c r="Z552" s="43">
        <v>0</v>
      </c>
      <c r="AA552" s="1219" t="e">
        <f t="shared" si="372"/>
        <v>#N/A</v>
      </c>
      <c r="AB552" s="1219" t="e">
        <f t="shared" si="373"/>
        <v>#N/A</v>
      </c>
      <c r="AC552" s="1219" t="e">
        <f t="shared" si="363"/>
        <v>#N/A</v>
      </c>
      <c r="AD552" s="1126" t="e">
        <f t="shared" si="374"/>
        <v>#N/A</v>
      </c>
      <c r="AE552" s="1217" t="e">
        <f t="shared" si="364"/>
        <v>#N/A</v>
      </c>
      <c r="AF552" s="1220" t="e">
        <f t="shared" si="365"/>
        <v>#N/A</v>
      </c>
      <c r="AG552" s="1176" t="e">
        <f t="shared" si="366"/>
        <v>#N/A</v>
      </c>
      <c r="AH552" s="1221" t="e">
        <f t="shared" si="375"/>
        <v>#N/A</v>
      </c>
    </row>
    <row r="553" spans="1:34" ht="15.5">
      <c r="A553" s="1216" t="b">
        <f t="shared" si="354"/>
        <v>1</v>
      </c>
      <c r="B553" s="1217" t="b">
        <f t="shared" si="367"/>
        <v>1</v>
      </c>
      <c r="C553" s="1218" t="str">
        <f t="shared" si="368"/>
        <v>Dólares</v>
      </c>
      <c r="D553" s="46"/>
      <c r="E553" s="836"/>
      <c r="F553" s="50"/>
      <c r="G553" s="50" t="str">
        <f t="shared" si="355"/>
        <v xml:space="preserve"> </v>
      </c>
      <c r="H553" s="45">
        <v>0</v>
      </c>
      <c r="I553" s="49" t="str">
        <f>IFERROR(VLOOKUP(G553,Proveedores!B:C,2,0)," ")</f>
        <v xml:space="preserve"> </v>
      </c>
      <c r="J553" s="838">
        <v>0</v>
      </c>
      <c r="K553" s="1124"/>
      <c r="L553" s="1266">
        <f t="shared" si="356"/>
        <v>0</v>
      </c>
      <c r="M553" s="1267">
        <f t="shared" si="357"/>
        <v>0</v>
      </c>
      <c r="N553" s="1268">
        <f t="shared" si="376"/>
        <v>0</v>
      </c>
      <c r="O553" s="836" t="str">
        <f>IFERROR(VLOOKUP(G553,Proveedores!B:D,3,0)," ")</f>
        <v xml:space="preserve"> </v>
      </c>
      <c r="P553" s="836"/>
      <c r="Q553" s="1127" t="e">
        <f t="shared" si="358"/>
        <v>#N/A</v>
      </c>
      <c r="R553" s="1127" t="b">
        <f t="shared" si="369"/>
        <v>0</v>
      </c>
      <c r="S553" s="1127" t="e">
        <f t="shared" si="359"/>
        <v>#N/A</v>
      </c>
      <c r="T553" s="1127" t="b">
        <f t="shared" si="370"/>
        <v>0</v>
      </c>
      <c r="U553" s="1127" t="e">
        <f t="shared" si="360"/>
        <v>#N/A</v>
      </c>
      <c r="V553" s="1127" t="e">
        <f t="shared" si="371"/>
        <v>#N/A</v>
      </c>
      <c r="W553" s="1127" t="e">
        <f>IF(F553="Offiho",J553,IF(_xlfn.XLOOKUP(F553,Proveedores!A$2:A$50,Proveedores!E$2:E$50,"")="Nacional",(J553/0.5)+(V553*H553),((J553/0.3/0.5)+(V553*H553))))</f>
        <v>#N/A</v>
      </c>
      <c r="X553" s="1127" t="e">
        <f t="shared" si="361"/>
        <v>#N/A</v>
      </c>
      <c r="Y553" s="1126" t="b">
        <f t="shared" si="362"/>
        <v>0</v>
      </c>
      <c r="Z553" s="43">
        <v>0</v>
      </c>
      <c r="AA553" s="1219" t="e">
        <f t="shared" si="372"/>
        <v>#N/A</v>
      </c>
      <c r="AB553" s="1219" t="e">
        <f t="shared" si="373"/>
        <v>#N/A</v>
      </c>
      <c r="AC553" s="1219" t="e">
        <f t="shared" si="363"/>
        <v>#N/A</v>
      </c>
      <c r="AD553" s="1126" t="e">
        <f t="shared" si="374"/>
        <v>#N/A</v>
      </c>
      <c r="AE553" s="1217" t="e">
        <f t="shared" si="364"/>
        <v>#N/A</v>
      </c>
      <c r="AF553" s="1220" t="e">
        <f t="shared" si="365"/>
        <v>#N/A</v>
      </c>
      <c r="AG553" s="1176" t="e">
        <f t="shared" si="366"/>
        <v>#N/A</v>
      </c>
      <c r="AH553" s="1221" t="e">
        <f t="shared" si="375"/>
        <v>#N/A</v>
      </c>
    </row>
    <row r="554" spans="1:34" ht="15.5">
      <c r="A554" s="1216" t="b">
        <f t="shared" si="354"/>
        <v>1</v>
      </c>
      <c r="B554" s="1217" t="b">
        <f t="shared" si="367"/>
        <v>1</v>
      </c>
      <c r="C554" s="1218" t="str">
        <f t="shared" si="368"/>
        <v>Dólares</v>
      </c>
      <c r="D554" s="46"/>
      <c r="E554" s="836"/>
      <c r="F554" s="50"/>
      <c r="G554" s="50" t="str">
        <f t="shared" si="355"/>
        <v xml:space="preserve"> </v>
      </c>
      <c r="H554" s="45">
        <v>0</v>
      </c>
      <c r="I554" s="49" t="str">
        <f>IFERROR(VLOOKUP(G554,Proveedores!B:C,2,0)," ")</f>
        <v xml:space="preserve"> </v>
      </c>
      <c r="J554" s="838">
        <v>0</v>
      </c>
      <c r="K554" s="1124"/>
      <c r="L554" s="1266">
        <f t="shared" si="356"/>
        <v>0</v>
      </c>
      <c r="M554" s="1267">
        <f t="shared" si="357"/>
        <v>0</v>
      </c>
      <c r="N554" s="1268">
        <f t="shared" si="376"/>
        <v>0</v>
      </c>
      <c r="O554" s="836" t="str">
        <f>IFERROR(VLOOKUP(G554,Proveedores!B:D,3,0)," ")</f>
        <v xml:space="preserve"> </v>
      </c>
      <c r="P554" s="836"/>
      <c r="Q554" s="1127" t="e">
        <f t="shared" si="358"/>
        <v>#N/A</v>
      </c>
      <c r="R554" s="1127" t="b">
        <f t="shared" si="369"/>
        <v>0</v>
      </c>
      <c r="S554" s="1127" t="e">
        <f t="shared" si="359"/>
        <v>#N/A</v>
      </c>
      <c r="T554" s="1127" t="b">
        <f t="shared" si="370"/>
        <v>0</v>
      </c>
      <c r="U554" s="1127" t="e">
        <f t="shared" si="360"/>
        <v>#N/A</v>
      </c>
      <c r="V554" s="1127" t="e">
        <f t="shared" si="371"/>
        <v>#N/A</v>
      </c>
      <c r="W554" s="1127" t="e">
        <f>IF(F554="Offiho",J554,IF(_xlfn.XLOOKUP(F554,Proveedores!A$2:A$50,Proveedores!E$2:E$50,"")="Nacional",(J554/0.5)+(V554*H554),((J554/0.3/0.5)+(V554*H554))))</f>
        <v>#N/A</v>
      </c>
      <c r="X554" s="1127" t="e">
        <f t="shared" si="361"/>
        <v>#N/A</v>
      </c>
      <c r="Y554" s="1126" t="b">
        <f t="shared" si="362"/>
        <v>0</v>
      </c>
      <c r="Z554" s="43">
        <v>0</v>
      </c>
      <c r="AA554" s="1219" t="e">
        <f t="shared" si="372"/>
        <v>#N/A</v>
      </c>
      <c r="AB554" s="1219" t="e">
        <f t="shared" si="373"/>
        <v>#N/A</v>
      </c>
      <c r="AC554" s="1219" t="e">
        <f t="shared" si="363"/>
        <v>#N/A</v>
      </c>
      <c r="AD554" s="1126" t="e">
        <f t="shared" si="374"/>
        <v>#N/A</v>
      </c>
      <c r="AE554" s="1217" t="e">
        <f t="shared" si="364"/>
        <v>#N/A</v>
      </c>
      <c r="AF554" s="1220" t="e">
        <f t="shared" si="365"/>
        <v>#N/A</v>
      </c>
      <c r="AG554" s="1176" t="e">
        <f t="shared" si="366"/>
        <v>#N/A</v>
      </c>
      <c r="AH554" s="1221" t="e">
        <f t="shared" si="375"/>
        <v>#N/A</v>
      </c>
    </row>
    <row r="555" spans="1:34" ht="15.5">
      <c r="A555" s="1216" t="b">
        <f t="shared" si="354"/>
        <v>1</v>
      </c>
      <c r="B555" s="1217" t="b">
        <f t="shared" si="367"/>
        <v>1</v>
      </c>
      <c r="C555" s="1218" t="str">
        <f t="shared" si="368"/>
        <v>Dólares</v>
      </c>
      <c r="D555" s="46"/>
      <c r="E555" s="836"/>
      <c r="F555" s="50"/>
      <c r="G555" s="50" t="str">
        <f t="shared" si="355"/>
        <v xml:space="preserve"> </v>
      </c>
      <c r="H555" s="45">
        <v>0</v>
      </c>
      <c r="I555" s="49" t="str">
        <f>IFERROR(VLOOKUP(G555,Proveedores!B:C,2,0)," ")</f>
        <v xml:space="preserve"> </v>
      </c>
      <c r="J555" s="838">
        <v>0</v>
      </c>
      <c r="K555" s="1124"/>
      <c r="L555" s="1266">
        <f t="shared" si="356"/>
        <v>0</v>
      </c>
      <c r="M555" s="1267">
        <f t="shared" si="357"/>
        <v>0</v>
      </c>
      <c r="N555" s="1268">
        <f t="shared" si="376"/>
        <v>0</v>
      </c>
      <c r="O555" s="836" t="str">
        <f>IFERROR(VLOOKUP(G555,Proveedores!B:D,3,0)," ")</f>
        <v xml:space="preserve"> </v>
      </c>
      <c r="P555" s="836"/>
      <c r="Q555" s="1127" t="e">
        <f t="shared" si="358"/>
        <v>#N/A</v>
      </c>
      <c r="R555" s="1127" t="b">
        <f t="shared" si="369"/>
        <v>0</v>
      </c>
      <c r="S555" s="1127" t="e">
        <f t="shared" si="359"/>
        <v>#N/A</v>
      </c>
      <c r="T555" s="1127" t="b">
        <f t="shared" si="370"/>
        <v>0</v>
      </c>
      <c r="U555" s="1127" t="e">
        <f t="shared" si="360"/>
        <v>#N/A</v>
      </c>
      <c r="V555" s="1127" t="e">
        <f t="shared" si="371"/>
        <v>#N/A</v>
      </c>
      <c r="W555" s="1127" t="e">
        <f>IF(F555="Offiho",J555,IF(_xlfn.XLOOKUP(F555,Proveedores!A$2:A$50,Proveedores!E$2:E$50,"")="Nacional",(J555/0.5)+(V555*H555),((J555/0.3/0.5)+(V555*H555))))</f>
        <v>#N/A</v>
      </c>
      <c r="X555" s="1127" t="e">
        <f t="shared" si="361"/>
        <v>#N/A</v>
      </c>
      <c r="Y555" s="1126" t="b">
        <f t="shared" si="362"/>
        <v>0</v>
      </c>
      <c r="Z555" s="43">
        <v>0</v>
      </c>
      <c r="AA555" s="1219" t="e">
        <f t="shared" si="372"/>
        <v>#N/A</v>
      </c>
      <c r="AB555" s="1219" t="e">
        <f t="shared" si="373"/>
        <v>#N/A</v>
      </c>
      <c r="AC555" s="1219" t="e">
        <f t="shared" si="363"/>
        <v>#N/A</v>
      </c>
      <c r="AD555" s="1126" t="e">
        <f t="shared" si="374"/>
        <v>#N/A</v>
      </c>
      <c r="AE555" s="1217" t="e">
        <f t="shared" si="364"/>
        <v>#N/A</v>
      </c>
      <c r="AF555" s="1220" t="e">
        <f t="shared" si="365"/>
        <v>#N/A</v>
      </c>
      <c r="AG555" s="1176" t="e">
        <f t="shared" si="366"/>
        <v>#N/A</v>
      </c>
      <c r="AH555" s="1221" t="e">
        <f t="shared" si="375"/>
        <v>#N/A</v>
      </c>
    </row>
    <row r="556" spans="1:34" ht="15.5">
      <c r="A556" s="1216" t="b">
        <f t="shared" si="354"/>
        <v>1</v>
      </c>
      <c r="B556" s="1217" t="b">
        <f t="shared" si="367"/>
        <v>1</v>
      </c>
      <c r="C556" s="1218" t="str">
        <f t="shared" si="368"/>
        <v>Dólares</v>
      </c>
      <c r="D556" s="47"/>
      <c r="E556" s="836"/>
      <c r="F556" s="50"/>
      <c r="G556" s="50" t="str">
        <f t="shared" si="355"/>
        <v xml:space="preserve"> </v>
      </c>
      <c r="H556" s="45">
        <v>0</v>
      </c>
      <c r="I556" s="49" t="str">
        <f>IFERROR(VLOOKUP(G556,Proveedores!B:C,2,0)," ")</f>
        <v xml:space="preserve"> </v>
      </c>
      <c r="J556" s="838">
        <v>0</v>
      </c>
      <c r="K556" s="1124"/>
      <c r="L556" s="1266">
        <f t="shared" si="356"/>
        <v>0</v>
      </c>
      <c r="M556" s="1267">
        <f t="shared" si="357"/>
        <v>0</v>
      </c>
      <c r="N556" s="1268">
        <f t="shared" si="376"/>
        <v>0</v>
      </c>
      <c r="O556" s="836" t="str">
        <f>IFERROR(VLOOKUP(G556,Proveedores!B:D,3,0)," ")</f>
        <v xml:space="preserve"> </v>
      </c>
      <c r="P556" s="836"/>
      <c r="Q556" s="1127" t="e">
        <f t="shared" si="358"/>
        <v>#N/A</v>
      </c>
      <c r="R556" s="1127" t="b">
        <f t="shared" si="369"/>
        <v>0</v>
      </c>
      <c r="S556" s="1127" t="e">
        <f t="shared" si="359"/>
        <v>#N/A</v>
      </c>
      <c r="T556" s="1127" t="b">
        <f t="shared" si="370"/>
        <v>0</v>
      </c>
      <c r="U556" s="1127" t="e">
        <f t="shared" si="360"/>
        <v>#N/A</v>
      </c>
      <c r="V556" s="1127" t="e">
        <f t="shared" si="371"/>
        <v>#N/A</v>
      </c>
      <c r="W556" s="1127" t="e">
        <f>IF(F556="Offiho",J556,IF(_xlfn.XLOOKUP(F556,Proveedores!A$2:A$50,Proveedores!E$2:E$50,"")="Nacional",(J556/0.5)+(V556*H556),((J556/0.3/0.5)+(V556*H556))))</f>
        <v>#N/A</v>
      </c>
      <c r="X556" s="1127" t="e">
        <f t="shared" si="361"/>
        <v>#N/A</v>
      </c>
      <c r="Y556" s="1126" t="b">
        <f t="shared" si="362"/>
        <v>0</v>
      </c>
      <c r="Z556" s="43">
        <v>0</v>
      </c>
      <c r="AA556" s="1219" t="e">
        <f t="shared" si="372"/>
        <v>#N/A</v>
      </c>
      <c r="AB556" s="1219" t="e">
        <f t="shared" si="373"/>
        <v>#N/A</v>
      </c>
      <c r="AC556" s="1219" t="e">
        <f t="shared" si="363"/>
        <v>#N/A</v>
      </c>
      <c r="AD556" s="1126" t="e">
        <f t="shared" si="374"/>
        <v>#N/A</v>
      </c>
      <c r="AE556" s="1217" t="e">
        <f t="shared" si="364"/>
        <v>#N/A</v>
      </c>
      <c r="AF556" s="1220" t="e">
        <f t="shared" si="365"/>
        <v>#N/A</v>
      </c>
      <c r="AG556" s="1176" t="e">
        <f t="shared" si="366"/>
        <v>#N/A</v>
      </c>
      <c r="AH556" s="1221" t="e">
        <f t="shared" si="375"/>
        <v>#N/A</v>
      </c>
    </row>
    <row r="557" spans="1:34" ht="15.5">
      <c r="A557" s="1216" t="b">
        <f t="shared" si="354"/>
        <v>1</v>
      </c>
      <c r="B557" s="1217" t="b">
        <f t="shared" si="367"/>
        <v>1</v>
      </c>
      <c r="C557" s="1218" t="str">
        <f t="shared" si="368"/>
        <v>Dólares</v>
      </c>
      <c r="D557" s="48"/>
      <c r="E557" s="836"/>
      <c r="F557" s="50"/>
      <c r="G557" s="50" t="str">
        <f t="shared" si="355"/>
        <v xml:space="preserve"> </v>
      </c>
      <c r="H557" s="45">
        <v>0</v>
      </c>
      <c r="I557" s="49" t="str">
        <f>IFERROR(VLOOKUP(G557,Proveedores!B:C,2,0)," ")</f>
        <v xml:space="preserve"> </v>
      </c>
      <c r="J557" s="838">
        <v>0</v>
      </c>
      <c r="K557" s="1124"/>
      <c r="L557" s="1266">
        <f t="shared" si="356"/>
        <v>0</v>
      </c>
      <c r="M557" s="1267">
        <f t="shared" si="357"/>
        <v>0</v>
      </c>
      <c r="N557" s="1268">
        <f t="shared" si="376"/>
        <v>0</v>
      </c>
      <c r="O557" s="836" t="str">
        <f>IFERROR(VLOOKUP(G557,Proveedores!B:D,3,0)," ")</f>
        <v xml:space="preserve"> </v>
      </c>
      <c r="P557" s="836"/>
      <c r="Q557" s="1127" t="e">
        <f t="shared" si="358"/>
        <v>#N/A</v>
      </c>
      <c r="R557" s="1127" t="b">
        <f t="shared" si="369"/>
        <v>0</v>
      </c>
      <c r="S557" s="1127" t="e">
        <f t="shared" si="359"/>
        <v>#N/A</v>
      </c>
      <c r="T557" s="1127" t="b">
        <f t="shared" si="370"/>
        <v>0</v>
      </c>
      <c r="U557" s="1127" t="e">
        <f t="shared" si="360"/>
        <v>#N/A</v>
      </c>
      <c r="V557" s="1127" t="e">
        <f t="shared" si="371"/>
        <v>#N/A</v>
      </c>
      <c r="W557" s="1127" t="e">
        <f>IF(F557="Offiho",J557,IF(_xlfn.XLOOKUP(F557,Proveedores!A$2:A$50,Proveedores!E$2:E$50,"")="Nacional",(J557/0.5)+(V557*H557),((J557/0.3/0.5)+(V557*H557))))</f>
        <v>#N/A</v>
      </c>
      <c r="X557" s="1127" t="e">
        <f t="shared" si="361"/>
        <v>#N/A</v>
      </c>
      <c r="Y557" s="1126" t="b">
        <f t="shared" si="362"/>
        <v>0</v>
      </c>
      <c r="Z557" s="43">
        <v>0</v>
      </c>
      <c r="AA557" s="1219" t="e">
        <f t="shared" si="372"/>
        <v>#N/A</v>
      </c>
      <c r="AB557" s="1219" t="e">
        <f t="shared" si="373"/>
        <v>#N/A</v>
      </c>
      <c r="AC557" s="1219" t="e">
        <f t="shared" si="363"/>
        <v>#N/A</v>
      </c>
      <c r="AD557" s="1126" t="e">
        <f t="shared" si="374"/>
        <v>#N/A</v>
      </c>
      <c r="AE557" s="1217" t="e">
        <f t="shared" si="364"/>
        <v>#N/A</v>
      </c>
      <c r="AF557" s="1220" t="e">
        <f t="shared" si="365"/>
        <v>#N/A</v>
      </c>
      <c r="AG557" s="1176" t="e">
        <f t="shared" si="366"/>
        <v>#N/A</v>
      </c>
      <c r="AH557" s="1221" t="e">
        <f t="shared" si="375"/>
        <v>#N/A</v>
      </c>
    </row>
    <row r="558" spans="1:34" ht="15.5">
      <c r="A558" s="1216" t="b">
        <f t="shared" si="354"/>
        <v>1</v>
      </c>
      <c r="B558" s="1217" t="b">
        <f t="shared" si="367"/>
        <v>1</v>
      </c>
      <c r="C558" s="1218" t="str">
        <f t="shared" si="368"/>
        <v>Dólares</v>
      </c>
      <c r="D558" s="48"/>
      <c r="E558" s="836"/>
      <c r="F558" s="50"/>
      <c r="G558" s="50" t="str">
        <f t="shared" si="355"/>
        <v xml:space="preserve"> </v>
      </c>
      <c r="H558" s="45">
        <v>0</v>
      </c>
      <c r="I558" s="49" t="str">
        <f>IFERROR(VLOOKUP(G558,Proveedores!B:C,2,0)," ")</f>
        <v xml:space="preserve"> </v>
      </c>
      <c r="J558" s="838">
        <v>0</v>
      </c>
      <c r="K558" s="1124"/>
      <c r="L558" s="1266">
        <f t="shared" si="356"/>
        <v>0</v>
      </c>
      <c r="M558" s="1267">
        <f t="shared" si="357"/>
        <v>0</v>
      </c>
      <c r="N558" s="1268">
        <f t="shared" si="376"/>
        <v>0</v>
      </c>
      <c r="O558" s="836" t="str">
        <f>IFERROR(VLOOKUP(G558,Proveedores!B:D,3,0)," ")</f>
        <v xml:space="preserve"> </v>
      </c>
      <c r="P558" s="836"/>
      <c r="Q558" s="1127" t="e">
        <f t="shared" si="358"/>
        <v>#N/A</v>
      </c>
      <c r="R558" s="1127" t="b">
        <f t="shared" si="369"/>
        <v>0</v>
      </c>
      <c r="S558" s="1127" t="e">
        <f t="shared" si="359"/>
        <v>#N/A</v>
      </c>
      <c r="T558" s="1127" t="b">
        <f t="shared" si="370"/>
        <v>0</v>
      </c>
      <c r="U558" s="1127" t="e">
        <f t="shared" si="360"/>
        <v>#N/A</v>
      </c>
      <c r="V558" s="1127" t="e">
        <f t="shared" si="371"/>
        <v>#N/A</v>
      </c>
      <c r="W558" s="1127" t="e">
        <f>IF(F558="Offiho",J558,IF(_xlfn.XLOOKUP(F558,Proveedores!A$2:A$50,Proveedores!E$2:E$50,"")="Nacional",(J558/0.5)+(V558*H558),((J558/0.3/0.5)+(V558*H558))))</f>
        <v>#N/A</v>
      </c>
      <c r="X558" s="1127" t="e">
        <f t="shared" si="361"/>
        <v>#N/A</v>
      </c>
      <c r="Y558" s="1126" t="b">
        <f t="shared" si="362"/>
        <v>0</v>
      </c>
      <c r="Z558" s="43">
        <v>0</v>
      </c>
      <c r="AA558" s="1219" t="e">
        <f t="shared" si="372"/>
        <v>#N/A</v>
      </c>
      <c r="AB558" s="1219" t="e">
        <f t="shared" si="373"/>
        <v>#N/A</v>
      </c>
      <c r="AC558" s="1219" t="e">
        <f t="shared" si="363"/>
        <v>#N/A</v>
      </c>
      <c r="AD558" s="1126" t="e">
        <f t="shared" si="374"/>
        <v>#N/A</v>
      </c>
      <c r="AE558" s="1217" t="e">
        <f t="shared" si="364"/>
        <v>#N/A</v>
      </c>
      <c r="AF558" s="1220" t="e">
        <f t="shared" si="365"/>
        <v>#N/A</v>
      </c>
      <c r="AG558" s="1176" t="e">
        <f t="shared" si="366"/>
        <v>#N/A</v>
      </c>
      <c r="AH558" s="1221" t="e">
        <f t="shared" si="375"/>
        <v>#N/A</v>
      </c>
    </row>
    <row r="559" spans="1:34" ht="15.5">
      <c r="A559" s="1216" t="b">
        <f t="shared" si="354"/>
        <v>1</v>
      </c>
      <c r="B559" s="1217" t="b">
        <f t="shared" si="367"/>
        <v>1</v>
      </c>
      <c r="C559" s="1218" t="str">
        <f t="shared" si="368"/>
        <v>Dólares</v>
      </c>
      <c r="D559" s="48"/>
      <c r="E559" s="836"/>
      <c r="F559" s="50"/>
      <c r="G559" s="50" t="str">
        <f t="shared" si="355"/>
        <v xml:space="preserve"> </v>
      </c>
      <c r="H559" s="45">
        <v>0</v>
      </c>
      <c r="I559" s="49" t="str">
        <f>IFERROR(VLOOKUP(G559,Proveedores!B:C,2,0)," ")</f>
        <v xml:space="preserve"> </v>
      </c>
      <c r="J559" s="838">
        <v>0</v>
      </c>
      <c r="K559" s="1124"/>
      <c r="L559" s="1266">
        <f t="shared" si="356"/>
        <v>0</v>
      </c>
      <c r="M559" s="1267">
        <f t="shared" si="357"/>
        <v>0</v>
      </c>
      <c r="N559" s="1268">
        <f t="shared" si="376"/>
        <v>0</v>
      </c>
      <c r="O559" s="836" t="str">
        <f>IFERROR(VLOOKUP(G559,Proveedores!B:D,3,0)," ")</f>
        <v xml:space="preserve"> </v>
      </c>
      <c r="P559" s="836"/>
      <c r="Q559" s="1127" t="e">
        <f t="shared" si="358"/>
        <v>#N/A</v>
      </c>
      <c r="R559" s="1127" t="b">
        <f t="shared" si="369"/>
        <v>0</v>
      </c>
      <c r="S559" s="1127" t="e">
        <f t="shared" si="359"/>
        <v>#N/A</v>
      </c>
      <c r="T559" s="1127" t="b">
        <f t="shared" si="370"/>
        <v>0</v>
      </c>
      <c r="U559" s="1127" t="e">
        <f t="shared" si="360"/>
        <v>#N/A</v>
      </c>
      <c r="V559" s="1127" t="e">
        <f t="shared" si="371"/>
        <v>#N/A</v>
      </c>
      <c r="W559" s="1127" t="e">
        <f>IF(F559="Offiho",J559,IF(_xlfn.XLOOKUP(F559,Proveedores!A$2:A$50,Proveedores!E$2:E$50,"")="Nacional",(J559/0.5)+(V559*H559),((J559/0.3/0.5)+(V559*H559))))</f>
        <v>#N/A</v>
      </c>
      <c r="X559" s="1127" t="e">
        <f t="shared" si="361"/>
        <v>#N/A</v>
      </c>
      <c r="Y559" s="1126" t="b">
        <f t="shared" si="362"/>
        <v>0</v>
      </c>
      <c r="Z559" s="43">
        <v>0</v>
      </c>
      <c r="AA559" s="1219" t="e">
        <f t="shared" si="372"/>
        <v>#N/A</v>
      </c>
      <c r="AB559" s="1219" t="e">
        <f t="shared" si="373"/>
        <v>#N/A</v>
      </c>
      <c r="AC559" s="1219" t="e">
        <f t="shared" si="363"/>
        <v>#N/A</v>
      </c>
      <c r="AD559" s="1126" t="e">
        <f t="shared" si="374"/>
        <v>#N/A</v>
      </c>
      <c r="AE559" s="1217" t="e">
        <f t="shared" si="364"/>
        <v>#N/A</v>
      </c>
      <c r="AF559" s="1220" t="e">
        <f t="shared" si="365"/>
        <v>#N/A</v>
      </c>
      <c r="AG559" s="1176" t="e">
        <f t="shared" si="366"/>
        <v>#N/A</v>
      </c>
      <c r="AH559" s="1221" t="e">
        <f t="shared" si="375"/>
        <v>#N/A</v>
      </c>
    </row>
    <row r="560" spans="1:34" ht="15.5">
      <c r="A560" s="1216" t="b">
        <f t="shared" si="354"/>
        <v>1</v>
      </c>
      <c r="B560" s="1217" t="b">
        <f t="shared" si="367"/>
        <v>1</v>
      </c>
      <c r="C560" s="1218" t="str">
        <f t="shared" si="368"/>
        <v>Dólares</v>
      </c>
      <c r="D560" s="48"/>
      <c r="E560" s="836"/>
      <c r="F560" s="50"/>
      <c r="G560" s="50" t="str">
        <f t="shared" si="355"/>
        <v xml:space="preserve"> </v>
      </c>
      <c r="H560" s="45">
        <v>0</v>
      </c>
      <c r="I560" s="49" t="str">
        <f>IFERROR(VLOOKUP(G560,Proveedores!B:C,2,0)," ")</f>
        <v xml:space="preserve"> </v>
      </c>
      <c r="J560" s="838">
        <v>0</v>
      </c>
      <c r="K560" s="1124"/>
      <c r="L560" s="1266">
        <f t="shared" si="356"/>
        <v>0</v>
      </c>
      <c r="M560" s="1267">
        <f t="shared" si="357"/>
        <v>0</v>
      </c>
      <c r="N560" s="1268">
        <f t="shared" si="376"/>
        <v>0</v>
      </c>
      <c r="O560" s="836" t="str">
        <f>IFERROR(VLOOKUP(G560,Proveedores!B:D,3,0)," ")</f>
        <v xml:space="preserve"> </v>
      </c>
      <c r="P560" s="836"/>
      <c r="Q560" s="1127" t="e">
        <f t="shared" si="358"/>
        <v>#N/A</v>
      </c>
      <c r="R560" s="1127" t="b">
        <f t="shared" si="369"/>
        <v>0</v>
      </c>
      <c r="S560" s="1127" t="e">
        <f t="shared" si="359"/>
        <v>#N/A</v>
      </c>
      <c r="T560" s="1127" t="b">
        <f t="shared" si="370"/>
        <v>0</v>
      </c>
      <c r="U560" s="1127" t="e">
        <f t="shared" si="360"/>
        <v>#N/A</v>
      </c>
      <c r="V560" s="1127" t="e">
        <f t="shared" si="371"/>
        <v>#N/A</v>
      </c>
      <c r="W560" s="1127" t="e">
        <f>IF(F560="Offiho",J560,IF(_xlfn.XLOOKUP(F560,Proveedores!A$2:A$50,Proveedores!E$2:E$50,"")="Nacional",(J560/0.5)+(V560*H560),((J560/0.3/0.5)+(V560*H560))))</f>
        <v>#N/A</v>
      </c>
      <c r="X560" s="1127" t="e">
        <f t="shared" si="361"/>
        <v>#N/A</v>
      </c>
      <c r="Y560" s="1126" t="b">
        <f t="shared" si="362"/>
        <v>0</v>
      </c>
      <c r="Z560" s="43">
        <v>0</v>
      </c>
      <c r="AA560" s="1219" t="e">
        <f t="shared" si="372"/>
        <v>#N/A</v>
      </c>
      <c r="AB560" s="1219" t="e">
        <f t="shared" si="373"/>
        <v>#N/A</v>
      </c>
      <c r="AC560" s="1219" t="e">
        <f t="shared" si="363"/>
        <v>#N/A</v>
      </c>
      <c r="AD560" s="1126" t="e">
        <f t="shared" si="374"/>
        <v>#N/A</v>
      </c>
      <c r="AE560" s="1217" t="e">
        <f t="shared" si="364"/>
        <v>#N/A</v>
      </c>
      <c r="AF560" s="1220" t="e">
        <f t="shared" si="365"/>
        <v>#N/A</v>
      </c>
      <c r="AG560" s="1176" t="e">
        <f t="shared" si="366"/>
        <v>#N/A</v>
      </c>
      <c r="AH560" s="1221" t="e">
        <f t="shared" si="375"/>
        <v>#N/A</v>
      </c>
    </row>
    <row r="561" spans="1:36" ht="15.5">
      <c r="A561" s="1216" t="b">
        <f t="shared" si="354"/>
        <v>1</v>
      </c>
      <c r="B561" s="1217" t="b">
        <f t="shared" si="367"/>
        <v>1</v>
      </c>
      <c r="C561" s="1218" t="str">
        <f t="shared" si="368"/>
        <v>Dólares</v>
      </c>
      <c r="D561" s="47"/>
      <c r="E561" s="836"/>
      <c r="F561" s="50"/>
      <c r="G561" s="50" t="str">
        <f t="shared" si="355"/>
        <v xml:space="preserve"> </v>
      </c>
      <c r="H561" s="45">
        <v>0</v>
      </c>
      <c r="I561" s="49" t="str">
        <f>IFERROR(VLOOKUP(G561,Proveedores!B:C,2,0)," ")</f>
        <v xml:space="preserve"> </v>
      </c>
      <c r="J561" s="838">
        <v>0</v>
      </c>
      <c r="K561" s="1124"/>
      <c r="L561" s="1266">
        <f t="shared" si="356"/>
        <v>0</v>
      </c>
      <c r="M561" s="1267">
        <f t="shared" si="357"/>
        <v>0</v>
      </c>
      <c r="N561" s="1268">
        <f t="shared" si="376"/>
        <v>0</v>
      </c>
      <c r="O561" s="836" t="str">
        <f>IFERROR(VLOOKUP(G561,Proveedores!B:D,3,0)," ")</f>
        <v xml:space="preserve"> </v>
      </c>
      <c r="P561" s="836"/>
      <c r="Q561" s="1127" t="e">
        <f t="shared" si="358"/>
        <v>#N/A</v>
      </c>
      <c r="R561" s="1127" t="b">
        <f t="shared" si="369"/>
        <v>0</v>
      </c>
      <c r="S561" s="1127" t="e">
        <f t="shared" si="359"/>
        <v>#N/A</v>
      </c>
      <c r="T561" s="1127" t="b">
        <f t="shared" si="370"/>
        <v>0</v>
      </c>
      <c r="U561" s="1127" t="e">
        <f t="shared" si="360"/>
        <v>#N/A</v>
      </c>
      <c r="V561" s="1127" t="e">
        <f t="shared" si="371"/>
        <v>#N/A</v>
      </c>
      <c r="W561" s="1127" t="e">
        <f>IF(F561="Offiho",J561,IF(_xlfn.XLOOKUP(F561,Proveedores!A$2:A$50,Proveedores!E$2:E$50,"")="Nacional",(J561/0.5)+(V561*H561),((J561/0.3/0.5)+(V561*H561))))</f>
        <v>#N/A</v>
      </c>
      <c r="X561" s="1127" t="e">
        <f t="shared" si="361"/>
        <v>#N/A</v>
      </c>
      <c r="Y561" s="1126" t="b">
        <f t="shared" si="362"/>
        <v>0</v>
      </c>
      <c r="Z561" s="43">
        <v>0</v>
      </c>
      <c r="AA561" s="1219" t="e">
        <f t="shared" si="372"/>
        <v>#N/A</v>
      </c>
      <c r="AB561" s="1219" t="e">
        <f t="shared" si="373"/>
        <v>#N/A</v>
      </c>
      <c r="AC561" s="1219" t="e">
        <f t="shared" si="363"/>
        <v>#N/A</v>
      </c>
      <c r="AD561" s="1126" t="e">
        <f t="shared" si="374"/>
        <v>#N/A</v>
      </c>
      <c r="AE561" s="1217" t="e">
        <f t="shared" si="364"/>
        <v>#N/A</v>
      </c>
      <c r="AF561" s="1220" t="e">
        <f t="shared" si="365"/>
        <v>#N/A</v>
      </c>
      <c r="AG561" s="1176" t="e">
        <f t="shared" si="366"/>
        <v>#N/A</v>
      </c>
      <c r="AH561" s="1221" t="e">
        <f t="shared" si="375"/>
        <v>#N/A</v>
      </c>
    </row>
    <row r="562" spans="1:36" ht="15.5">
      <c r="A562" s="1216" t="b">
        <f t="shared" si="354"/>
        <v>1</v>
      </c>
      <c r="B562" s="1217" t="b">
        <f t="shared" si="367"/>
        <v>1</v>
      </c>
      <c r="C562" s="1218" t="str">
        <f t="shared" si="368"/>
        <v>Dólares</v>
      </c>
      <c r="D562" s="47"/>
      <c r="E562" s="836"/>
      <c r="F562" s="50"/>
      <c r="G562" s="50" t="str">
        <f t="shared" si="355"/>
        <v xml:space="preserve"> </v>
      </c>
      <c r="H562" s="45">
        <v>0</v>
      </c>
      <c r="I562" s="49" t="str">
        <f>IFERROR(VLOOKUP(G562,Proveedores!B:C,2,0)," ")</f>
        <v xml:space="preserve"> </v>
      </c>
      <c r="J562" s="838">
        <v>0</v>
      </c>
      <c r="K562" s="1124"/>
      <c r="L562" s="1266">
        <f t="shared" si="356"/>
        <v>0</v>
      </c>
      <c r="M562" s="1267">
        <f t="shared" si="357"/>
        <v>0</v>
      </c>
      <c r="N562" s="1268">
        <f t="shared" si="376"/>
        <v>0</v>
      </c>
      <c r="O562" s="836" t="str">
        <f>IFERROR(VLOOKUP(G562,Proveedores!B:D,3,0)," ")</f>
        <v xml:space="preserve"> </v>
      </c>
      <c r="P562" s="836"/>
      <c r="Q562" s="1127" t="e">
        <f t="shared" si="358"/>
        <v>#N/A</v>
      </c>
      <c r="R562" s="1127" t="b">
        <f t="shared" si="369"/>
        <v>0</v>
      </c>
      <c r="S562" s="1127" t="e">
        <f t="shared" si="359"/>
        <v>#N/A</v>
      </c>
      <c r="T562" s="1127" t="b">
        <f t="shared" si="370"/>
        <v>0</v>
      </c>
      <c r="U562" s="1127" t="e">
        <f t="shared" si="360"/>
        <v>#N/A</v>
      </c>
      <c r="V562" s="1127" t="e">
        <f t="shared" si="371"/>
        <v>#N/A</v>
      </c>
      <c r="W562" s="1127" t="e">
        <f>IF(F562="Offiho",J562,IF(_xlfn.XLOOKUP(F562,Proveedores!A$2:A$50,Proveedores!E$2:E$50,"")="Nacional",(J562/0.5)+(V562*H562),((J562/0.3/0.5)+(V562*H562))))</f>
        <v>#N/A</v>
      </c>
      <c r="X562" s="1127" t="e">
        <f t="shared" si="361"/>
        <v>#N/A</v>
      </c>
      <c r="Y562" s="1126" t="b">
        <f t="shared" si="362"/>
        <v>0</v>
      </c>
      <c r="Z562" s="43">
        <v>0</v>
      </c>
      <c r="AA562" s="1219" t="e">
        <f t="shared" si="372"/>
        <v>#N/A</v>
      </c>
      <c r="AB562" s="1219" t="e">
        <f t="shared" si="373"/>
        <v>#N/A</v>
      </c>
      <c r="AC562" s="1219" t="e">
        <f t="shared" si="363"/>
        <v>#N/A</v>
      </c>
      <c r="AD562" s="1126" t="e">
        <f t="shared" si="374"/>
        <v>#N/A</v>
      </c>
      <c r="AE562" s="1217" t="e">
        <f t="shared" si="364"/>
        <v>#N/A</v>
      </c>
      <c r="AF562" s="1220" t="e">
        <f t="shared" si="365"/>
        <v>#N/A</v>
      </c>
      <c r="AG562" s="1176" t="e">
        <f t="shared" si="366"/>
        <v>#N/A</v>
      </c>
      <c r="AH562" s="1221" t="e">
        <f t="shared" si="375"/>
        <v>#N/A</v>
      </c>
    </row>
    <row r="563" spans="1:36" ht="15.5">
      <c r="A563" s="1216" t="b">
        <f t="shared" si="354"/>
        <v>1</v>
      </c>
      <c r="B563" s="1217" t="b">
        <f t="shared" si="367"/>
        <v>1</v>
      </c>
      <c r="C563" s="1218" t="str">
        <f t="shared" si="368"/>
        <v>Dólares</v>
      </c>
      <c r="D563" s="47"/>
      <c r="E563" s="836"/>
      <c r="F563" s="50"/>
      <c r="G563" s="50" t="str">
        <f t="shared" si="355"/>
        <v xml:space="preserve"> </v>
      </c>
      <c r="H563" s="45">
        <v>0</v>
      </c>
      <c r="I563" s="49" t="str">
        <f>IFERROR(VLOOKUP(G563,Proveedores!B:C,2,0)," ")</f>
        <v xml:space="preserve"> </v>
      </c>
      <c r="J563" s="838">
        <v>0</v>
      </c>
      <c r="K563" s="1124"/>
      <c r="L563" s="1266">
        <f t="shared" si="356"/>
        <v>0</v>
      </c>
      <c r="M563" s="1267">
        <f t="shared" si="357"/>
        <v>0</v>
      </c>
      <c r="N563" s="1268">
        <f t="shared" si="376"/>
        <v>0</v>
      </c>
      <c r="O563" s="836" t="str">
        <f>IFERROR(VLOOKUP(G563,Proveedores!B:D,3,0)," ")</f>
        <v xml:space="preserve"> </v>
      </c>
      <c r="P563" s="836"/>
      <c r="Q563" s="1127" t="e">
        <f t="shared" si="358"/>
        <v>#N/A</v>
      </c>
      <c r="R563" s="1127" t="b">
        <f t="shared" si="369"/>
        <v>0</v>
      </c>
      <c r="S563" s="1127" t="e">
        <f t="shared" si="359"/>
        <v>#N/A</v>
      </c>
      <c r="T563" s="1127" t="b">
        <f t="shared" si="370"/>
        <v>0</v>
      </c>
      <c r="U563" s="1127" t="e">
        <f t="shared" si="360"/>
        <v>#N/A</v>
      </c>
      <c r="V563" s="1127" t="e">
        <f t="shared" si="371"/>
        <v>#N/A</v>
      </c>
      <c r="W563" s="1127" t="e">
        <f>IF(F563="Offiho",J563,IF(_xlfn.XLOOKUP(F563,Proveedores!A$2:A$50,Proveedores!E$2:E$50,"")="Nacional",(J563/0.5)+(V563*H563),((J563/0.3/0.5)+(V563*H563))))</f>
        <v>#N/A</v>
      </c>
      <c r="X563" s="1127" t="e">
        <f t="shared" si="361"/>
        <v>#N/A</v>
      </c>
      <c r="Y563" s="1126" t="b">
        <f t="shared" si="362"/>
        <v>0</v>
      </c>
      <c r="Z563" s="43">
        <v>0</v>
      </c>
      <c r="AA563" s="1219" t="e">
        <f t="shared" si="372"/>
        <v>#N/A</v>
      </c>
      <c r="AB563" s="1219" t="e">
        <f t="shared" si="373"/>
        <v>#N/A</v>
      </c>
      <c r="AC563" s="1219" t="e">
        <f t="shared" si="363"/>
        <v>#N/A</v>
      </c>
      <c r="AD563" s="1126" t="e">
        <f t="shared" si="374"/>
        <v>#N/A</v>
      </c>
      <c r="AE563" s="1217" t="e">
        <f t="shared" si="364"/>
        <v>#N/A</v>
      </c>
      <c r="AF563" s="1220" t="e">
        <f t="shared" si="365"/>
        <v>#N/A</v>
      </c>
      <c r="AG563" s="1176" t="e">
        <f t="shared" si="366"/>
        <v>#N/A</v>
      </c>
      <c r="AH563" s="1221" t="e">
        <f t="shared" si="375"/>
        <v>#N/A</v>
      </c>
    </row>
    <row r="564" spans="1:36" ht="15.5">
      <c r="A564" s="1216" t="b">
        <f t="shared" si="354"/>
        <v>1</v>
      </c>
      <c r="B564" s="1217" t="b">
        <f t="shared" si="367"/>
        <v>1</v>
      </c>
      <c r="C564" s="1218" t="str">
        <f t="shared" si="368"/>
        <v>Dólares</v>
      </c>
      <c r="D564" s="48"/>
      <c r="E564" s="836"/>
      <c r="F564" s="50"/>
      <c r="G564" s="50" t="str">
        <f t="shared" si="355"/>
        <v xml:space="preserve"> </v>
      </c>
      <c r="H564" s="45">
        <v>0</v>
      </c>
      <c r="I564" s="49" t="str">
        <f>IFERROR(VLOOKUP(G564,Proveedores!B:C,2,0)," ")</f>
        <v xml:space="preserve"> </v>
      </c>
      <c r="J564" s="838">
        <v>0</v>
      </c>
      <c r="K564" s="1124"/>
      <c r="L564" s="1266">
        <f t="shared" si="356"/>
        <v>0</v>
      </c>
      <c r="M564" s="1267">
        <f t="shared" si="357"/>
        <v>0</v>
      </c>
      <c r="N564" s="1268">
        <f t="shared" si="376"/>
        <v>0</v>
      </c>
      <c r="O564" s="836" t="str">
        <f>IFERROR(VLOOKUP(G564,Proveedores!B:D,3,0)," ")</f>
        <v xml:space="preserve"> </v>
      </c>
      <c r="P564" s="836"/>
      <c r="Q564" s="1127" t="e">
        <f t="shared" si="358"/>
        <v>#N/A</v>
      </c>
      <c r="R564" s="1127" t="b">
        <f t="shared" si="369"/>
        <v>0</v>
      </c>
      <c r="S564" s="1127" t="e">
        <f t="shared" si="359"/>
        <v>#N/A</v>
      </c>
      <c r="T564" s="1127" t="b">
        <f t="shared" si="370"/>
        <v>0</v>
      </c>
      <c r="U564" s="1127" t="e">
        <f t="shared" si="360"/>
        <v>#N/A</v>
      </c>
      <c r="V564" s="1127" t="e">
        <f t="shared" si="371"/>
        <v>#N/A</v>
      </c>
      <c r="W564" s="1127" t="e">
        <f>IF(F564="Offiho",J564,IF(_xlfn.XLOOKUP(F564,Proveedores!A$2:A$50,Proveedores!E$2:E$50,"")="Nacional",(J564/0.5)+(V564*H564),((J564/0.3/0.5)+(V564*H564))))</f>
        <v>#N/A</v>
      </c>
      <c r="X564" s="1127" t="e">
        <f t="shared" si="361"/>
        <v>#N/A</v>
      </c>
      <c r="Y564" s="1126" t="b">
        <f t="shared" si="362"/>
        <v>0</v>
      </c>
      <c r="Z564" s="43">
        <v>0</v>
      </c>
      <c r="AA564" s="1219" t="e">
        <f t="shared" si="372"/>
        <v>#N/A</v>
      </c>
      <c r="AB564" s="1219" t="e">
        <f t="shared" si="373"/>
        <v>#N/A</v>
      </c>
      <c r="AC564" s="1219" t="e">
        <f t="shared" si="363"/>
        <v>#N/A</v>
      </c>
      <c r="AD564" s="1126" t="e">
        <f t="shared" si="374"/>
        <v>#N/A</v>
      </c>
      <c r="AE564" s="1217" t="e">
        <f t="shared" si="364"/>
        <v>#N/A</v>
      </c>
      <c r="AF564" s="1220" t="e">
        <f t="shared" si="365"/>
        <v>#N/A</v>
      </c>
      <c r="AG564" s="1176" t="e">
        <f t="shared" si="366"/>
        <v>#N/A</v>
      </c>
      <c r="AH564" s="1221" t="e">
        <f t="shared" si="375"/>
        <v>#N/A</v>
      </c>
    </row>
    <row r="565" spans="1:36" ht="15.5">
      <c r="A565" s="1216" t="b">
        <f t="shared" si="354"/>
        <v>1</v>
      </c>
      <c r="B565" s="1217" t="b">
        <f t="shared" si="367"/>
        <v>1</v>
      </c>
      <c r="C565" s="1218" t="str">
        <f t="shared" si="368"/>
        <v>Dólares</v>
      </c>
      <c r="D565" s="48"/>
      <c r="E565" s="836"/>
      <c r="F565" s="50"/>
      <c r="G565" s="50" t="str">
        <f t="shared" si="355"/>
        <v xml:space="preserve"> </v>
      </c>
      <c r="H565" s="45">
        <v>0</v>
      </c>
      <c r="I565" s="49" t="str">
        <f>IFERROR(VLOOKUP(G565,Proveedores!B:C,2,0)," ")</f>
        <v xml:space="preserve"> </v>
      </c>
      <c r="J565" s="838">
        <v>0</v>
      </c>
      <c r="K565" s="1124"/>
      <c r="L565" s="1266">
        <f t="shared" si="356"/>
        <v>0</v>
      </c>
      <c r="M565" s="1267">
        <f t="shared" si="357"/>
        <v>0</v>
      </c>
      <c r="N565" s="1268">
        <f t="shared" si="376"/>
        <v>0</v>
      </c>
      <c r="O565" s="836" t="str">
        <f>IFERROR(VLOOKUP(G565,Proveedores!B:D,3,0)," ")</f>
        <v xml:space="preserve"> </v>
      </c>
      <c r="P565" s="836"/>
      <c r="Q565" s="1127" t="e">
        <f t="shared" si="358"/>
        <v>#N/A</v>
      </c>
      <c r="R565" s="1127" t="b">
        <f t="shared" si="369"/>
        <v>0</v>
      </c>
      <c r="S565" s="1127" t="e">
        <f t="shared" si="359"/>
        <v>#N/A</v>
      </c>
      <c r="T565" s="1127" t="b">
        <f t="shared" si="370"/>
        <v>0</v>
      </c>
      <c r="U565" s="1127" t="e">
        <f t="shared" si="360"/>
        <v>#N/A</v>
      </c>
      <c r="V565" s="1127" t="e">
        <f t="shared" si="371"/>
        <v>#N/A</v>
      </c>
      <c r="W565" s="1127" t="e">
        <f>IF(F565="Offiho",J565,IF(_xlfn.XLOOKUP(F565,Proveedores!A$2:A$50,Proveedores!E$2:E$50,"")="Nacional",(J565/0.5)+(V565*H565),((J565/0.3/0.5)+(V565*H565))))</f>
        <v>#N/A</v>
      </c>
      <c r="X565" s="1127" t="e">
        <f t="shared" si="361"/>
        <v>#N/A</v>
      </c>
      <c r="Y565" s="1126" t="b">
        <f t="shared" si="362"/>
        <v>0</v>
      </c>
      <c r="Z565" s="43">
        <v>0</v>
      </c>
      <c r="AA565" s="1219" t="e">
        <f t="shared" si="372"/>
        <v>#N/A</v>
      </c>
      <c r="AB565" s="1219" t="e">
        <f t="shared" si="373"/>
        <v>#N/A</v>
      </c>
      <c r="AC565" s="1219" t="e">
        <f t="shared" si="363"/>
        <v>#N/A</v>
      </c>
      <c r="AD565" s="1126" t="e">
        <f t="shared" si="374"/>
        <v>#N/A</v>
      </c>
      <c r="AE565" s="1217" t="e">
        <f t="shared" si="364"/>
        <v>#N/A</v>
      </c>
      <c r="AF565" s="1220" t="e">
        <f t="shared" si="365"/>
        <v>#N/A</v>
      </c>
      <c r="AG565" s="1176" t="e">
        <f t="shared" si="366"/>
        <v>#N/A</v>
      </c>
      <c r="AH565" s="1221" t="e">
        <f t="shared" si="375"/>
        <v>#N/A</v>
      </c>
    </row>
    <row r="566" spans="1:36" ht="15.5">
      <c r="A566" s="1216" t="b">
        <f t="shared" si="354"/>
        <v>1</v>
      </c>
      <c r="B566" s="1217" t="b">
        <f t="shared" si="367"/>
        <v>1</v>
      </c>
      <c r="C566" s="1218" t="str">
        <f t="shared" si="368"/>
        <v>Dólares</v>
      </c>
      <c r="D566" s="47"/>
      <c r="E566" s="836"/>
      <c r="F566" s="50"/>
      <c r="G566" s="50" t="str">
        <f t="shared" si="355"/>
        <v xml:space="preserve"> </v>
      </c>
      <c r="H566" s="45">
        <v>0</v>
      </c>
      <c r="I566" s="49" t="str">
        <f>IFERROR(VLOOKUP(G566,Proveedores!B:C,2,0)," ")</f>
        <v xml:space="preserve"> </v>
      </c>
      <c r="J566" s="838">
        <v>0</v>
      </c>
      <c r="K566" s="1124"/>
      <c r="L566" s="1266">
        <f t="shared" si="356"/>
        <v>0</v>
      </c>
      <c r="M566" s="1267">
        <f t="shared" si="357"/>
        <v>0</v>
      </c>
      <c r="N566" s="1268">
        <f t="shared" si="376"/>
        <v>0</v>
      </c>
      <c r="O566" s="836" t="str">
        <f>IFERROR(VLOOKUP(G566,Proveedores!B:D,3,0)," ")</f>
        <v xml:space="preserve"> </v>
      </c>
      <c r="P566" s="836"/>
      <c r="Q566" s="1127" t="e">
        <f t="shared" si="358"/>
        <v>#N/A</v>
      </c>
      <c r="R566" s="1127" t="b">
        <f t="shared" si="369"/>
        <v>0</v>
      </c>
      <c r="S566" s="1127" t="e">
        <f t="shared" si="359"/>
        <v>#N/A</v>
      </c>
      <c r="T566" s="1127" t="b">
        <f t="shared" si="370"/>
        <v>0</v>
      </c>
      <c r="U566" s="1127" t="e">
        <f t="shared" si="360"/>
        <v>#N/A</v>
      </c>
      <c r="V566" s="1127" t="e">
        <f t="shared" si="371"/>
        <v>#N/A</v>
      </c>
      <c r="W566" s="1127" t="e">
        <f>IF(F566="Offiho",J566,IF(_xlfn.XLOOKUP(F566,Proveedores!A$2:A$50,Proveedores!E$2:E$50,"")="Nacional",(J566/0.5)+(V566*H566),((J566/0.3/0.5)+(V566*H566))))</f>
        <v>#N/A</v>
      </c>
      <c r="X566" s="1127" t="e">
        <f t="shared" si="361"/>
        <v>#N/A</v>
      </c>
      <c r="Y566" s="1126" t="b">
        <f t="shared" si="362"/>
        <v>0</v>
      </c>
      <c r="Z566" s="43">
        <v>0</v>
      </c>
      <c r="AA566" s="1219" t="e">
        <f t="shared" si="372"/>
        <v>#N/A</v>
      </c>
      <c r="AB566" s="1219" t="e">
        <f t="shared" si="373"/>
        <v>#N/A</v>
      </c>
      <c r="AC566" s="1219" t="e">
        <f t="shared" si="363"/>
        <v>#N/A</v>
      </c>
      <c r="AD566" s="1126" t="e">
        <f t="shared" si="374"/>
        <v>#N/A</v>
      </c>
      <c r="AE566" s="1217" t="e">
        <f t="shared" si="364"/>
        <v>#N/A</v>
      </c>
      <c r="AF566" s="1220" t="e">
        <f t="shared" si="365"/>
        <v>#N/A</v>
      </c>
      <c r="AG566" s="1176" t="e">
        <f t="shared" si="366"/>
        <v>#N/A</v>
      </c>
      <c r="AH566" s="1221" t="e">
        <f t="shared" si="375"/>
        <v>#N/A</v>
      </c>
    </row>
    <row r="567" spans="1:36" ht="15.5">
      <c r="A567" s="1216" t="b">
        <f t="shared" si="354"/>
        <v>1</v>
      </c>
      <c r="B567" s="1217" t="b">
        <f t="shared" si="367"/>
        <v>1</v>
      </c>
      <c r="C567" s="1218" t="str">
        <f t="shared" si="368"/>
        <v>Dólares</v>
      </c>
      <c r="D567" s="47"/>
      <c r="E567" s="836"/>
      <c r="F567" s="50"/>
      <c r="G567" s="50" t="str">
        <f t="shared" si="355"/>
        <v xml:space="preserve"> </v>
      </c>
      <c r="H567" s="45">
        <v>0</v>
      </c>
      <c r="I567" s="49" t="str">
        <f>IFERROR(VLOOKUP(G567,Proveedores!B:C,2,0)," ")</f>
        <v xml:space="preserve"> </v>
      </c>
      <c r="J567" s="838">
        <v>0</v>
      </c>
      <c r="K567" s="1124"/>
      <c r="L567" s="1266">
        <f t="shared" si="356"/>
        <v>0</v>
      </c>
      <c r="M567" s="1267">
        <f t="shared" si="357"/>
        <v>0</v>
      </c>
      <c r="N567" s="1268">
        <f t="shared" si="376"/>
        <v>0</v>
      </c>
      <c r="O567" s="836" t="str">
        <f>IFERROR(VLOOKUP(G567,Proveedores!B:D,3,0)," ")</f>
        <v xml:space="preserve"> </v>
      </c>
      <c r="P567" s="836"/>
      <c r="Q567" s="1127" t="e">
        <f t="shared" si="358"/>
        <v>#N/A</v>
      </c>
      <c r="R567" s="1127" t="b">
        <f t="shared" si="369"/>
        <v>0</v>
      </c>
      <c r="S567" s="1127" t="e">
        <f t="shared" si="359"/>
        <v>#N/A</v>
      </c>
      <c r="T567" s="1127" t="b">
        <f t="shared" si="370"/>
        <v>0</v>
      </c>
      <c r="U567" s="1127" t="e">
        <f t="shared" si="360"/>
        <v>#N/A</v>
      </c>
      <c r="V567" s="1127" t="e">
        <f t="shared" si="371"/>
        <v>#N/A</v>
      </c>
      <c r="W567" s="1127" t="e">
        <f>IF(F567="Offiho",J567,IF(_xlfn.XLOOKUP(F567,Proveedores!A$2:A$50,Proveedores!E$2:E$50,"")="Nacional",(J567/0.5)+(V567*H567),((J567/0.3/0.5)+(V567*H567))))</f>
        <v>#N/A</v>
      </c>
      <c r="X567" s="1127" t="e">
        <f t="shared" si="361"/>
        <v>#N/A</v>
      </c>
      <c r="Y567" s="1126" t="b">
        <f t="shared" si="362"/>
        <v>0</v>
      </c>
      <c r="Z567" s="43">
        <v>0</v>
      </c>
      <c r="AA567" s="1219" t="e">
        <f t="shared" si="372"/>
        <v>#N/A</v>
      </c>
      <c r="AB567" s="1219" t="e">
        <f t="shared" si="373"/>
        <v>#N/A</v>
      </c>
      <c r="AC567" s="1219" t="e">
        <f t="shared" si="363"/>
        <v>#N/A</v>
      </c>
      <c r="AD567" s="1126" t="e">
        <f t="shared" si="374"/>
        <v>#N/A</v>
      </c>
      <c r="AE567" s="1217" t="e">
        <f t="shared" si="364"/>
        <v>#N/A</v>
      </c>
      <c r="AF567" s="1220" t="e">
        <f t="shared" si="365"/>
        <v>#N/A</v>
      </c>
      <c r="AG567" s="1176" t="e">
        <f t="shared" si="366"/>
        <v>#N/A</v>
      </c>
      <c r="AH567" s="1221" t="e">
        <f t="shared" si="375"/>
        <v>#N/A</v>
      </c>
    </row>
    <row r="568" spans="1:36" ht="15.5">
      <c r="A568" s="1216" t="b">
        <f t="shared" si="354"/>
        <v>1</v>
      </c>
      <c r="B568" s="1217" t="b">
        <f t="shared" si="367"/>
        <v>1</v>
      </c>
      <c r="C568" s="1218" t="str">
        <f t="shared" si="368"/>
        <v>Dólares</v>
      </c>
      <c r="D568" s="47"/>
      <c r="E568" s="836"/>
      <c r="F568" s="50"/>
      <c r="G568" s="50" t="str">
        <f t="shared" si="355"/>
        <v xml:space="preserve"> </v>
      </c>
      <c r="H568" s="45">
        <v>0</v>
      </c>
      <c r="I568" s="49" t="str">
        <f>IFERROR(VLOOKUP(G568,Proveedores!B:C,2,0)," ")</f>
        <v xml:space="preserve"> </v>
      </c>
      <c r="J568" s="838">
        <v>0</v>
      </c>
      <c r="K568" s="1124"/>
      <c r="L568" s="1266">
        <f t="shared" si="356"/>
        <v>0</v>
      </c>
      <c r="M568" s="1267">
        <f t="shared" si="357"/>
        <v>0</v>
      </c>
      <c r="N568" s="1268">
        <f t="shared" si="376"/>
        <v>0</v>
      </c>
      <c r="O568" s="836" t="str">
        <f>IFERROR(VLOOKUP(G568,Proveedores!B:D,3,0)," ")</f>
        <v xml:space="preserve"> </v>
      </c>
      <c r="P568" s="836"/>
      <c r="Q568" s="1127" t="e">
        <f t="shared" si="358"/>
        <v>#N/A</v>
      </c>
      <c r="R568" s="1127" t="b">
        <f t="shared" si="369"/>
        <v>0</v>
      </c>
      <c r="S568" s="1127" t="e">
        <f t="shared" si="359"/>
        <v>#N/A</v>
      </c>
      <c r="T568" s="1127" t="b">
        <f t="shared" si="370"/>
        <v>0</v>
      </c>
      <c r="U568" s="1127" t="e">
        <f t="shared" si="360"/>
        <v>#N/A</v>
      </c>
      <c r="V568" s="1127" t="e">
        <f t="shared" si="371"/>
        <v>#N/A</v>
      </c>
      <c r="W568" s="1127" t="e">
        <f>IF(F568="Offiho",J568,IF(_xlfn.XLOOKUP(F568,Proveedores!A$2:A$50,Proveedores!E$2:E$50,"")="Nacional",(J568/0.5)+(V568*H568),((J568/0.3/0.5)+(V568*H568))))</f>
        <v>#N/A</v>
      </c>
      <c r="X568" s="1127" t="e">
        <f t="shared" si="361"/>
        <v>#N/A</v>
      </c>
      <c r="Y568" s="1126" t="b">
        <f t="shared" si="362"/>
        <v>0</v>
      </c>
      <c r="Z568" s="43">
        <v>0</v>
      </c>
      <c r="AA568" s="1219" t="e">
        <f t="shared" si="372"/>
        <v>#N/A</v>
      </c>
      <c r="AB568" s="1219" t="e">
        <f t="shared" si="373"/>
        <v>#N/A</v>
      </c>
      <c r="AC568" s="1219" t="e">
        <f t="shared" si="363"/>
        <v>#N/A</v>
      </c>
      <c r="AD568" s="1126" t="e">
        <f t="shared" si="374"/>
        <v>#N/A</v>
      </c>
      <c r="AE568" s="1217" t="e">
        <f t="shared" si="364"/>
        <v>#N/A</v>
      </c>
      <c r="AF568" s="1220" t="e">
        <f t="shared" si="365"/>
        <v>#N/A</v>
      </c>
      <c r="AG568" s="1176" t="e">
        <f t="shared" si="366"/>
        <v>#N/A</v>
      </c>
      <c r="AH568" s="1221" t="e">
        <f t="shared" si="375"/>
        <v>#N/A</v>
      </c>
    </row>
    <row r="569" spans="1:36" ht="15.5">
      <c r="A569" s="1216" t="b">
        <f t="shared" si="354"/>
        <v>1</v>
      </c>
      <c r="B569" s="1217" t="b">
        <f t="shared" si="367"/>
        <v>1</v>
      </c>
      <c r="C569" s="1218" t="str">
        <f t="shared" si="368"/>
        <v>Dólares</v>
      </c>
      <c r="D569" s="47"/>
      <c r="E569" s="836"/>
      <c r="F569" s="50"/>
      <c r="G569" s="50" t="str">
        <f t="shared" si="355"/>
        <v xml:space="preserve"> </v>
      </c>
      <c r="H569" s="45">
        <v>0</v>
      </c>
      <c r="I569" s="49" t="str">
        <f>IFERROR(VLOOKUP(G569,Proveedores!B:C,2,0)," ")</f>
        <v xml:space="preserve"> </v>
      </c>
      <c r="J569" s="838">
        <v>0</v>
      </c>
      <c r="K569" s="1124"/>
      <c r="L569" s="1266">
        <f t="shared" si="356"/>
        <v>0</v>
      </c>
      <c r="M569" s="1267">
        <f t="shared" si="357"/>
        <v>0</v>
      </c>
      <c r="N569" s="1268">
        <f t="shared" si="376"/>
        <v>0</v>
      </c>
      <c r="O569" s="836" t="str">
        <f>IFERROR(VLOOKUP(G569,Proveedores!B:D,3,0)," ")</f>
        <v xml:space="preserve"> </v>
      </c>
      <c r="P569" s="836"/>
      <c r="Q569" s="1127" t="e">
        <f t="shared" si="358"/>
        <v>#N/A</v>
      </c>
      <c r="R569" s="1127" t="b">
        <f t="shared" si="369"/>
        <v>0</v>
      </c>
      <c r="S569" s="1127" t="e">
        <f t="shared" si="359"/>
        <v>#N/A</v>
      </c>
      <c r="T569" s="1127" t="b">
        <f t="shared" si="370"/>
        <v>0</v>
      </c>
      <c r="U569" s="1127" t="e">
        <f t="shared" si="360"/>
        <v>#N/A</v>
      </c>
      <c r="V569" s="1127" t="e">
        <f t="shared" si="371"/>
        <v>#N/A</v>
      </c>
      <c r="W569" s="1127" t="e">
        <f>IF(F569="Offiho",J569,IF(_xlfn.XLOOKUP(F569,Proveedores!A$2:A$50,Proveedores!E$2:E$50,"")="Nacional",(J569/0.5)+(V569*H569),((J569/0.3/0.5)+(V569*H569))))</f>
        <v>#N/A</v>
      </c>
      <c r="X569" s="1127" t="e">
        <f t="shared" si="361"/>
        <v>#N/A</v>
      </c>
      <c r="Y569" s="1126" t="b">
        <f t="shared" si="362"/>
        <v>0</v>
      </c>
      <c r="Z569" s="43">
        <v>0</v>
      </c>
      <c r="AA569" s="1219" t="e">
        <f t="shared" si="372"/>
        <v>#N/A</v>
      </c>
      <c r="AB569" s="1219" t="e">
        <f t="shared" si="373"/>
        <v>#N/A</v>
      </c>
      <c r="AC569" s="1219" t="e">
        <f t="shared" si="363"/>
        <v>#N/A</v>
      </c>
      <c r="AD569" s="1126" t="e">
        <f t="shared" si="374"/>
        <v>#N/A</v>
      </c>
      <c r="AE569" s="1217" t="e">
        <f t="shared" si="364"/>
        <v>#N/A</v>
      </c>
      <c r="AF569" s="1220" t="e">
        <f t="shared" si="365"/>
        <v>#N/A</v>
      </c>
      <c r="AG569" s="1176" t="e">
        <f t="shared" si="366"/>
        <v>#N/A</v>
      </c>
      <c r="AH569" s="1221" t="e">
        <f t="shared" si="375"/>
        <v>#N/A</v>
      </c>
    </row>
    <row r="570" spans="1:36" ht="15.5">
      <c r="A570" s="1216" t="b">
        <f t="shared" si="354"/>
        <v>1</v>
      </c>
      <c r="B570" s="1217" t="b">
        <f t="shared" si="367"/>
        <v>1</v>
      </c>
      <c r="C570" s="1218" t="str">
        <f t="shared" si="368"/>
        <v>Dólares</v>
      </c>
      <c r="D570" s="47"/>
      <c r="E570" s="836"/>
      <c r="F570" s="50"/>
      <c r="G570" s="50" t="str">
        <f t="shared" si="355"/>
        <v xml:space="preserve"> </v>
      </c>
      <c r="H570" s="45">
        <v>0</v>
      </c>
      <c r="I570" s="49" t="str">
        <f>IFERROR(VLOOKUP(G570,Proveedores!B:C,2,0)," ")</f>
        <v xml:space="preserve"> </v>
      </c>
      <c r="J570" s="838">
        <v>0</v>
      </c>
      <c r="K570" s="1124"/>
      <c r="L570" s="1266">
        <f t="shared" si="356"/>
        <v>0</v>
      </c>
      <c r="M570" s="1267">
        <f t="shared" si="357"/>
        <v>0</v>
      </c>
      <c r="N570" s="1268">
        <f t="shared" si="376"/>
        <v>0</v>
      </c>
      <c r="O570" s="836" t="str">
        <f>IFERROR(VLOOKUP(G570,Proveedores!B:D,3,0)," ")</f>
        <v xml:space="preserve"> </v>
      </c>
      <c r="P570" s="836"/>
      <c r="Q570" s="1127" t="e">
        <f t="shared" si="358"/>
        <v>#N/A</v>
      </c>
      <c r="R570" s="1127" t="b">
        <f t="shared" si="369"/>
        <v>0</v>
      </c>
      <c r="S570" s="1127" t="e">
        <f t="shared" si="359"/>
        <v>#N/A</v>
      </c>
      <c r="T570" s="1127" t="b">
        <f t="shared" si="370"/>
        <v>0</v>
      </c>
      <c r="U570" s="1127" t="e">
        <f t="shared" si="360"/>
        <v>#N/A</v>
      </c>
      <c r="V570" s="1127" t="e">
        <f t="shared" si="371"/>
        <v>#N/A</v>
      </c>
      <c r="W570" s="1127" t="e">
        <f>IF(F570="Offiho",J570,IF(_xlfn.XLOOKUP(F570,Proveedores!A$2:A$50,Proveedores!E$2:E$50,"")="Nacional",(J570/0.5)+(V570*H570),((J570/0.3/0.5)+(V570*H570))))</f>
        <v>#N/A</v>
      </c>
      <c r="X570" s="1127" t="e">
        <f t="shared" si="361"/>
        <v>#N/A</v>
      </c>
      <c r="Y570" s="1126" t="b">
        <f t="shared" si="362"/>
        <v>0</v>
      </c>
      <c r="Z570" s="43">
        <v>0</v>
      </c>
      <c r="AA570" s="1219" t="e">
        <f t="shared" si="372"/>
        <v>#N/A</v>
      </c>
      <c r="AB570" s="1219" t="e">
        <f t="shared" si="373"/>
        <v>#N/A</v>
      </c>
      <c r="AC570" s="1219" t="e">
        <f t="shared" si="363"/>
        <v>#N/A</v>
      </c>
      <c r="AD570" s="1126" t="e">
        <f t="shared" si="374"/>
        <v>#N/A</v>
      </c>
      <c r="AE570" s="1217" t="e">
        <f t="shared" si="364"/>
        <v>#N/A</v>
      </c>
      <c r="AF570" s="1220" t="e">
        <f t="shared" si="365"/>
        <v>#N/A</v>
      </c>
      <c r="AG570" s="1176" t="e">
        <f t="shared" si="366"/>
        <v>#N/A</v>
      </c>
      <c r="AH570" s="1221" t="e">
        <f t="shared" si="375"/>
        <v>#N/A</v>
      </c>
    </row>
    <row r="571" spans="1:36" ht="15.5">
      <c r="A571" s="1216" t="b">
        <f t="shared" si="354"/>
        <v>1</v>
      </c>
      <c r="B571" s="1217" t="b">
        <f t="shared" si="367"/>
        <v>1</v>
      </c>
      <c r="C571" s="1218" t="str">
        <f t="shared" si="368"/>
        <v>Dólares</v>
      </c>
      <c r="D571" s="47"/>
      <c r="E571" s="836"/>
      <c r="F571" s="50"/>
      <c r="G571" s="50" t="str">
        <f t="shared" si="355"/>
        <v xml:space="preserve"> </v>
      </c>
      <c r="H571" s="45">
        <v>0</v>
      </c>
      <c r="I571" s="49" t="str">
        <f>IFERROR(VLOOKUP(G571,Proveedores!B:C,2,0)," ")</f>
        <v xml:space="preserve"> </v>
      </c>
      <c r="J571" s="838">
        <v>0</v>
      </c>
      <c r="K571" s="1124"/>
      <c r="L571" s="1266">
        <f t="shared" si="356"/>
        <v>0</v>
      </c>
      <c r="M571" s="1267">
        <f t="shared" si="357"/>
        <v>0</v>
      </c>
      <c r="N571" s="1268">
        <f t="shared" si="376"/>
        <v>0</v>
      </c>
      <c r="O571" s="836" t="str">
        <f>IFERROR(VLOOKUP(G571,Proveedores!B:D,3,0)," ")</f>
        <v xml:space="preserve"> </v>
      </c>
      <c r="P571" s="836"/>
      <c r="Q571" s="1127" t="e">
        <f t="shared" si="358"/>
        <v>#N/A</v>
      </c>
      <c r="R571" s="1127" t="b">
        <f t="shared" si="369"/>
        <v>0</v>
      </c>
      <c r="S571" s="1127" t="e">
        <f t="shared" si="359"/>
        <v>#N/A</v>
      </c>
      <c r="T571" s="1127" t="b">
        <f t="shared" si="370"/>
        <v>0</v>
      </c>
      <c r="U571" s="1127" t="e">
        <f t="shared" si="360"/>
        <v>#N/A</v>
      </c>
      <c r="V571" s="1127" t="e">
        <f t="shared" si="371"/>
        <v>#N/A</v>
      </c>
      <c r="W571" s="1127" t="e">
        <f>IF(F571="Offiho",J571,IF(_xlfn.XLOOKUP(F571,Proveedores!A$2:A$50,Proveedores!E$2:E$50,"")="Nacional",(J571/0.5)+(V571*H571),((J571/0.3/0.5)+(V571*H571))))</f>
        <v>#N/A</v>
      </c>
      <c r="X571" s="1127" t="e">
        <f t="shared" si="361"/>
        <v>#N/A</v>
      </c>
      <c r="Y571" s="1126" t="b">
        <f t="shared" si="362"/>
        <v>0</v>
      </c>
      <c r="Z571" s="43">
        <v>0</v>
      </c>
      <c r="AA571" s="1219" t="e">
        <f t="shared" si="372"/>
        <v>#N/A</v>
      </c>
      <c r="AB571" s="1219" t="e">
        <f t="shared" si="373"/>
        <v>#N/A</v>
      </c>
      <c r="AC571" s="1219" t="e">
        <f t="shared" si="363"/>
        <v>#N/A</v>
      </c>
      <c r="AD571" s="1126" t="str">
        <f t="shared" si="374"/>
        <v>NA</v>
      </c>
      <c r="AE571" s="1217" t="e">
        <f t="shared" si="364"/>
        <v>#N/A</v>
      </c>
      <c r="AF571" s="1220" t="e">
        <f t="shared" si="365"/>
        <v>#N/A</v>
      </c>
      <c r="AG571" s="1176" t="e">
        <f t="shared" si="366"/>
        <v>#N/A</v>
      </c>
      <c r="AH571" s="1221" t="e">
        <f t="shared" si="375"/>
        <v>#N/A</v>
      </c>
    </row>
    <row r="572" spans="1:36" ht="24" customHeight="1">
      <c r="A572" s="1422" t="s">
        <v>146</v>
      </c>
      <c r="B572" s="1422"/>
      <c r="C572" s="1422"/>
      <c r="D572" s="1422"/>
      <c r="E572" s="1422"/>
      <c r="F572" s="1422"/>
      <c r="G572" s="1228"/>
      <c r="H572" s="1229" cm="1">
        <f t="array" ref="H572">SUM(IFERROR(H539:H571,0))</f>
        <v>0</v>
      </c>
      <c r="I572" s="1228"/>
      <c r="J572" s="1230"/>
      <c r="K572" s="1231"/>
      <c r="L572" s="1229" cm="1">
        <f t="array" ref="L572">SUM(IFERROR(L539:L571,0))</f>
        <v>0</v>
      </c>
      <c r="M572" s="1235"/>
      <c r="N572" s="1232" cm="1">
        <f t="array" ref="N572">SUM(IFERROR(N539:N571,0))</f>
        <v>0</v>
      </c>
      <c r="O572" s="1233"/>
      <c r="P572" s="1231"/>
      <c r="Q572" s="1231"/>
      <c r="R572" s="1231"/>
      <c r="S572" s="1231"/>
      <c r="T572" s="1231"/>
      <c r="U572" s="1231"/>
      <c r="V572" s="1231"/>
      <c r="W572" s="1231"/>
      <c r="X572" s="1232" cm="1">
        <f t="array" ref="X572">SUM(IFERROR(X539:X571,0))</f>
        <v>0</v>
      </c>
      <c r="Y572" s="1237" t="s">
        <v>116</v>
      </c>
      <c r="Z572" s="1231"/>
      <c r="AA572" s="1233"/>
      <c r="AB572" s="1233"/>
      <c r="AC572" s="1232" cm="1">
        <f t="array" ref="AC572">SUM(IFERROR(AC539:AC571,0))</f>
        <v>0</v>
      </c>
      <c r="AD572" s="1232"/>
      <c r="AE572" s="1232"/>
      <c r="AF572" s="1232" cm="1">
        <f t="array" ref="AF572">SUM(IFERROR(AF539:AF571,0))</f>
        <v>0</v>
      </c>
      <c r="AG572" s="1177">
        <f>IFERROR(1-(N572/AC572),0)</f>
        <v>0</v>
      </c>
      <c r="AH572"/>
    </row>
    <row r="573" spans="1:36" ht="46.5">
      <c r="A573" s="1179"/>
      <c r="B573" s="1238"/>
      <c r="D573" s="1179"/>
      <c r="E573" s="1239"/>
      <c r="F573" s="1240" t="s">
        <v>147</v>
      </c>
      <c r="G573" s="1179"/>
      <c r="H573" s="1241">
        <f>H572+H537+H502+H467+H432+H397+H362+H327+H292+H257+H222+H187+H152+H117+H82+H47</f>
        <v>0</v>
      </c>
      <c r="I573" s="1181"/>
      <c r="J573" s="1239"/>
      <c r="K573" s="1242">
        <f>L572+L537+L502+L467+L432+L397+L362+L327+L292+L257+L222+L187+L152+L117+L82+L47</f>
        <v>0</v>
      </c>
      <c r="L573" s="1243"/>
      <c r="M573" s="1244">
        <f>N47+N82+N117+N152+N187+N222+N257+N292+N327+N362+N397+N432+N467+N502+N537+N572</f>
        <v>0</v>
      </c>
      <c r="P573" s="1239"/>
      <c r="Q573" s="1239"/>
      <c r="R573" s="1239"/>
      <c r="S573" s="1239"/>
      <c r="T573" s="1239"/>
      <c r="U573" s="1239"/>
      <c r="V573" s="1239"/>
      <c r="W573" s="1246" t="s">
        <v>148</v>
      </c>
      <c r="X573" s="1246">
        <f>X572+X537+X502+X467+X432+X397+X362+X327+X292+X257+X222+X187+X152+X117+X82+X47</f>
        <v>0</v>
      </c>
      <c r="Y573" s="1239"/>
      <c r="AB573" s="1246" t="s">
        <v>149</v>
      </c>
      <c r="AC573" s="1246">
        <f>AC572+AC537+AC502+AC467+AC432+AC397+AC362+AC327+AC292+AC257+AC222+AC187+AC152+AC117+AC82+AC47</f>
        <v>0</v>
      </c>
      <c r="AE573" s="1246" t="s">
        <v>150</v>
      </c>
      <c r="AF573" s="1246">
        <f>AF572+AF537+AF502+AF467+AF432+AF397+AF362+AF327+AF292+AF257+AF222+AF187+AF152+AF117+AF82+AF47</f>
        <v>0</v>
      </c>
      <c r="AG573" s="1180">
        <f>AVERAGE(AG572,AG537,AG502,AG467,AG432,AG397,AG362,AG327,AG292,AG257,AG222,AG187,AG152,AG117,AG82,AG47)</f>
        <v>0</v>
      </c>
    </row>
    <row r="574" spans="1:36" ht="16">
      <c r="D574" s="1181"/>
      <c r="E574" s="1154"/>
      <c r="F574" s="1181"/>
      <c r="G574" s="1181"/>
      <c r="H574" s="1181"/>
      <c r="J574" s="1247"/>
      <c r="K574" s="1247"/>
      <c r="L574" s="1248"/>
      <c r="M574" s="1248"/>
      <c r="N574" s="1249"/>
      <c r="O574" s="1250"/>
      <c r="P574" s="1154"/>
      <c r="Q574" s="1154"/>
      <c r="R574" s="1154"/>
      <c r="S574" s="1154"/>
      <c r="T574" s="1154"/>
      <c r="U574" s="1154"/>
      <c r="V574" s="1154"/>
      <c r="W574" s="1154"/>
      <c r="X574" s="1153"/>
      <c r="Y574" s="1153"/>
      <c r="Z574" s="1153"/>
      <c r="AA574" s="1154"/>
      <c r="AB574" s="1204"/>
      <c r="AC574" s="1204"/>
      <c r="AD574" s="1204"/>
      <c r="AE574" s="1204"/>
      <c r="AF574" s="1204"/>
      <c r="AG574" s="1203"/>
      <c r="AH574" s="1182"/>
    </row>
    <row r="575" spans="1:36" ht="15.5">
      <c r="D575" s="1183"/>
      <c r="E575" s="1154"/>
      <c r="F575" s="1183"/>
      <c r="G575" s="1183"/>
      <c r="H575" s="1183"/>
      <c r="I575" s="1222"/>
      <c r="J575" s="1251"/>
      <c r="K575" s="1251"/>
      <c r="L575" s="1251"/>
      <c r="M575" s="1251"/>
      <c r="N575" s="1252"/>
      <c r="O575" s="1253"/>
      <c r="P575" s="1154"/>
      <c r="Q575" s="1154"/>
      <c r="R575" s="1154"/>
      <c r="S575" s="1154"/>
      <c r="T575" s="1154"/>
      <c r="U575" s="1154"/>
      <c r="V575" s="1154"/>
      <c r="W575" s="1154"/>
      <c r="X575" s="1153"/>
      <c r="Y575" s="1153"/>
      <c r="Z575" s="1153"/>
      <c r="AA575" s="1154"/>
      <c r="AB575" s="1204"/>
      <c r="AC575" s="1204"/>
      <c r="AD575" s="1204"/>
      <c r="AE575" s="1204"/>
      <c r="AF575" s="1204"/>
      <c r="AG575" s="1203"/>
      <c r="AH575" s="1182"/>
    </row>
    <row r="576" spans="1:36" ht="15.5">
      <c r="D576" s="1226"/>
      <c r="E576" s="1154"/>
      <c r="F576" s="1226"/>
      <c r="G576" s="1226"/>
      <c r="H576" s="1226"/>
      <c r="I576" s="1222"/>
      <c r="J576" s="1226"/>
      <c r="K576" s="1226"/>
      <c r="L576" s="1226"/>
      <c r="M576" s="1226"/>
      <c r="N576" s="1254"/>
      <c r="O576" s="1222"/>
      <c r="P576" s="1154"/>
      <c r="Q576" s="1154"/>
      <c r="R576" s="1154"/>
      <c r="S576" s="1154"/>
      <c r="T576" s="1154"/>
      <c r="U576" s="1154"/>
      <c r="V576" s="1154"/>
      <c r="W576" s="1154"/>
      <c r="X576" s="1153"/>
      <c r="Y576" s="1153"/>
      <c r="Z576" s="1153"/>
      <c r="AA576" s="1154"/>
      <c r="AB576" s="1204"/>
      <c r="AC576" s="1204"/>
      <c r="AD576" s="1204"/>
      <c r="AE576" s="1204"/>
      <c r="AF576" s="1204"/>
      <c r="AG576" s="1203"/>
      <c r="AH576" s="1182"/>
      <c r="AJ576" t="s">
        <v>151</v>
      </c>
    </row>
    <row r="577" spans="4:41" ht="16" thickBot="1">
      <c r="D577" s="1226"/>
      <c r="E577" s="1154"/>
      <c r="F577" s="1226"/>
      <c r="G577" s="1226"/>
      <c r="H577" s="1226"/>
      <c r="I577" s="1222"/>
      <c r="J577" s="1226"/>
      <c r="K577" s="1226"/>
      <c r="L577" s="1226"/>
      <c r="M577" s="1226"/>
      <c r="N577" s="1254"/>
      <c r="O577" s="1222"/>
      <c r="P577" s="1154"/>
      <c r="Q577" s="1154"/>
      <c r="R577" s="1154"/>
      <c r="S577" s="1154"/>
      <c r="T577" s="1154"/>
      <c r="U577" s="1154"/>
      <c r="V577" s="1154"/>
      <c r="W577" s="1154"/>
      <c r="X577" s="1153"/>
      <c r="Y577" s="1153"/>
      <c r="Z577" s="1153"/>
      <c r="AA577" s="1154"/>
      <c r="AB577" s="1204"/>
      <c r="AC577" s="1204"/>
      <c r="AD577" s="1204"/>
      <c r="AE577" s="1204"/>
      <c r="AF577" s="1204"/>
      <c r="AG577" s="1203"/>
      <c r="AH577" s="1182"/>
      <c r="AI577" t="s">
        <v>152</v>
      </c>
      <c r="AJ577" s="1174">
        <v>0.5</v>
      </c>
      <c r="AO577" t="s">
        <v>86</v>
      </c>
    </row>
    <row r="578" spans="4:41">
      <c r="D578" s="1441" t="s">
        <v>153</v>
      </c>
      <c r="E578" s="1442"/>
      <c r="F578" s="1226"/>
      <c r="G578" s="1226"/>
      <c r="H578" s="1226"/>
      <c r="I578" s="1222"/>
      <c r="J578" s="1222"/>
      <c r="K578" s="1226"/>
      <c r="L578" s="1226"/>
      <c r="M578" s="1226"/>
      <c r="N578" s="1226"/>
      <c r="O578" s="1254"/>
      <c r="P578" s="1222"/>
      <c r="AA578" s="1204"/>
      <c r="AB578" s="1204"/>
      <c r="AC578" s="1204"/>
      <c r="AD578" s="1204"/>
      <c r="AE578" s="1204"/>
      <c r="AF578" s="1204"/>
      <c r="AG578" s="1204"/>
      <c r="AH578" s="1204"/>
      <c r="AI578" t="s">
        <v>154</v>
      </c>
      <c r="AJ578" s="1174">
        <v>0.5</v>
      </c>
      <c r="AO578">
        <v>20</v>
      </c>
    </row>
    <row r="579" spans="4:41">
      <c r="D579" s="1255"/>
      <c r="E579" s="1256" t="s">
        <v>151</v>
      </c>
      <c r="F579" s="1226"/>
      <c r="G579" s="1226"/>
      <c r="H579" s="1222"/>
      <c r="I579" s="1222"/>
      <c r="J579" s="1226"/>
      <c r="K579" s="1226"/>
      <c r="L579" s="1226"/>
      <c r="M579" s="1226"/>
      <c r="N579" s="1254"/>
      <c r="O579" s="1222"/>
      <c r="W579" s="1172"/>
      <c r="Z579" s="1204"/>
      <c r="AA579" s="1204"/>
      <c r="AB579" s="1204"/>
      <c r="AC579" s="1204"/>
      <c r="AD579" s="1204"/>
      <c r="AE579" s="1204"/>
      <c r="AF579" s="1204"/>
      <c r="AG579" s="1204"/>
      <c r="AH579"/>
      <c r="AI579" t="s">
        <v>155</v>
      </c>
      <c r="AJ579" s="1174">
        <v>0.5</v>
      </c>
      <c r="AN579">
        <v>50</v>
      </c>
    </row>
    <row r="580" spans="4:41">
      <c r="D580" s="1257" t="s">
        <v>152</v>
      </c>
      <c r="E580" s="1149">
        <v>0.5</v>
      </c>
      <c r="G580" s="1226"/>
      <c r="H580" s="1222"/>
      <c r="I580" s="1222"/>
      <c r="J580" s="1226"/>
      <c r="K580" s="1226"/>
      <c r="L580" s="1226"/>
      <c r="M580" s="1226"/>
      <c r="N580" s="1254"/>
      <c r="O580" s="1222"/>
      <c r="W580" s="1172"/>
      <c r="Z580" s="1204"/>
      <c r="AA580" s="1188"/>
      <c r="AG580" s="1188"/>
      <c r="AH580"/>
      <c r="AI580" t="s">
        <v>156</v>
      </c>
      <c r="AJ580" s="1174">
        <v>0.5</v>
      </c>
      <c r="AN580">
        <v>50</v>
      </c>
    </row>
    <row r="581" spans="4:41">
      <c r="D581" s="1257" t="s">
        <v>154</v>
      </c>
      <c r="E581" s="1149">
        <v>0.5</v>
      </c>
      <c r="F581" s="1226"/>
      <c r="G581" s="1226"/>
      <c r="H581" s="1222"/>
      <c r="I581" s="1222"/>
      <c r="J581" s="1226"/>
      <c r="K581" s="1226"/>
      <c r="L581" s="1226"/>
      <c r="M581" s="1226"/>
      <c r="N581" s="1254"/>
      <c r="O581" s="1222"/>
      <c r="W581" s="1172"/>
      <c r="Z581" s="1204"/>
      <c r="AA581" s="1188"/>
      <c r="AG581" s="1188"/>
      <c r="AH581"/>
      <c r="AI581" t="s">
        <v>157</v>
      </c>
      <c r="AJ581" s="1174">
        <v>0.5</v>
      </c>
    </row>
    <row r="582" spans="4:41">
      <c r="D582" s="1257" t="s">
        <v>155</v>
      </c>
      <c r="E582" s="1149">
        <v>0.5</v>
      </c>
      <c r="F582" s="1226"/>
      <c r="G582" s="1226"/>
      <c r="H582" s="1222"/>
      <c r="I582" s="1222"/>
      <c r="J582" s="1226"/>
      <c r="K582" s="1226"/>
      <c r="L582" s="1226"/>
      <c r="M582" s="1226"/>
      <c r="N582" s="1254"/>
      <c r="O582" s="1222"/>
      <c r="W582" s="1172"/>
      <c r="AA582" s="1188"/>
      <c r="AG582" s="1188"/>
      <c r="AH582"/>
      <c r="AI582" t="s">
        <v>158</v>
      </c>
      <c r="AJ582" s="1174">
        <v>0.5</v>
      </c>
    </row>
    <row r="583" spans="4:41">
      <c r="D583" s="1257" t="s">
        <v>156</v>
      </c>
      <c r="E583" s="1149">
        <v>0.5</v>
      </c>
      <c r="F583" s="1226"/>
      <c r="G583" s="1226"/>
      <c r="H583" s="1222"/>
      <c r="I583" s="1222"/>
      <c r="J583" s="1226"/>
      <c r="K583" s="1226"/>
      <c r="L583" s="1226"/>
      <c r="M583" s="1226"/>
      <c r="N583" s="1254"/>
      <c r="O583" s="1222"/>
      <c r="W583" s="1172"/>
      <c r="Z583" s="1204"/>
      <c r="AA583" s="1188"/>
      <c r="AG583" s="1188"/>
      <c r="AH583"/>
      <c r="AI583" t="s">
        <v>159</v>
      </c>
      <c r="AJ583" s="1174">
        <v>0.5</v>
      </c>
    </row>
    <row r="584" spans="4:41">
      <c r="D584" s="1257" t="s">
        <v>157</v>
      </c>
      <c r="E584" s="1149">
        <v>0.5</v>
      </c>
      <c r="F584" s="1226"/>
      <c r="G584" s="1226"/>
      <c r="H584" s="1222"/>
      <c r="I584" s="1222"/>
      <c r="J584" s="1226"/>
      <c r="K584" s="1226"/>
      <c r="L584" s="1226"/>
      <c r="M584" s="1226"/>
      <c r="N584" s="1254"/>
      <c r="O584" s="1222"/>
      <c r="W584" s="1172"/>
      <c r="Z584" s="1204"/>
      <c r="AA584" s="1188"/>
      <c r="AG584" s="1188"/>
      <c r="AH584"/>
      <c r="AI584" t="s">
        <v>160</v>
      </c>
      <c r="AJ584" s="1174">
        <v>0.5</v>
      </c>
    </row>
    <row r="585" spans="4:41">
      <c r="D585" s="1257" t="s">
        <v>158</v>
      </c>
      <c r="E585" s="1149">
        <v>0.5</v>
      </c>
      <c r="F585" s="1226"/>
      <c r="G585" s="1226"/>
      <c r="H585" s="1222"/>
      <c r="I585" s="1222"/>
      <c r="J585" s="1226"/>
      <c r="K585" s="1226"/>
      <c r="L585" s="1226"/>
      <c r="M585" s="1226"/>
      <c r="N585" s="1254"/>
      <c r="O585" s="1222"/>
      <c r="W585" s="1172"/>
      <c r="Z585" s="1204"/>
      <c r="AA585" s="1188"/>
      <c r="AG585" s="1188"/>
      <c r="AH585"/>
      <c r="AI585" t="s">
        <v>161</v>
      </c>
      <c r="AJ585" s="1174">
        <v>0.5</v>
      </c>
    </row>
    <row r="586" spans="4:41">
      <c r="D586" s="1257" t="s">
        <v>159</v>
      </c>
      <c r="E586" s="1149">
        <v>0.5</v>
      </c>
      <c r="F586" s="1226"/>
      <c r="G586" s="1226"/>
      <c r="H586" s="1222"/>
      <c r="I586" s="1222"/>
      <c r="J586" s="1258"/>
      <c r="K586" s="1258"/>
      <c r="L586" s="1258"/>
      <c r="M586" s="1258"/>
      <c r="N586" s="1259"/>
      <c r="O586" s="1222"/>
      <c r="W586" s="1172"/>
      <c r="Z586" s="1204"/>
      <c r="AA586" s="1188"/>
      <c r="AF586" s="1188">
        <f>AS16-AS15</f>
        <v>0</v>
      </c>
      <c r="AG586" s="1188"/>
      <c r="AH586"/>
      <c r="AI586" t="s">
        <v>162</v>
      </c>
      <c r="AJ586" s="1174">
        <v>0.5</v>
      </c>
    </row>
    <row r="587" spans="4:41">
      <c r="D587" s="1257" t="s">
        <v>160</v>
      </c>
      <c r="E587" s="1149">
        <v>0.5</v>
      </c>
      <c r="F587" s="1226"/>
      <c r="G587" s="1226"/>
      <c r="H587" s="1222"/>
      <c r="I587" s="1222"/>
      <c r="J587" s="1260"/>
      <c r="K587" s="1260"/>
      <c r="L587" s="1260"/>
      <c r="M587" s="1260"/>
      <c r="N587" s="1261"/>
      <c r="O587" s="1222"/>
      <c r="W587" s="1172"/>
      <c r="AA587" s="1188"/>
      <c r="AG587" s="1188"/>
      <c r="AH587"/>
      <c r="AI587" t="s">
        <v>163</v>
      </c>
      <c r="AJ587" s="1174">
        <v>0.5</v>
      </c>
    </row>
    <row r="588" spans="4:41">
      <c r="D588" s="1257" t="s">
        <v>161</v>
      </c>
      <c r="E588" s="1149">
        <v>0.5</v>
      </c>
      <c r="F588" s="1226"/>
      <c r="G588" s="1226"/>
      <c r="H588" s="1222"/>
      <c r="I588" s="1222"/>
      <c r="J588" s="1260"/>
      <c r="K588" s="1260"/>
      <c r="L588" s="1260"/>
      <c r="M588" s="1260"/>
      <c r="N588" s="1261"/>
      <c r="O588" s="1222"/>
      <c r="W588" s="1172"/>
      <c r="AA588" s="1188"/>
      <c r="AG588" s="1188"/>
      <c r="AH588"/>
      <c r="AI588" t="s">
        <v>164</v>
      </c>
      <c r="AJ588" s="1174">
        <v>0.5</v>
      </c>
    </row>
    <row r="589" spans="4:41">
      <c r="D589" s="1257" t="s">
        <v>162</v>
      </c>
      <c r="E589" s="1149">
        <v>0.5</v>
      </c>
      <c r="F589" s="1226"/>
      <c r="G589" s="1226"/>
      <c r="H589" s="1222"/>
      <c r="I589" s="1222"/>
      <c r="J589" s="1260"/>
      <c r="K589" s="1260"/>
      <c r="L589" s="1260"/>
      <c r="M589" s="1260"/>
      <c r="N589" s="1261"/>
      <c r="O589" s="1222"/>
      <c r="W589" s="1172"/>
      <c r="Z589" s="1222"/>
      <c r="AA589" s="1188"/>
      <c r="AG589" s="1188"/>
      <c r="AH589"/>
      <c r="AI589" t="s">
        <v>165</v>
      </c>
      <c r="AJ589" s="1174">
        <v>0.5</v>
      </c>
    </row>
    <row r="590" spans="4:41" ht="15" thickBot="1">
      <c r="D590" s="1262" t="s">
        <v>163</v>
      </c>
      <c r="E590" s="1149">
        <v>0.5</v>
      </c>
      <c r="F590" s="1226"/>
      <c r="H590" s="1222"/>
      <c r="J590" s="1226"/>
      <c r="K590" s="1226"/>
      <c r="L590" s="1226"/>
      <c r="M590" s="1226"/>
      <c r="N590" s="1254"/>
      <c r="O590" s="1222"/>
      <c r="W590" s="1172"/>
      <c r="Z590" s="1222"/>
      <c r="AA590" s="1188"/>
      <c r="AG590" s="1188"/>
      <c r="AH590"/>
      <c r="AI590" t="s">
        <v>166</v>
      </c>
      <c r="AJ590" s="1174">
        <v>0.5</v>
      </c>
    </row>
    <row r="591" spans="4:41">
      <c r="D591" s="1262" t="s">
        <v>164</v>
      </c>
      <c r="E591" s="1149">
        <v>0.5</v>
      </c>
      <c r="F591" s="1416" t="s">
        <v>167</v>
      </c>
      <c r="H591" s="1263"/>
      <c r="W591" s="1172"/>
      <c r="Z591" s="1188"/>
      <c r="AA591" s="1188"/>
      <c r="AG591" s="1188"/>
      <c r="AH591"/>
      <c r="AI591" t="s">
        <v>168</v>
      </c>
      <c r="AJ591" s="1174">
        <v>0.2</v>
      </c>
    </row>
    <row r="592" spans="4:41">
      <c r="D592" s="1262" t="s">
        <v>165</v>
      </c>
      <c r="E592" s="1149">
        <v>0.5</v>
      </c>
      <c r="F592" s="1417"/>
      <c r="H592" s="1263"/>
      <c r="W592" s="1172"/>
      <c r="Z592" s="1188"/>
      <c r="AA592" s="1188"/>
      <c r="AG592" s="1188"/>
      <c r="AH592"/>
      <c r="AI592" t="s">
        <v>169</v>
      </c>
      <c r="AJ592" s="1174">
        <v>0.2</v>
      </c>
    </row>
    <row r="593" spans="4:36">
      <c r="D593" s="1262" t="s">
        <v>166</v>
      </c>
      <c r="E593" s="1149">
        <v>0.5</v>
      </c>
      <c r="F593" s="1417"/>
      <c r="H593" s="1263"/>
      <c r="W593" s="1172"/>
      <c r="Z593" s="1188"/>
      <c r="AA593" s="1188"/>
      <c r="AG593" s="1188"/>
      <c r="AH593"/>
      <c r="AI593" t="s">
        <v>170</v>
      </c>
      <c r="AJ593" s="1174">
        <v>0.2</v>
      </c>
    </row>
    <row r="594" spans="4:36">
      <c r="D594" s="1262" t="s">
        <v>168</v>
      </c>
      <c r="E594" s="1149">
        <v>0.2</v>
      </c>
      <c r="F594" s="1417"/>
      <c r="H594" s="1263"/>
      <c r="R594" s="1172"/>
      <c r="S594" s="1172"/>
      <c r="T594" s="1172"/>
      <c r="U594" s="1172"/>
      <c r="V594" s="1172"/>
      <c r="X594" s="1188"/>
      <c r="Y594" s="1188"/>
      <c r="Z594" s="1188"/>
      <c r="AA594" s="1188"/>
      <c r="AG594" s="1188"/>
      <c r="AH594"/>
      <c r="AI594" t="s">
        <v>171</v>
      </c>
      <c r="AJ594" s="1174">
        <v>0.2</v>
      </c>
    </row>
    <row r="595" spans="4:36" ht="15" thickBot="1">
      <c r="D595" s="1262" t="s">
        <v>169</v>
      </c>
      <c r="E595" s="1149">
        <v>0.2</v>
      </c>
      <c r="F595" s="1418"/>
      <c r="H595" s="1263"/>
      <c r="R595" s="1172"/>
      <c r="S595" s="1172"/>
      <c r="T595" s="1172"/>
      <c r="U595" s="1172"/>
      <c r="V595" s="1172"/>
      <c r="X595" s="1188"/>
      <c r="Y595" s="1188"/>
      <c r="Z595" s="1188"/>
      <c r="AA595" s="1188"/>
      <c r="AG595" s="1188"/>
      <c r="AH595"/>
      <c r="AI595" t="s">
        <v>172</v>
      </c>
      <c r="AJ595" s="1174">
        <v>0.2</v>
      </c>
    </row>
    <row r="596" spans="4:36">
      <c r="D596" s="1262" t="s">
        <v>170</v>
      </c>
      <c r="E596" s="1149">
        <v>0.2</v>
      </c>
      <c r="H596" s="1263"/>
      <c r="R596" s="1172"/>
      <c r="S596" s="1172"/>
      <c r="T596" s="1172"/>
      <c r="U596" s="1172"/>
      <c r="V596" s="1172"/>
      <c r="X596" s="1188"/>
      <c r="Y596" s="1188"/>
      <c r="Z596" s="1188"/>
      <c r="AA596" s="1188"/>
      <c r="AG596" s="1188"/>
      <c r="AH596"/>
      <c r="AI596" t="s">
        <v>173</v>
      </c>
      <c r="AJ596" s="1174">
        <v>0.2</v>
      </c>
    </row>
    <row r="597" spans="4:36">
      <c r="D597" s="1262" t="s">
        <v>171</v>
      </c>
      <c r="E597" s="1149">
        <v>0.2</v>
      </c>
      <c r="H597" s="1263"/>
      <c r="R597" s="1172"/>
      <c r="S597" s="1172"/>
      <c r="T597" s="1172"/>
      <c r="U597" s="1172"/>
      <c r="V597" s="1172"/>
      <c r="X597" s="1188"/>
      <c r="Y597" s="1188"/>
      <c r="Z597" s="1188"/>
      <c r="AA597" s="1188"/>
      <c r="AG597" s="1188"/>
      <c r="AH597"/>
      <c r="AI597" t="s">
        <v>174</v>
      </c>
      <c r="AJ597" s="1174">
        <v>0.2</v>
      </c>
    </row>
    <row r="598" spans="4:36">
      <c r="D598" s="1262" t="s">
        <v>172</v>
      </c>
      <c r="E598" s="1149">
        <v>0.2</v>
      </c>
      <c r="H598" s="1263"/>
      <c r="R598" s="1172"/>
      <c r="S598" s="1172"/>
      <c r="T598" s="1172"/>
      <c r="U598" s="1172"/>
      <c r="V598" s="1172"/>
      <c r="X598" s="1188"/>
      <c r="Y598" s="1188"/>
      <c r="Z598" s="1188"/>
      <c r="AA598" s="1188"/>
      <c r="AG598" s="1188"/>
      <c r="AH598"/>
      <c r="AI598" t="s">
        <v>175</v>
      </c>
      <c r="AJ598" s="1174">
        <v>0.2</v>
      </c>
    </row>
    <row r="599" spans="4:36">
      <c r="D599" s="1262" t="s">
        <v>173</v>
      </c>
      <c r="E599" s="1149">
        <v>0.2</v>
      </c>
      <c r="H599" s="1263"/>
      <c r="R599" s="1172"/>
      <c r="S599" s="1172"/>
      <c r="T599" s="1172"/>
      <c r="U599" s="1172"/>
      <c r="V599" s="1172"/>
      <c r="X599" s="1188"/>
      <c r="Y599" s="1188"/>
      <c r="Z599" s="1188"/>
      <c r="AA599" s="1188"/>
      <c r="AG599" s="1188"/>
      <c r="AH599"/>
      <c r="AI599" t="s">
        <v>176</v>
      </c>
      <c r="AJ599" s="1174">
        <v>0.2</v>
      </c>
    </row>
    <row r="600" spans="4:36">
      <c r="D600" s="1262" t="s">
        <v>174</v>
      </c>
      <c r="E600" s="1149">
        <v>0.2</v>
      </c>
      <c r="H600" s="1263"/>
      <c r="R600" s="1172"/>
      <c r="S600" s="1172"/>
      <c r="T600" s="1172"/>
      <c r="U600" s="1172"/>
      <c r="V600" s="1172"/>
      <c r="X600" s="1188"/>
      <c r="Y600" s="1188"/>
      <c r="Z600" s="1188"/>
      <c r="AA600" s="1188"/>
      <c r="AG600" s="1188"/>
      <c r="AH600"/>
      <c r="AI600" t="s">
        <v>177</v>
      </c>
      <c r="AJ600" s="1174">
        <v>0.2</v>
      </c>
    </row>
    <row r="601" spans="4:36">
      <c r="D601" s="1262" t="s">
        <v>175</v>
      </c>
      <c r="E601" s="1149">
        <v>0.2</v>
      </c>
      <c r="H601" s="1263"/>
      <c r="R601" s="1172"/>
      <c r="S601" s="1172"/>
      <c r="T601" s="1172"/>
      <c r="U601" s="1172"/>
      <c r="V601" s="1172"/>
      <c r="X601" s="1188"/>
      <c r="Y601" s="1188"/>
      <c r="Z601" s="1188"/>
      <c r="AA601" s="1188"/>
      <c r="AG601" s="1188"/>
      <c r="AH601"/>
      <c r="AI601" t="s">
        <v>178</v>
      </c>
      <c r="AJ601" s="1174">
        <v>0.2</v>
      </c>
    </row>
    <row r="602" spans="4:36">
      <c r="D602" s="1262" t="s">
        <v>176</v>
      </c>
      <c r="E602" s="1149">
        <v>0.2</v>
      </c>
      <c r="H602" s="1263"/>
      <c r="R602" s="1172"/>
      <c r="S602" s="1172"/>
      <c r="T602" s="1172"/>
      <c r="U602" s="1172"/>
      <c r="V602" s="1172"/>
      <c r="X602" s="1188"/>
      <c r="Y602" s="1188"/>
      <c r="Z602" s="1188"/>
      <c r="AA602" s="1188"/>
      <c r="AG602" s="1188"/>
      <c r="AH602"/>
      <c r="AI602" t="s">
        <v>179</v>
      </c>
      <c r="AJ602" s="1174">
        <v>0.2</v>
      </c>
    </row>
    <row r="603" spans="4:36">
      <c r="D603" s="1262" t="s">
        <v>177</v>
      </c>
      <c r="E603" s="1149">
        <v>0.2</v>
      </c>
      <c r="H603" s="1263"/>
      <c r="R603" s="1172"/>
      <c r="S603" s="1172"/>
      <c r="T603" s="1172"/>
      <c r="U603" s="1172"/>
      <c r="V603" s="1172"/>
      <c r="X603" s="1188"/>
      <c r="Y603" s="1188"/>
      <c r="Z603" s="1188"/>
      <c r="AA603" s="1188"/>
      <c r="AG603" s="1188"/>
      <c r="AH603"/>
      <c r="AI603" t="s">
        <v>180</v>
      </c>
      <c r="AJ603" s="1174">
        <v>0.2</v>
      </c>
    </row>
    <row r="604" spans="4:36">
      <c r="D604" s="1262" t="s">
        <v>178</v>
      </c>
      <c r="E604" s="1149">
        <v>0.2</v>
      </c>
      <c r="H604" s="1263"/>
      <c r="R604" s="1172"/>
      <c r="S604" s="1172"/>
      <c r="T604" s="1172"/>
      <c r="U604" s="1172"/>
      <c r="V604" s="1172"/>
      <c r="X604" s="1188"/>
      <c r="Y604" s="1188"/>
      <c r="Z604" s="1188"/>
      <c r="AA604" s="1188"/>
      <c r="AG604" s="1188"/>
      <c r="AH604"/>
      <c r="AI604" t="s">
        <v>181</v>
      </c>
      <c r="AJ604" s="1174">
        <v>0.2</v>
      </c>
    </row>
    <row r="605" spans="4:36">
      <c r="D605" s="1262" t="s">
        <v>179</v>
      </c>
      <c r="E605" s="1149">
        <v>0.2</v>
      </c>
      <c r="H605" s="1263"/>
      <c r="R605" s="1172"/>
      <c r="S605" s="1172"/>
      <c r="T605" s="1172"/>
      <c r="U605" s="1172"/>
      <c r="V605" s="1172"/>
      <c r="X605" s="1188"/>
      <c r="Y605" s="1188"/>
      <c r="Z605" s="1188"/>
      <c r="AA605" s="1188"/>
      <c r="AG605" s="1188"/>
      <c r="AH605"/>
      <c r="AI605" t="s">
        <v>182</v>
      </c>
      <c r="AJ605" s="1174">
        <v>0.2</v>
      </c>
    </row>
    <row r="606" spans="4:36">
      <c r="D606" s="1262" t="s">
        <v>180</v>
      </c>
      <c r="E606" s="1149">
        <v>0.2</v>
      </c>
      <c r="H606" s="1263"/>
      <c r="R606" s="1172"/>
      <c r="S606" s="1172"/>
      <c r="T606" s="1172"/>
      <c r="U606" s="1172"/>
      <c r="V606" s="1172"/>
      <c r="X606" s="1188"/>
      <c r="Y606" s="1188"/>
      <c r="Z606" s="1188"/>
      <c r="AA606" s="1188"/>
      <c r="AG606" s="1188"/>
      <c r="AH606"/>
      <c r="AI606" t="s">
        <v>183</v>
      </c>
      <c r="AJ606" s="1174">
        <v>0.2</v>
      </c>
    </row>
    <row r="607" spans="4:36">
      <c r="D607" s="1262" t="s">
        <v>181</v>
      </c>
      <c r="E607" s="1149">
        <v>0.2</v>
      </c>
      <c r="H607" s="1263"/>
      <c r="R607" s="1172"/>
      <c r="S607" s="1172"/>
      <c r="T607" s="1172"/>
      <c r="U607" s="1172"/>
      <c r="V607" s="1172"/>
      <c r="X607" s="1188"/>
      <c r="Y607" s="1188"/>
      <c r="Z607" s="1188"/>
      <c r="AA607" s="1188"/>
      <c r="AG607" s="1188"/>
      <c r="AH607"/>
      <c r="AI607" t="s">
        <v>184</v>
      </c>
      <c r="AJ607" s="1174">
        <v>0.2</v>
      </c>
    </row>
    <row r="608" spans="4:36">
      <c r="D608" s="1262" t="s">
        <v>182</v>
      </c>
      <c r="E608" s="1149">
        <v>0.2</v>
      </c>
      <c r="U608" s="1172"/>
      <c r="V608" s="1172"/>
      <c r="W608" s="1172"/>
      <c r="X608" s="1187"/>
    </row>
    <row r="609" spans="4:5">
      <c r="D609" s="1262" t="s">
        <v>183</v>
      </c>
      <c r="E609" s="1149">
        <v>0.2</v>
      </c>
    </row>
    <row r="610" spans="4:5" ht="15" thickBot="1">
      <c r="D610" s="1264" t="s">
        <v>184</v>
      </c>
      <c r="E610" s="1162">
        <v>0.2</v>
      </c>
    </row>
  </sheetData>
  <sheetProtection algorithmName="SHA-512" hashValue="C9N61u7XnNQ77wWc7H5On4ZTmutrCUtTqgS6tyECFboJID3sYwv3YPc0dkNR0VdCpeFIDqmGTRH1qx7Px99KuA==" saltValue="xr4A/IOPsvjwyv+YGxhGzg==" spinCount="100000" sheet="1" formatColumns="0" formatRows="0"/>
  <mergeCells count="56">
    <mergeCell ref="J2:L2"/>
    <mergeCell ref="AA3:AA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 ref="AH3:AH4"/>
    <mergeCell ref="I11:V11"/>
    <mergeCell ref="W11:AF11"/>
    <mergeCell ref="A292:F292"/>
    <mergeCell ref="A257:F257"/>
    <mergeCell ref="A222:F222"/>
    <mergeCell ref="A187:F187"/>
    <mergeCell ref="A152:F152"/>
    <mergeCell ref="A3:E3"/>
    <mergeCell ref="E11:E12"/>
    <mergeCell ref="A117:F117"/>
    <mergeCell ref="A82:F82"/>
    <mergeCell ref="Y5:Y8"/>
    <mergeCell ref="U4:U5"/>
    <mergeCell ref="A4:D4"/>
    <mergeCell ref="A5:D5"/>
    <mergeCell ref="A362:F362"/>
    <mergeCell ref="A223:J223"/>
    <mergeCell ref="A188:J188"/>
    <mergeCell ref="A468:J468"/>
    <mergeCell ref="A572:F572"/>
    <mergeCell ref="A537:F537"/>
    <mergeCell ref="A502:F502"/>
    <mergeCell ref="A467:F467"/>
    <mergeCell ref="AU12:AU19"/>
    <mergeCell ref="AR14:AT14"/>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s>
  <conditionalFormatting sqref="A14:H46">
    <cfRule type="containsText" dxfId="105" priority="327" operator="containsText" text="*">
      <formula>NOT(ISERROR(SEARCH("*",A14)))</formula>
    </cfRule>
  </conditionalFormatting>
  <conditionalFormatting sqref="A49:H81">
    <cfRule type="containsText" dxfId="104" priority="145" operator="containsText" text="*">
      <formula>NOT(ISERROR(SEARCH("*",A49)))</formula>
    </cfRule>
  </conditionalFormatting>
  <conditionalFormatting sqref="A84:H116">
    <cfRule type="containsText" dxfId="103" priority="144" operator="containsText" text="*">
      <formula>NOT(ISERROR(SEARCH("*",A84)))</formula>
    </cfRule>
  </conditionalFormatting>
  <conditionalFormatting sqref="A119:H151">
    <cfRule type="containsText" dxfId="102" priority="143" operator="containsText" text="*">
      <formula>NOT(ISERROR(SEARCH("*",A119)))</formula>
    </cfRule>
  </conditionalFormatting>
  <conditionalFormatting sqref="A154:H186">
    <cfRule type="containsText" dxfId="101" priority="142" operator="containsText" text="*">
      <formula>NOT(ISERROR(SEARCH("*",A154)))</formula>
    </cfRule>
  </conditionalFormatting>
  <conditionalFormatting sqref="A189:H221">
    <cfRule type="containsText" dxfId="100" priority="141" operator="containsText" text="*">
      <formula>NOT(ISERROR(SEARCH("*",A189)))</formula>
    </cfRule>
  </conditionalFormatting>
  <conditionalFormatting sqref="A224:H256">
    <cfRule type="containsText" dxfId="99" priority="140" operator="containsText" text="*">
      <formula>NOT(ISERROR(SEARCH("*",A224)))</formula>
    </cfRule>
  </conditionalFormatting>
  <conditionalFormatting sqref="A259:H291">
    <cfRule type="containsText" dxfId="98" priority="139" operator="containsText" text="*">
      <formula>NOT(ISERROR(SEARCH("*",A259)))</formula>
    </cfRule>
  </conditionalFormatting>
  <conditionalFormatting sqref="A294:H326">
    <cfRule type="containsText" dxfId="97" priority="138" operator="containsText" text="*">
      <formula>NOT(ISERROR(SEARCH("*",A294)))</formula>
    </cfRule>
  </conditionalFormatting>
  <conditionalFormatting sqref="A329:H361">
    <cfRule type="containsText" dxfId="96" priority="137" operator="containsText" text="*">
      <formula>NOT(ISERROR(SEARCH("*",A329)))</formula>
    </cfRule>
  </conditionalFormatting>
  <conditionalFormatting sqref="A364:H396">
    <cfRule type="containsText" dxfId="95" priority="136" operator="containsText" text="*">
      <formula>NOT(ISERROR(SEARCH("*",A364)))</formula>
    </cfRule>
  </conditionalFormatting>
  <conditionalFormatting sqref="A399:H431">
    <cfRule type="containsText" dxfId="94" priority="135" operator="containsText" text="*">
      <formula>NOT(ISERROR(SEARCH("*",A399)))</formula>
    </cfRule>
  </conditionalFormatting>
  <conditionalFormatting sqref="A434:H466">
    <cfRule type="containsText" dxfId="93" priority="134" operator="containsText" text="*">
      <formula>NOT(ISERROR(SEARCH("*",A434)))</formula>
    </cfRule>
  </conditionalFormatting>
  <conditionalFormatting sqref="A469:H501">
    <cfRule type="containsText" dxfId="92" priority="133" operator="containsText" text="*">
      <formula>NOT(ISERROR(SEARCH("*",A469)))</formula>
    </cfRule>
  </conditionalFormatting>
  <conditionalFormatting sqref="A504:H536">
    <cfRule type="containsText" dxfId="91" priority="132" operator="containsText" text="*">
      <formula>NOT(ISERROR(SEARCH("*",A504)))</formula>
    </cfRule>
  </conditionalFormatting>
  <conditionalFormatting sqref="A539:H571">
    <cfRule type="containsText" dxfId="90" priority="131"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89" priority="794">
      <formula>LEN(TRIM(D14))=0</formula>
    </cfRule>
  </conditionalFormatting>
  <conditionalFormatting sqref="K14:K46 K49:K81 K84:K116 K119:K151 K154:K186 K189:K221 K224:K256 K259:K291 K294:K326 K329:K361 K364:K396 K399:K431 K434:K466 K469:K501 K504:K536 K539:K571">
    <cfRule type="containsBlanks" dxfId="88" priority="567">
      <formula>LEN(TRIM(K14))=0</formula>
    </cfRule>
    <cfRule type="containsText" dxfId="87" priority="568" operator="containsText" text="*">
      <formula>NOT(ISERROR(SEARCH("*",K14)))</formula>
    </cfRule>
  </conditionalFormatting>
  <conditionalFormatting sqref="O49:T81">
    <cfRule type="containsText" dxfId="86" priority="229" operator="containsText" text="*">
      <formula>NOT(ISERROR(SEARCH("*",O49)))</formula>
    </cfRule>
  </conditionalFormatting>
  <conditionalFormatting sqref="O84:T116">
    <cfRule type="containsText" dxfId="85" priority="228" operator="containsText" text="*">
      <formula>NOT(ISERROR(SEARCH("*",O84)))</formula>
    </cfRule>
  </conditionalFormatting>
  <conditionalFormatting sqref="O119:T151">
    <cfRule type="containsText" dxfId="84" priority="227" operator="containsText" text="*">
      <formula>NOT(ISERROR(SEARCH("*",O119)))</formula>
    </cfRule>
  </conditionalFormatting>
  <conditionalFormatting sqref="O154:T186">
    <cfRule type="containsText" dxfId="83" priority="226" operator="containsText" text="*">
      <formula>NOT(ISERROR(SEARCH("*",O154)))</formula>
    </cfRule>
  </conditionalFormatting>
  <conditionalFormatting sqref="O189:T221">
    <cfRule type="containsText" dxfId="82" priority="225" operator="containsText" text="*">
      <formula>NOT(ISERROR(SEARCH("*",O189)))</formula>
    </cfRule>
  </conditionalFormatting>
  <conditionalFormatting sqref="O224:T256">
    <cfRule type="containsText" dxfId="81" priority="224" operator="containsText" text="*">
      <formula>NOT(ISERROR(SEARCH("*",O224)))</formula>
    </cfRule>
  </conditionalFormatting>
  <conditionalFormatting sqref="O259:T291">
    <cfRule type="containsText" dxfId="80" priority="238" operator="containsText" text="*">
      <formula>NOT(ISERROR(SEARCH("*",O259)))</formula>
    </cfRule>
  </conditionalFormatting>
  <conditionalFormatting sqref="O294:T326">
    <cfRule type="containsText" dxfId="79" priority="237" operator="containsText" text="*">
      <formula>NOT(ISERROR(SEARCH("*",O294)))</formula>
    </cfRule>
  </conditionalFormatting>
  <conditionalFormatting sqref="O329:T361">
    <cfRule type="containsText" dxfId="78" priority="236" operator="containsText" text="*">
      <formula>NOT(ISERROR(SEARCH("*",O329)))</formula>
    </cfRule>
  </conditionalFormatting>
  <conditionalFormatting sqref="O364:T396">
    <cfRule type="containsText" dxfId="77" priority="235" operator="containsText" text="*">
      <formula>NOT(ISERROR(SEARCH("*",O364)))</formula>
    </cfRule>
  </conditionalFormatting>
  <conditionalFormatting sqref="O399:T431">
    <cfRule type="containsText" dxfId="76" priority="234" operator="containsText" text="*">
      <formula>NOT(ISERROR(SEARCH("*",O399)))</formula>
    </cfRule>
  </conditionalFormatting>
  <conditionalFormatting sqref="O434:T466">
    <cfRule type="containsText" dxfId="75" priority="233" operator="containsText" text="*">
      <formula>NOT(ISERROR(SEARCH("*",O434)))</formula>
    </cfRule>
  </conditionalFormatting>
  <conditionalFormatting sqref="O469:T501">
    <cfRule type="containsText" dxfId="74" priority="232" operator="containsText" text="*">
      <formula>NOT(ISERROR(SEARCH("*",O469)))</formula>
    </cfRule>
  </conditionalFormatting>
  <conditionalFormatting sqref="O504:T536">
    <cfRule type="containsText" dxfId="73" priority="231" operator="containsText" text="*">
      <formula>NOT(ISERROR(SEARCH("*",O504)))</formula>
    </cfRule>
  </conditionalFormatting>
  <conditionalFormatting sqref="O539:T571">
    <cfRule type="containsText" dxfId="72" priority="230" operator="containsText" text="*">
      <formula>NOT(ISERROR(SEARCH("*",O539)))</formula>
    </cfRule>
  </conditionalFormatting>
  <conditionalFormatting sqref="O14:AE46">
    <cfRule type="containsText" dxfId="71" priority="377" operator="containsText" text="*">
      <formula>NOT(ISERROR(SEARCH("*",O14)))</formula>
    </cfRule>
  </conditionalFormatting>
  <conditionalFormatting sqref="U49:X81 U84:X116 U119:X151 U154:X186 U189:X221 U224:X256 U259:X291 U294:X326 U329:X361 U364:X396 U399:X431 U434:X466 U469:X501 U504:X536 U539:X571">
    <cfRule type="containsText" dxfId="70" priority="747" operator="containsText" text="*">
      <formula>NOT(ISERROR(SEARCH("*",U49)))</formula>
    </cfRule>
  </conditionalFormatting>
  <conditionalFormatting sqref="W14:W46 W49:W81 W84:W116 W119:W151 W154:W186 W189:W221 W224:W256 W259:W291 W294:W326 W329:W361 W364:W396 W399:W431 W434:W466 W469:W501 W504:W536 W539:W571">
    <cfRule type="expression" dxfId="69" priority="376">
      <formula>IF($A$13=FALSE,$AD:$AF,)</formula>
    </cfRule>
  </conditionalFormatting>
  <conditionalFormatting sqref="W14:W46">
    <cfRule type="containsText" dxfId="68" priority="262" operator="containsText" text="*">
      <formula>NOT(ISERROR(SEARCH("*",W14)))</formula>
    </cfRule>
  </conditionalFormatting>
  <conditionalFormatting sqref="W49:W81">
    <cfRule type="containsText" dxfId="67" priority="31" operator="containsText" text="*">
      <formula>NOT(ISERROR(SEARCH("*",W49)))</formula>
    </cfRule>
  </conditionalFormatting>
  <conditionalFormatting sqref="W84:W116">
    <cfRule type="containsText" dxfId="66" priority="29" operator="containsText" text="*">
      <formula>NOT(ISERROR(SEARCH("*",W84)))</formula>
    </cfRule>
  </conditionalFormatting>
  <conditionalFormatting sqref="W119:W151">
    <cfRule type="containsText" dxfId="65" priority="27" operator="containsText" text="*">
      <formula>NOT(ISERROR(SEARCH("*",W119)))</formula>
    </cfRule>
  </conditionalFormatting>
  <conditionalFormatting sqref="W154:W186">
    <cfRule type="containsText" dxfId="64" priority="25" operator="containsText" text="*">
      <formula>NOT(ISERROR(SEARCH("*",W154)))</formula>
    </cfRule>
  </conditionalFormatting>
  <conditionalFormatting sqref="W189:W221">
    <cfRule type="containsText" dxfId="63" priority="23" operator="containsText" text="*">
      <formula>NOT(ISERROR(SEARCH("*",W189)))</formula>
    </cfRule>
  </conditionalFormatting>
  <conditionalFormatting sqref="W224:W256">
    <cfRule type="containsText" dxfId="62" priority="21" operator="containsText" text="*">
      <formula>NOT(ISERROR(SEARCH("*",W224)))</formula>
    </cfRule>
  </conditionalFormatting>
  <conditionalFormatting sqref="W259:W291">
    <cfRule type="containsText" dxfId="61" priority="19" operator="containsText" text="*">
      <formula>NOT(ISERROR(SEARCH("*",W259)))</formula>
    </cfRule>
  </conditionalFormatting>
  <conditionalFormatting sqref="W294:W326">
    <cfRule type="containsText" dxfId="60" priority="17" operator="containsText" text="*">
      <formula>NOT(ISERROR(SEARCH("*",W294)))</formula>
    </cfRule>
  </conditionalFormatting>
  <conditionalFormatting sqref="W329:W361">
    <cfRule type="containsText" dxfId="59" priority="15" operator="containsText" text="*">
      <formula>NOT(ISERROR(SEARCH("*",W329)))</formula>
    </cfRule>
  </conditionalFormatting>
  <conditionalFormatting sqref="W364:W396">
    <cfRule type="containsText" dxfId="58" priority="13" operator="containsText" text="*">
      <formula>NOT(ISERROR(SEARCH("*",W364)))</formula>
    </cfRule>
  </conditionalFormatting>
  <conditionalFormatting sqref="W399:W431">
    <cfRule type="containsText" dxfId="57" priority="11" operator="containsText" text="*">
      <formula>NOT(ISERROR(SEARCH("*",W399)))</formula>
    </cfRule>
  </conditionalFormatting>
  <conditionalFormatting sqref="W434:W466">
    <cfRule type="containsText" dxfId="56" priority="9" operator="containsText" text="*">
      <formula>NOT(ISERROR(SEARCH("*",W434)))</formula>
    </cfRule>
  </conditionalFormatting>
  <conditionalFormatting sqref="W469:W501">
    <cfRule type="containsText" dxfId="55" priority="7" operator="containsText" text="*">
      <formula>NOT(ISERROR(SEARCH("*",W469)))</formula>
    </cfRule>
  </conditionalFormatting>
  <conditionalFormatting sqref="W504:W536">
    <cfRule type="containsText" dxfId="54" priority="5" operator="containsText" text="*">
      <formula>NOT(ISERROR(SEARCH("*",W504)))</formula>
    </cfRule>
  </conditionalFormatting>
  <conditionalFormatting sqref="W539:W571">
    <cfRule type="containsText" dxfId="53" priority="1" operator="containsText" text="*">
      <formula>NOT(ISERROR(SEARCH("*",W539)))</formula>
    </cfRule>
  </conditionalFormatting>
  <conditionalFormatting sqref="Y49:AE81">
    <cfRule type="containsText" dxfId="52" priority="161" operator="containsText" text="*">
      <formula>NOT(ISERROR(SEARCH("*",Y49)))</formula>
    </cfRule>
  </conditionalFormatting>
  <conditionalFormatting sqref="Y84:AE116">
    <cfRule type="containsText" dxfId="51" priority="160" operator="containsText" text="*">
      <formula>NOT(ISERROR(SEARCH("*",Y84)))</formula>
    </cfRule>
  </conditionalFormatting>
  <conditionalFormatting sqref="Y119:AE151">
    <cfRule type="containsText" dxfId="50" priority="159" operator="containsText" text="*">
      <formula>NOT(ISERROR(SEARCH("*",Y119)))</formula>
    </cfRule>
  </conditionalFormatting>
  <conditionalFormatting sqref="Y154:AE186">
    <cfRule type="containsText" dxfId="49" priority="158" operator="containsText" text="*">
      <formula>NOT(ISERROR(SEARCH("*",Y154)))</formula>
    </cfRule>
  </conditionalFormatting>
  <conditionalFormatting sqref="Y189:AE221">
    <cfRule type="containsText" dxfId="48" priority="157" operator="containsText" text="*">
      <formula>NOT(ISERROR(SEARCH("*",Y189)))</formula>
    </cfRule>
  </conditionalFormatting>
  <conditionalFormatting sqref="Y224:AE256">
    <cfRule type="containsText" dxfId="47" priority="156" operator="containsText" text="*">
      <formula>NOT(ISERROR(SEARCH("*",Y224)))</formula>
    </cfRule>
  </conditionalFormatting>
  <conditionalFormatting sqref="Y259:AE291">
    <cfRule type="containsText" dxfId="46" priority="155" operator="containsText" text="*">
      <formula>NOT(ISERROR(SEARCH("*",Y259)))</formula>
    </cfRule>
  </conditionalFormatting>
  <conditionalFormatting sqref="Y294:AE326">
    <cfRule type="containsText" dxfId="45" priority="154" operator="containsText" text="*">
      <formula>NOT(ISERROR(SEARCH("*",Y294)))</formula>
    </cfRule>
  </conditionalFormatting>
  <conditionalFormatting sqref="Y329:AE361">
    <cfRule type="containsText" dxfId="44" priority="153" operator="containsText" text="*">
      <formula>NOT(ISERROR(SEARCH("*",Y329)))</formula>
    </cfRule>
  </conditionalFormatting>
  <conditionalFormatting sqref="Y364:AE396">
    <cfRule type="containsText" dxfId="43" priority="152" operator="containsText" text="*">
      <formula>NOT(ISERROR(SEARCH("*",Y364)))</formula>
    </cfRule>
  </conditionalFormatting>
  <conditionalFormatting sqref="Y399:AE431">
    <cfRule type="containsText" dxfId="42" priority="151" operator="containsText" text="*">
      <formula>NOT(ISERROR(SEARCH("*",Y399)))</formula>
    </cfRule>
  </conditionalFormatting>
  <conditionalFormatting sqref="Y434:AE466">
    <cfRule type="containsText" dxfId="41" priority="150" operator="containsText" text="*">
      <formula>NOT(ISERROR(SEARCH("*",Y434)))</formula>
    </cfRule>
  </conditionalFormatting>
  <conditionalFormatting sqref="Y469:AE501">
    <cfRule type="containsText" dxfId="40" priority="149" operator="containsText" text="*">
      <formula>NOT(ISERROR(SEARCH("*",Y469)))</formula>
    </cfRule>
  </conditionalFormatting>
  <conditionalFormatting sqref="Y504:AE536">
    <cfRule type="containsText" dxfId="39" priority="148" operator="containsText" text="*">
      <formula>NOT(ISERROR(SEARCH("*",Y504)))</formula>
    </cfRule>
  </conditionalFormatting>
  <conditionalFormatting sqref="Y539:AE571">
    <cfRule type="containsText" dxfId="38" priority="146" operator="containsText" text="*">
      <formula>NOT(ISERROR(SEARCH("*",Y539)))</formula>
    </cfRule>
  </conditionalFormatting>
  <conditionalFormatting sqref="AH14:AH46">
    <cfRule type="iconSet" priority="799">
      <iconSet>
        <cfvo type="percent" val="0"/>
        <cfvo type="percent" val="30"/>
        <cfvo type="percent" val="30"/>
      </iconSet>
    </cfRule>
    <cfRule type="iconSet" priority="798">
      <iconSet showValue="0">
        <cfvo type="percent" val="0"/>
        <cfvo type="percent" val="$AG$14"/>
        <cfvo type="percent" val="$AH$1863"/>
      </iconSet>
    </cfRule>
    <cfRule type="containsText" dxfId="37" priority="796" operator="containsText" text="ERROR">
      <formula>NOT(ISERROR(SEARCH("ERROR",AH14)))</formula>
    </cfRule>
    <cfRule type="containsText" dxfId="36" priority="797" operator="containsText" text="OK">
      <formula>NOT(ISERROR(SEARCH("OK",AH14)))</formula>
    </cfRule>
  </conditionalFormatting>
  <conditionalFormatting sqref="AH49:AH81">
    <cfRule type="containsText" dxfId="35" priority="696" operator="containsText" text="ERROR">
      <formula>NOT(ISERROR(SEARCH("ERROR",AH49)))</formula>
    </cfRule>
    <cfRule type="containsText" dxfId="34" priority="697" operator="containsText" text="OK">
      <formula>NOT(ISERROR(SEARCH("OK",AH49)))</formula>
    </cfRule>
    <cfRule type="iconSet" priority="698">
      <iconSet showValue="0">
        <cfvo type="percent" val="0"/>
        <cfvo type="percent" val="$AG$14"/>
        <cfvo type="percent" val="$AH$1863"/>
      </iconSet>
    </cfRule>
    <cfRule type="iconSet" priority="699">
      <iconSet>
        <cfvo type="percent" val="0"/>
        <cfvo type="percent" val="30"/>
        <cfvo type="percent" val="30"/>
      </iconSet>
    </cfRule>
  </conditionalFormatting>
  <conditionalFormatting sqref="AH84:AH116">
    <cfRule type="containsText" dxfId="33" priority="692" operator="containsText" text="ERROR">
      <formula>NOT(ISERROR(SEARCH("ERROR",AH84)))</formula>
    </cfRule>
    <cfRule type="containsText" dxfId="32" priority="693" operator="containsText" text="OK">
      <formula>NOT(ISERROR(SEARCH("OK",AH84)))</formula>
    </cfRule>
    <cfRule type="iconSet" priority="695">
      <iconSet>
        <cfvo type="percent" val="0"/>
        <cfvo type="percent" val="30"/>
        <cfvo type="percent" val="30"/>
      </iconSet>
    </cfRule>
    <cfRule type="iconSet" priority="694">
      <iconSet showValue="0">
        <cfvo type="percent" val="0"/>
        <cfvo type="percent" val="$AG$14"/>
        <cfvo type="percent" val="$AH$1863"/>
      </iconSet>
    </cfRule>
  </conditionalFormatting>
  <conditionalFormatting sqref="AH119:AH151">
    <cfRule type="containsText" dxfId="31" priority="688" operator="containsText" text="ERROR">
      <formula>NOT(ISERROR(SEARCH("ERROR",AH119)))</formula>
    </cfRule>
    <cfRule type="containsText" dxfId="30" priority="689" operator="containsText" text="OK">
      <formula>NOT(ISERROR(SEARCH("OK",AH119)))</formula>
    </cfRule>
    <cfRule type="iconSet" priority="691">
      <iconSet>
        <cfvo type="percent" val="0"/>
        <cfvo type="percent" val="30"/>
        <cfvo type="percent" val="30"/>
      </iconSet>
    </cfRule>
    <cfRule type="iconSet" priority="690">
      <iconSet showValue="0">
        <cfvo type="percent" val="0"/>
        <cfvo type="percent" val="$AG$14"/>
        <cfvo type="percent" val="$AH$1863"/>
      </iconSet>
    </cfRule>
  </conditionalFormatting>
  <conditionalFormatting sqref="AH154:AH186">
    <cfRule type="iconSet" priority="687">
      <iconSet>
        <cfvo type="percent" val="0"/>
        <cfvo type="percent" val="30"/>
        <cfvo type="percent" val="30"/>
      </iconSet>
    </cfRule>
    <cfRule type="iconSet" priority="686">
      <iconSet showValue="0">
        <cfvo type="percent" val="0"/>
        <cfvo type="percent" val="$AG$14"/>
        <cfvo type="percent" val="$AH$1863"/>
      </iconSet>
    </cfRule>
    <cfRule type="containsText" dxfId="29" priority="685" operator="containsText" text="OK">
      <formula>NOT(ISERROR(SEARCH("OK",AH154)))</formula>
    </cfRule>
    <cfRule type="containsText" dxfId="28" priority="684" operator="containsText" text="ERROR">
      <formula>NOT(ISERROR(SEARCH("ERROR",AH154)))</formula>
    </cfRule>
  </conditionalFormatting>
  <conditionalFormatting sqref="AH189:AH221">
    <cfRule type="containsText" dxfId="27" priority="680" operator="containsText" text="ERROR">
      <formula>NOT(ISERROR(SEARCH("ERROR",AH189)))</formula>
    </cfRule>
    <cfRule type="containsText" dxfId="26" priority="681" operator="containsText" text="OK">
      <formula>NOT(ISERROR(SEARCH("OK",AH189)))</formula>
    </cfRule>
    <cfRule type="iconSet" priority="683">
      <iconSet>
        <cfvo type="percent" val="0"/>
        <cfvo type="percent" val="30"/>
        <cfvo type="percent" val="30"/>
      </iconSet>
    </cfRule>
    <cfRule type="iconSet" priority="682">
      <iconSet showValue="0">
        <cfvo type="percent" val="0"/>
        <cfvo type="percent" val="$AG$14"/>
        <cfvo type="percent" val="$AH$1863"/>
      </iconSet>
    </cfRule>
  </conditionalFormatting>
  <conditionalFormatting sqref="AH224:AH256">
    <cfRule type="iconSet" priority="678">
      <iconSet showValue="0">
        <cfvo type="percent" val="0"/>
        <cfvo type="percent" val="$AG$14"/>
        <cfvo type="percent" val="$AH$1863"/>
      </iconSet>
    </cfRule>
    <cfRule type="containsText" dxfId="25" priority="676" operator="containsText" text="ERROR">
      <formula>NOT(ISERROR(SEARCH("ERROR",AH224)))</formula>
    </cfRule>
    <cfRule type="iconSet" priority="679">
      <iconSet>
        <cfvo type="percent" val="0"/>
        <cfvo type="percent" val="30"/>
        <cfvo type="percent" val="30"/>
      </iconSet>
    </cfRule>
    <cfRule type="containsText" dxfId="24" priority="677" operator="containsText" text="OK">
      <formula>NOT(ISERROR(SEARCH("OK",AH224)))</formula>
    </cfRule>
  </conditionalFormatting>
  <conditionalFormatting sqref="AH259:AH291">
    <cfRule type="iconSet" priority="674">
      <iconSet showValue="0">
        <cfvo type="percent" val="0"/>
        <cfvo type="percent" val="$AG$14"/>
        <cfvo type="percent" val="$AH$1863"/>
      </iconSet>
    </cfRule>
    <cfRule type="containsText" dxfId="23" priority="672" operator="containsText" text="ERROR">
      <formula>NOT(ISERROR(SEARCH("ERROR",AH259)))</formula>
    </cfRule>
    <cfRule type="containsText" dxfId="22" priority="673" operator="containsText" text="OK">
      <formula>NOT(ISERROR(SEARCH("OK",AH259)))</formula>
    </cfRule>
    <cfRule type="iconSet" priority="675">
      <iconSet>
        <cfvo type="percent" val="0"/>
        <cfvo type="percent" val="30"/>
        <cfvo type="percent" val="30"/>
      </iconSet>
    </cfRule>
  </conditionalFormatting>
  <conditionalFormatting sqref="AH294:AH326">
    <cfRule type="iconSet" priority="670">
      <iconSet showValue="0">
        <cfvo type="percent" val="0"/>
        <cfvo type="percent" val="$AG$14"/>
        <cfvo type="percent" val="$AH$1863"/>
      </iconSet>
    </cfRule>
    <cfRule type="containsText" dxfId="21" priority="668" operator="containsText" text="ERROR">
      <formula>NOT(ISERROR(SEARCH("ERROR",AH294)))</formula>
    </cfRule>
    <cfRule type="containsText" dxfId="20" priority="669" operator="containsText" text="OK">
      <formula>NOT(ISERROR(SEARCH("OK",AH294)))</formula>
    </cfRule>
    <cfRule type="iconSet" priority="671">
      <iconSet>
        <cfvo type="percent" val="0"/>
        <cfvo type="percent" val="30"/>
        <cfvo type="percent" val="30"/>
      </iconSet>
    </cfRule>
  </conditionalFormatting>
  <conditionalFormatting sqref="AH329:AH361">
    <cfRule type="containsText" dxfId="19" priority="664" operator="containsText" text="ERROR">
      <formula>NOT(ISERROR(SEARCH("ERROR",AH329)))</formula>
    </cfRule>
    <cfRule type="containsText" dxfId="18" priority="665" operator="containsText" text="OK">
      <formula>NOT(ISERROR(SEARCH("OK",AH329)))</formula>
    </cfRule>
    <cfRule type="iconSet" priority="666">
      <iconSet showValue="0">
        <cfvo type="percent" val="0"/>
        <cfvo type="percent" val="$AG$14"/>
        <cfvo type="percent" val="$AH$1863"/>
      </iconSet>
    </cfRule>
    <cfRule type="iconSet" priority="667">
      <iconSet>
        <cfvo type="percent" val="0"/>
        <cfvo type="percent" val="30"/>
        <cfvo type="percent" val="30"/>
      </iconSet>
    </cfRule>
  </conditionalFormatting>
  <conditionalFormatting sqref="AH364:AH396">
    <cfRule type="iconSet" priority="663">
      <iconSet>
        <cfvo type="percent" val="0"/>
        <cfvo type="percent" val="30"/>
        <cfvo type="percent" val="30"/>
      </iconSet>
    </cfRule>
    <cfRule type="iconSet" priority="662">
      <iconSet showValue="0">
        <cfvo type="percent" val="0"/>
        <cfvo type="percent" val="$AG$14"/>
        <cfvo type="percent" val="$AH$1863"/>
      </iconSet>
    </cfRule>
    <cfRule type="containsText" dxfId="17" priority="661" operator="containsText" text="OK">
      <formula>NOT(ISERROR(SEARCH("OK",AH364)))</formula>
    </cfRule>
    <cfRule type="containsText" dxfId="16" priority="660" operator="containsText" text="ERROR">
      <formula>NOT(ISERROR(SEARCH("ERROR",AH364)))</formula>
    </cfRule>
  </conditionalFormatting>
  <conditionalFormatting sqref="AH399:AH431">
    <cfRule type="iconSet" priority="659">
      <iconSet>
        <cfvo type="percent" val="0"/>
        <cfvo type="percent" val="30"/>
        <cfvo type="percent" val="30"/>
      </iconSet>
    </cfRule>
    <cfRule type="iconSet" priority="658">
      <iconSet showValue="0">
        <cfvo type="percent" val="0"/>
        <cfvo type="percent" val="$AG$14"/>
        <cfvo type="percent" val="$AH$1863"/>
      </iconSet>
    </cfRule>
    <cfRule type="containsText" dxfId="15" priority="656" operator="containsText" text="ERROR">
      <formula>NOT(ISERROR(SEARCH("ERROR",AH399)))</formula>
    </cfRule>
    <cfRule type="containsText" dxfId="14" priority="657" operator="containsText" text="OK">
      <formula>NOT(ISERROR(SEARCH("OK",AH399)))</formula>
    </cfRule>
  </conditionalFormatting>
  <conditionalFormatting sqref="AH434:AH466">
    <cfRule type="containsText" dxfId="13" priority="652" operator="containsText" text="ERROR">
      <formula>NOT(ISERROR(SEARCH("ERROR",AH434)))</formula>
    </cfRule>
    <cfRule type="containsText" dxfId="12" priority="653" operator="containsText" text="OK">
      <formula>NOT(ISERROR(SEARCH("OK",AH434)))</formula>
    </cfRule>
    <cfRule type="iconSet" priority="654">
      <iconSet showValue="0">
        <cfvo type="percent" val="0"/>
        <cfvo type="percent" val="$AG$14"/>
        <cfvo type="percent" val="$AH$1863"/>
      </iconSet>
    </cfRule>
    <cfRule type="iconSet" priority="655">
      <iconSet>
        <cfvo type="percent" val="0"/>
        <cfvo type="percent" val="30"/>
        <cfvo type="percent" val="30"/>
      </iconSet>
    </cfRule>
  </conditionalFormatting>
  <conditionalFormatting sqref="AH469:AH501">
    <cfRule type="containsText" dxfId="11" priority="648" operator="containsText" text="ERROR">
      <formula>NOT(ISERROR(SEARCH("ERROR",AH469)))</formula>
    </cfRule>
    <cfRule type="containsText" dxfId="10" priority="649" operator="containsText" text="OK">
      <formula>NOT(ISERROR(SEARCH("OK",AH469)))</formula>
    </cfRule>
    <cfRule type="iconSet" priority="650">
      <iconSet showValue="0">
        <cfvo type="percent" val="0"/>
        <cfvo type="percent" val="$AG$14"/>
        <cfvo type="percent" val="$AH$1863"/>
      </iconSet>
    </cfRule>
    <cfRule type="iconSet" priority="651">
      <iconSet>
        <cfvo type="percent" val="0"/>
        <cfvo type="percent" val="30"/>
        <cfvo type="percent" val="30"/>
      </iconSet>
    </cfRule>
  </conditionalFormatting>
  <conditionalFormatting sqref="AH504:AH536">
    <cfRule type="containsText" dxfId="9" priority="644" operator="containsText" text="ERROR">
      <formula>NOT(ISERROR(SEARCH("ERROR",AH504)))</formula>
    </cfRule>
    <cfRule type="containsText" dxfId="8" priority="645" operator="containsText" text="OK">
      <formula>NOT(ISERROR(SEARCH("OK",AH504)))</formula>
    </cfRule>
    <cfRule type="iconSet" priority="646">
      <iconSet showValue="0">
        <cfvo type="percent" val="0"/>
        <cfvo type="percent" val="$AG$14"/>
        <cfvo type="percent" val="$AH$1863"/>
      </iconSet>
    </cfRule>
    <cfRule type="iconSet" priority="647">
      <iconSet>
        <cfvo type="percent" val="0"/>
        <cfvo type="percent" val="30"/>
        <cfvo type="percent" val="30"/>
      </iconSet>
    </cfRule>
  </conditionalFormatting>
  <conditionalFormatting sqref="AH539:AH571">
    <cfRule type="containsText" dxfId="7" priority="637" operator="containsText" text="OK">
      <formula>NOT(ISERROR(SEARCH("OK",AH539)))</formula>
    </cfRule>
    <cfRule type="iconSet" priority="638">
      <iconSet showValue="0">
        <cfvo type="percent" val="0"/>
        <cfvo type="percent" val="$AG$14"/>
        <cfvo type="percent" val="$AH$1863"/>
      </iconSet>
    </cfRule>
    <cfRule type="iconSet" priority="639">
      <iconSet>
        <cfvo type="percent" val="0"/>
        <cfvo type="percent" val="30"/>
        <cfvo type="percent" val="30"/>
      </iconSet>
    </cfRule>
    <cfRule type="containsText" dxfId="6" priority="636" operator="containsText" text="ERROR">
      <formula>NOT(ISERROR(SEARCH("ERROR",AH539)))</formula>
    </cfRule>
  </conditionalFormatting>
  <conditionalFormatting sqref="AI14:AI15">
    <cfRule type="iconSet" priority="731">
      <iconSet iconSet="3Symbols" showValue="0">
        <cfvo type="percent" val="0"/>
        <cfvo type="percent" val="0.3"/>
        <cfvo type="percent" val="0.5"/>
      </iconSet>
    </cfRule>
  </conditionalFormatting>
  <dataValidations count="1">
    <dataValidation type="list" allowBlank="1" showInputMessage="1" showErrorMessage="1" sqref="E504:E536 E539:E571 E49:E81 E84:E116 E119:E151 E154:E186 E189:E221 E224:E256 E259:E291 E294:E326 E329:E361 E364:E396 E399:E431 E434:E466 E469:E501 E14:E46" xr:uid="{D39A8067-ACE5-9549-88E1-9F40E63C0757}">
      <formula1>Mobiliario</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ErrorMessage="1" xr:uid="{84D5F539-7594-B245-9689-55ED80F9A2FA}">
          <x14:formula1>
            <xm:f>Proveedores!$A$2:$A$32</xm:f>
          </x14:formula1>
          <xm:sqref>F539:F571 F49:F81 F84:F116 F119:F151 F154:F186 F189:F221 F224:F256 F259:F291 F294:F326 F329:F361 F364:F396 F399:F431 F434:F466 F469:F501 F504:F536 F14:F46</xm:sqref>
        </x14:dataValidation>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P49:P81 P84:P116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Normal="110" zoomScaleSheetLayoutView="120" workbookViewId="0">
      <selection activeCell="D98" sqref="D98"/>
    </sheetView>
  </sheetViews>
  <sheetFormatPr baseColWidth="10" defaultColWidth="10.6328125" defaultRowHeight="13.5"/>
  <cols>
    <col min="1" max="1" width="29.453125" style="11" customWidth="1"/>
    <col min="2" max="3" width="31.6328125" style="11" customWidth="1"/>
    <col min="4" max="4" width="19.81640625" style="11" customWidth="1"/>
    <col min="5" max="5" width="27.453125" style="149" customWidth="1"/>
    <col min="6" max="6" width="26.453125" style="11" customWidth="1"/>
    <col min="7" max="23" width="11" style="11" customWidth="1"/>
    <col min="24" max="16384" width="10.6328125" style="11"/>
  </cols>
  <sheetData>
    <row r="1" spans="1:27" s="6" customFormat="1" ht="45.75" customHeight="1">
      <c r="A1" s="161" t="s">
        <v>185</v>
      </c>
      <c r="B1" s="30"/>
      <c r="C1" s="5"/>
      <c r="D1" s="1278"/>
      <c r="E1" s="1279"/>
      <c r="F1" s="1278"/>
      <c r="G1" s="1278"/>
      <c r="H1" s="1278"/>
      <c r="I1" s="1278"/>
      <c r="J1" s="1278"/>
      <c r="K1" s="1278"/>
      <c r="L1" s="1278"/>
      <c r="M1" s="1278"/>
      <c r="N1" s="1278"/>
      <c r="O1" s="1278"/>
      <c r="P1" s="1278"/>
      <c r="Q1" s="1278"/>
      <c r="R1" s="1278"/>
      <c r="S1" s="1278"/>
      <c r="T1" s="1278"/>
    </row>
    <row r="2" spans="1:27" s="6" customFormat="1" ht="13.5" customHeight="1">
      <c r="A2" s="162" t="s">
        <v>186</v>
      </c>
      <c r="B2" s="5"/>
      <c r="C2" s="5"/>
      <c r="D2" s="1278"/>
      <c r="E2" s="1279"/>
      <c r="F2" s="1278"/>
      <c r="G2" s="1278"/>
      <c r="H2" s="1278"/>
      <c r="I2" s="1278"/>
      <c r="J2" s="1278"/>
      <c r="K2" s="1278"/>
      <c r="L2" s="1278"/>
      <c r="M2" s="1278"/>
      <c r="N2" s="1278"/>
      <c r="O2" s="1278"/>
      <c r="P2" s="1278"/>
      <c r="Q2" s="1278"/>
      <c r="R2" s="1278"/>
      <c r="S2" s="1278"/>
      <c r="T2" s="1278"/>
    </row>
    <row r="3" spans="1:27" s="6" customFormat="1" ht="15.75" customHeight="1">
      <c r="A3" s="163" t="s">
        <v>187</v>
      </c>
      <c r="B3" s="152" t="s">
        <v>188</v>
      </c>
      <c r="C3" s="164" t="str">
        <f>IF(OR(B3="usd",B3="mxn")," ","HAY QUE ESPECIFICAR MONEDA")</f>
        <v xml:space="preserve"> </v>
      </c>
      <c r="D3" s="1278"/>
      <c r="E3" s="1279"/>
      <c r="F3" s="1278"/>
      <c r="G3" s="1278"/>
      <c r="H3" s="1278"/>
      <c r="I3" s="1278"/>
      <c r="J3" s="1278"/>
      <c r="K3" s="1278"/>
      <c r="L3" s="1278"/>
      <c r="M3" s="1278"/>
      <c r="N3" s="1278"/>
      <c r="O3" s="1278"/>
      <c r="P3" s="1278"/>
      <c r="Q3" s="1278"/>
      <c r="R3" s="1278"/>
      <c r="S3" s="1278"/>
      <c r="T3" s="1278"/>
    </row>
    <row r="4" spans="1:27" s="7" customFormat="1" ht="13">
      <c r="C4" s="20"/>
      <c r="D4" s="23"/>
      <c r="E4" s="138"/>
      <c r="F4" s="23"/>
      <c r="G4" s="23"/>
      <c r="H4" s="23"/>
      <c r="I4" s="23"/>
      <c r="J4" s="23"/>
      <c r="K4" s="23"/>
      <c r="L4" s="23"/>
      <c r="M4" s="23"/>
      <c r="N4" s="23"/>
      <c r="O4" s="23"/>
      <c r="P4" s="23"/>
      <c r="Q4" s="23"/>
      <c r="R4" s="23"/>
      <c r="S4" s="23"/>
      <c r="T4" s="23"/>
    </row>
    <row r="5" spans="1:27" s="7" customFormat="1" ht="18.5">
      <c r="A5" s="1461" t="s">
        <v>189</v>
      </c>
      <c r="B5" s="1462"/>
      <c r="C5" s="1463"/>
      <c r="D5" s="23"/>
      <c r="E5" s="138"/>
      <c r="F5" s="23"/>
      <c r="G5" s="23"/>
      <c r="H5" s="23"/>
      <c r="I5" s="23"/>
      <c r="J5" s="23"/>
      <c r="K5" s="23"/>
      <c r="L5" s="23"/>
      <c r="M5" s="23"/>
      <c r="N5" s="23"/>
      <c r="O5" s="23"/>
      <c r="P5" s="23"/>
      <c r="Q5" s="23"/>
      <c r="R5" s="23"/>
      <c r="S5" s="23"/>
      <c r="T5" s="23"/>
    </row>
    <row r="6" spans="1:27" s="9" customFormat="1" ht="18.5">
      <c r="A6" s="124" t="s">
        <v>190</v>
      </c>
      <c r="B6" s="125" t="s">
        <v>83</v>
      </c>
      <c r="C6" s="126" t="s">
        <v>191</v>
      </c>
      <c r="D6" s="132"/>
      <c r="E6" s="4"/>
      <c r="F6" s="24"/>
      <c r="G6" s="132"/>
      <c r="H6" s="25"/>
      <c r="I6" s="24"/>
      <c r="J6" s="24"/>
      <c r="K6" s="24"/>
      <c r="L6" s="24"/>
      <c r="M6" s="24"/>
      <c r="N6" s="24"/>
      <c r="O6" s="24"/>
      <c r="P6" s="24"/>
      <c r="Q6" s="24"/>
      <c r="R6" s="24"/>
      <c r="S6" s="24"/>
      <c r="T6" s="24"/>
      <c r="U6" s="8"/>
      <c r="V6" s="8"/>
      <c r="W6" s="8"/>
      <c r="X6" s="8"/>
      <c r="Y6" s="8"/>
      <c r="Z6" s="8"/>
      <c r="AA6" s="8"/>
    </row>
    <row r="7" spans="1:27" ht="14.5">
      <c r="A7" s="165" t="s">
        <v>192</v>
      </c>
      <c r="B7" s="31">
        <f>SUMIF(Mobiliti!$G$14:$G$571,"P00500",Mobiliti!$AC$14:$AC$571)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4.5">
      <c r="A8" s="165" t="s">
        <v>193</v>
      </c>
      <c r="B8" s="31">
        <f>SUMIF(Mobiliti!$G$14:$G$571,"P00172",Mobiliti!$AC$14:$AC$571)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4.5">
      <c r="A9" s="165" t="s">
        <v>194</v>
      </c>
      <c r="B9" s="31">
        <f>SUMIF(Mobiliti!$G$14:$G$571,"P00173",Mobiliti!$AC$14:$AC$571)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4.5">
      <c r="A10" s="165" t="s">
        <v>195</v>
      </c>
      <c r="B10" s="31">
        <f>SUMIF(Mobiliti!$G$14:$G$571,"P00180",Mobiliti!$AC$14:$AC$571)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5">
      <c r="A11" s="165" t="s">
        <v>196</v>
      </c>
      <c r="B11" s="31">
        <f>SUMIF(Mobiliti!$G$14:$G$571,"P00181",Mobiliti!$AC$14:$AC$571)</f>
        <v>0</v>
      </c>
      <c r="C11" s="839">
        <f>SUMIF(Mobiliti!$G$14:$G$571,"P00181",Mobiliti!$N$14:$N$571)</f>
        <v>0</v>
      </c>
      <c r="D11" s="1278"/>
      <c r="E11" s="4"/>
      <c r="F11" s="1"/>
      <c r="G11" s="1"/>
      <c r="H11" s="1"/>
      <c r="I11" s="1"/>
      <c r="J11" s="1"/>
      <c r="K11" s="1"/>
      <c r="L11" s="1"/>
      <c r="M11" s="1"/>
      <c r="N11" s="1"/>
      <c r="O11" s="1"/>
      <c r="P11" s="1"/>
      <c r="Q11" s="1"/>
      <c r="R11" s="1"/>
      <c r="S11" s="1"/>
      <c r="T11" s="1"/>
      <c r="U11" s="10"/>
      <c r="V11" s="10"/>
      <c r="W11" s="10"/>
      <c r="X11" s="10"/>
      <c r="Y11" s="10"/>
      <c r="Z11" s="10"/>
      <c r="AA11" s="10"/>
    </row>
    <row r="12" spans="1:27" ht="14.5">
      <c r="A12" s="165" t="s">
        <v>197</v>
      </c>
      <c r="B12" s="31">
        <f>SUMIF(Mobiliti!$G$14:$G$571,"P00182",Mobiliti!$AC$14:$AC$571)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4.5">
      <c r="A13" s="165" t="s">
        <v>198</v>
      </c>
      <c r="B13" s="31">
        <f>SUMIF(Mobiliti!$G$14:$G$571,"P00186",Mobiliti!$AC$14:$AC$571)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4.5">
      <c r="A14" s="165" t="s">
        <v>199</v>
      </c>
      <c r="B14" s="31">
        <f>SUMIF(Mobiliti!$G$14:$G$571,"P00187",Mobiliti!$AC$14:$AC$571)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4.5">
      <c r="A15" s="165" t="s">
        <v>200</v>
      </c>
      <c r="B15" s="31">
        <f>SUMIF(Mobiliti!$G$14:$G$571,"P00339",Mobiliti!$AC$14:$AC$571)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4.5">
      <c r="A16" s="165" t="s">
        <v>201</v>
      </c>
      <c r="B16" s="31">
        <f>SUMIF(Mobiliti!$G$14:$G$571,"P00183",Mobiliti!$AC$14:$AC$571)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4.5">
      <c r="A17" s="165" t="s">
        <v>202</v>
      </c>
      <c r="B17" s="31">
        <f>SUMIF(Mobiliti!$G$14:$G$571,"P00184",Mobiliti!$AC$14:$AC$571)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4.5">
      <c r="A18" s="165" t="s">
        <v>203</v>
      </c>
      <c r="B18" s="31">
        <f>SUMIF(Mobiliti!$G$14:$G$571,"P00185",Mobiliti!$AC$14:$AC$571)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4.5">
      <c r="A19" s="165" t="s">
        <v>204</v>
      </c>
      <c r="B19" s="31">
        <f>SUMIF(Mobiliti!$G$14:$G$571,"P00713",Mobiliti!$AC$14:$AC$571)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4.5">
      <c r="A20" s="165" t="s">
        <v>205</v>
      </c>
      <c r="B20" s="31">
        <f>SUMIF(Mobiliti!$G$14:$G$571,"P00714",Mobiliti!$AC$14:$AC$571)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4.5">
      <c r="A21" s="165" t="s">
        <v>206</v>
      </c>
      <c r="B21" s="31">
        <f>SUMIF(Mobiliti!$G$14:$G$571,"P00715",Mobiliti!$AC$14:$AC$571)</f>
        <v>0</v>
      </c>
      <c r="C21" s="839">
        <f>SUMIF(Mobiliti!$G$14:$G$571,"P00715",Mobiliti!$N$14:$N$571)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4.5">
      <c r="A22" s="165" t="s">
        <v>207</v>
      </c>
      <c r="B22" s="31">
        <f>SUMIF(Mobiliti!$G$14:$G$571,"P00209",Mobiliti!$AC$14:$AC$571)</f>
        <v>0</v>
      </c>
      <c r="C22" s="839">
        <f>SUMIF(Mobiliti!$G$14:$G$571,"P00209",Mobiliti!$N$14:$N$571)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4.5">
      <c r="A23" s="165" t="s">
        <v>208</v>
      </c>
      <c r="B23" s="31">
        <f>SUMIF(Mobiliti!$G$14:$G$571,"P00131",Mobiliti!$AC$14:$AC$571)</f>
        <v>0</v>
      </c>
      <c r="C23" s="839">
        <f>SUMIF(Mobiliti!$G$14:$G$571,"P00131",Mobiliti!$N$14:$N$571)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4.5">
      <c r="A24" s="165" t="s">
        <v>209</v>
      </c>
      <c r="B24" s="31">
        <f>SUMIF(Mobiliti!$G$14:$G$571,"P00251",Mobiliti!$AC$14:$AC$571)</f>
        <v>0</v>
      </c>
      <c r="C24" s="839">
        <f>SUMIF(Mobiliti!$G$14:$G$571,"P00251",Mobiliti!$N$14:$N$571)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4.5">
      <c r="A25" s="165" t="s">
        <v>210</v>
      </c>
      <c r="B25" s="31">
        <f>SUMIF(Mobiliti!$G$14:$G$571,"P00741",Mobiliti!$AC$14:$AC$571)</f>
        <v>0</v>
      </c>
      <c r="C25" s="839">
        <f>SUMIF(Mobiliti!$G$14:$G$571,"P00741",Mobiliti!$N$14:$N$571)</f>
        <v>0</v>
      </c>
      <c r="D25" s="190" t="s">
        <v>211</v>
      </c>
      <c r="E25" s="4"/>
      <c r="F25" s="1"/>
      <c r="G25" s="1"/>
      <c r="H25" s="1"/>
      <c r="I25" s="1"/>
      <c r="J25" s="1"/>
      <c r="K25" s="1"/>
      <c r="L25" s="1"/>
      <c r="M25" s="1"/>
      <c r="N25" s="1"/>
      <c r="O25" s="1"/>
      <c r="P25" s="1"/>
      <c r="Q25" s="1"/>
      <c r="R25" s="1"/>
      <c r="S25" s="1"/>
      <c r="T25" s="1"/>
      <c r="U25" s="10"/>
      <c r="V25" s="10"/>
      <c r="W25" s="10"/>
      <c r="X25" s="10"/>
      <c r="Y25" s="10"/>
      <c r="Z25" s="10"/>
      <c r="AA25" s="10"/>
    </row>
    <row r="26" spans="1:27" ht="14.5">
      <c r="A26" s="165" t="s">
        <v>212</v>
      </c>
      <c r="B26" s="31">
        <f>SUMIF(Mobiliti!$G$14:$G$571,"P00176",Mobiliti!$AC$14:$AC$571)</f>
        <v>0</v>
      </c>
      <c r="C26" s="839">
        <f>SUMIF(Mobiliti!$G$14:$G$571,"P00176",Mobiliti!$N$14:$N$571)</f>
        <v>0</v>
      </c>
      <c r="D26" s="190" t="s">
        <v>213</v>
      </c>
      <c r="E26" s="4"/>
      <c r="F26" s="1"/>
      <c r="G26" s="1"/>
      <c r="H26" s="1"/>
      <c r="I26" s="1"/>
      <c r="J26" s="1"/>
      <c r="K26" s="1"/>
      <c r="L26" s="1"/>
      <c r="M26" s="1"/>
      <c r="N26" s="1"/>
      <c r="O26" s="1"/>
      <c r="P26" s="1"/>
      <c r="Q26" s="1"/>
      <c r="R26" s="1"/>
      <c r="S26" s="1"/>
      <c r="T26" s="1"/>
      <c r="U26" s="10"/>
      <c r="V26" s="10"/>
      <c r="W26" s="10"/>
      <c r="X26" s="10"/>
      <c r="Y26" s="10"/>
      <c r="Z26" s="10"/>
      <c r="AA26" s="10"/>
    </row>
    <row r="27" spans="1:27" ht="14.5">
      <c r="A27" s="165" t="s">
        <v>214</v>
      </c>
      <c r="B27" s="31">
        <f>SUMIF(Mobiliti!$G$14:$G$571,"P00375",Mobiliti!$AC$14:$AC$571)</f>
        <v>0</v>
      </c>
      <c r="C27" s="839">
        <f>SUMIF(Mobiliti!$G$14:$G$571,"P00375",Mobiliti!$N$14:$N$571)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4.5">
      <c r="A28" s="165" t="s">
        <v>215</v>
      </c>
      <c r="B28" s="31">
        <f>SUMIF(Mobiliti!$G$14:$G$571,"P00376",Mobiliti!$AC$14:$AC$571)</f>
        <v>0</v>
      </c>
      <c r="C28" s="839">
        <f>SUMIF(Mobiliti!$G$14:$G$571,"P00376",Mobiliti!$N$14:$N$571)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4.5">
      <c r="A29" s="165" t="s">
        <v>216</v>
      </c>
      <c r="B29" s="31">
        <f>SUMIF(Mobiliti!$G$14:$G$571,"P00709",Mobiliti!$AC$14:$AC$571)</f>
        <v>0</v>
      </c>
      <c r="C29" s="839">
        <f>SUMIF(Mobiliti!$G$14:$G$571,"P00709",Mobiliti!$N$14:$N$571)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4.5">
      <c r="A30" s="165" t="s">
        <v>217</v>
      </c>
      <c r="B30" s="31">
        <f>SUMIF(Mobiliti!$G$14:$G$571,"P00455",Mobiliti!$AC$14:$AC$571)</f>
        <v>0</v>
      </c>
      <c r="C30" s="839">
        <f>SUMIF(Mobiliti!$G$14:$G$571,"P00455",Mobiliti!$N$14:$N$571)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4.5">
      <c r="A31" s="165" t="s">
        <v>218</v>
      </c>
      <c r="B31" s="31">
        <f>SUMIF(Mobiliti!$G$14:$G$571,"P00188",Mobiliti!$AC$14:$AC$571)</f>
        <v>0</v>
      </c>
      <c r="C31" s="839">
        <f>SUMIF(Mobiliti!$G$14:$G$571,"P00188",Mobiliti!$N$14:$N$571)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4.5">
      <c r="A32" s="165" t="s">
        <v>219</v>
      </c>
      <c r="B32" s="31">
        <f>SUMIF(Mobiliti!$G$14:$G$571,"P00354",Mobiliti!$AC$14:$AC$571)</f>
        <v>0</v>
      </c>
      <c r="C32" s="839">
        <f>SUMIF(Mobiliti!$G$14:$G$571,"P00354",Mobiliti!$N$14:$N$571)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4.5">
      <c r="A33" s="165" t="s">
        <v>220</v>
      </c>
      <c r="B33" s="31">
        <f>SUMIF(Mobiliti!$G$14:$G$571,"P00143",Mobiliti!$AC$14:$AC$571)</f>
        <v>0</v>
      </c>
      <c r="C33" s="839">
        <f>SUMIF(Mobiliti!$G$14:$G$571,"P00143",Mobiliti!$N$14:$N$571)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4.5">
      <c r="A34" s="165" t="s">
        <v>221</v>
      </c>
      <c r="B34" s="31">
        <f>SUMIF(Mobiliti!$G$14:$G$571,"P00128",Mobiliti!$AC$14:$AC$571)</f>
        <v>0</v>
      </c>
      <c r="C34" s="839">
        <f>SUMIF(Mobiliti!$G$14:$G$571,"P00128",Mobiliti!$N$14:$N$571)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4.5">
      <c r="A35" s="165" t="s">
        <v>222</v>
      </c>
      <c r="B35" s="31">
        <f>SUMIF(Mobiliti!$G$14:$G$571,"P00128-1",Mobiliti!$AC$14:$AC$571)</f>
        <v>0</v>
      </c>
      <c r="C35" s="839">
        <f>SUMIF(Mobiliti!$G$14:$G$571,"P00128-1",Mobiliti!$N$14:$N$571)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4.5">
      <c r="A36" s="165" t="s">
        <v>223</v>
      </c>
      <c r="B36" s="31">
        <f>SUMIF(Mobiliti!$G$14:$G$571,"P00128-2",Mobiliti!$AC$14:$AC$571)</f>
        <v>0</v>
      </c>
      <c r="C36" s="839">
        <f>SUMIF(Mobiliti!$G$14:$G$571,"P00128-2",Mobiliti!$N$14:$N$571)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4.5">
      <c r="A37" s="165" t="s">
        <v>224</v>
      </c>
      <c r="B37" s="31">
        <f>SUMIF(Mobiliti!$G$14:$G$571,"P00539",Mobiliti!$AC$14:$AC$571)</f>
        <v>0</v>
      </c>
      <c r="C37" s="839">
        <f>SUMIF(Mobiliti!$G$14:$G$571,"P00539",Mobiliti!$N$14:$N$571)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7">
      <c r="A38" s="35" t="s">
        <v>184</v>
      </c>
      <c r="B38" s="36">
        <f>SUM(B7:B26)</f>
        <v>0</v>
      </c>
      <c r="C38" s="32">
        <f>SUM(C7:C26)</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5.5">
      <c r="A39" s="1"/>
      <c r="B39" s="21"/>
      <c r="C39" s="1278"/>
      <c r="D39" s="1"/>
      <c r="E39" s="4"/>
      <c r="F39" s="1"/>
      <c r="G39" s="1"/>
      <c r="H39" s="1"/>
      <c r="I39" s="1"/>
      <c r="J39" s="1"/>
      <c r="K39" s="1"/>
      <c r="L39" s="1"/>
      <c r="M39" s="1"/>
      <c r="N39" s="1"/>
      <c r="O39" s="1"/>
      <c r="P39" s="1"/>
      <c r="Q39" s="1"/>
      <c r="R39" s="1"/>
      <c r="S39" s="1"/>
      <c r="T39" s="1"/>
      <c r="U39" s="10"/>
      <c r="V39" s="10"/>
      <c r="W39" s="10"/>
      <c r="X39" s="10"/>
      <c r="Y39" s="10"/>
      <c r="Z39" s="10"/>
      <c r="AA39" s="10"/>
    </row>
    <row r="40" spans="1:27" ht="18.5">
      <c r="A40" s="1455" t="s">
        <v>225</v>
      </c>
      <c r="B40" s="1456"/>
      <c r="C40" s="1457"/>
      <c r="D40" s="1"/>
      <c r="E40" s="4"/>
      <c r="F40" s="1"/>
      <c r="G40" s="1"/>
      <c r="H40" s="1"/>
      <c r="I40" s="1"/>
      <c r="J40" s="1"/>
      <c r="K40" s="1"/>
      <c r="L40" s="1"/>
      <c r="M40" s="1"/>
      <c r="N40" s="1"/>
      <c r="O40" s="1"/>
      <c r="P40" s="1"/>
      <c r="Q40" s="1"/>
      <c r="R40" s="1"/>
      <c r="S40" s="1"/>
      <c r="T40" s="1"/>
      <c r="U40" s="10"/>
      <c r="V40" s="10"/>
      <c r="W40" s="10"/>
      <c r="X40" s="10"/>
      <c r="Y40" s="10"/>
      <c r="Z40" s="10"/>
      <c r="AA40" s="10"/>
    </row>
    <row r="41" spans="1:27" ht="15.5">
      <c r="A41" s="1453" t="s">
        <v>226</v>
      </c>
      <c r="B41" s="1454"/>
      <c r="C41" s="153">
        <v>0</v>
      </c>
      <c r="D41" s="1"/>
      <c r="E41" s="4"/>
      <c r="F41" s="1"/>
      <c r="G41" s="1"/>
      <c r="H41" s="1"/>
      <c r="I41" s="1"/>
      <c r="J41" s="1"/>
      <c r="K41" s="1"/>
      <c r="L41" s="1"/>
      <c r="M41" s="1"/>
      <c r="N41" s="1"/>
      <c r="O41" s="1"/>
      <c r="P41" s="1"/>
      <c r="Q41" s="1"/>
      <c r="R41" s="1"/>
      <c r="S41" s="1"/>
      <c r="T41" s="1"/>
      <c r="U41" s="10"/>
      <c r="V41" s="10"/>
      <c r="W41" s="10"/>
      <c r="X41" s="10"/>
      <c r="Y41" s="10"/>
      <c r="Z41" s="10"/>
      <c r="AA41" s="10"/>
    </row>
    <row r="42" spans="1:27" ht="15.5">
      <c r="A42" s="1453" t="s">
        <v>227</v>
      </c>
      <c r="B42" s="1454"/>
      <c r="C42" s="154">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5">
      <c r="A43" s="1453" t="s">
        <v>228</v>
      </c>
      <c r="B43" s="1454"/>
      <c r="C43" s="155">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5">
      <c r="A44" s="1453" t="s">
        <v>229</v>
      </c>
      <c r="B44" s="1454"/>
      <c r="C44" s="153">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5">
      <c r="A45" s="1453" t="s">
        <v>230</v>
      </c>
      <c r="B45" s="1454"/>
      <c r="C45" s="154">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5">
      <c r="A46" s="1453" t="s">
        <v>231</v>
      </c>
      <c r="B46" s="1454"/>
      <c r="C46" s="155">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7">
      <c r="A47" s="1459" t="s">
        <v>232</v>
      </c>
      <c r="B47" s="1460"/>
      <c r="C47" s="33">
        <f>SUM(C41:C46)</f>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5.5">
      <c r="A48" s="1"/>
      <c r="B48" s="21"/>
      <c r="C48" s="1278"/>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8.5">
      <c r="A49" s="1455" t="s">
        <v>233</v>
      </c>
      <c r="B49" s="1456"/>
      <c r="C49" s="1457"/>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5.5">
      <c r="A50" s="1280"/>
      <c r="B50" s="1464" t="s">
        <v>234</v>
      </c>
      <c r="C50" s="1465"/>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4.5">
      <c r="A51" s="22"/>
      <c r="B51" s="166" t="s">
        <v>235</v>
      </c>
      <c r="C51" s="166" t="s">
        <v>236</v>
      </c>
      <c r="D51" s="1"/>
      <c r="E51" s="4"/>
      <c r="F51" s="1"/>
      <c r="G51" s="1"/>
      <c r="H51" s="1"/>
      <c r="I51" s="1"/>
      <c r="J51" s="1"/>
      <c r="K51" s="1"/>
      <c r="L51" s="1"/>
      <c r="M51" s="1"/>
      <c r="N51" s="1"/>
      <c r="O51" s="1"/>
      <c r="P51" s="1"/>
      <c r="Q51" s="1"/>
      <c r="R51" s="1"/>
      <c r="S51" s="1"/>
      <c r="T51" s="1"/>
      <c r="U51" s="10"/>
      <c r="V51" s="10"/>
      <c r="W51" s="10"/>
      <c r="X51" s="10"/>
      <c r="Y51" s="10"/>
      <c r="Z51" s="10"/>
      <c r="AA51" s="10"/>
    </row>
    <row r="52" spans="1:27" ht="14.5">
      <c r="A52" s="167" t="s">
        <v>237</v>
      </c>
      <c r="B52" s="168">
        <v>23</v>
      </c>
      <c r="C52" s="168">
        <v>450</v>
      </c>
      <c r="D52" s="1"/>
      <c r="E52" s="195" t="s">
        <v>238</v>
      </c>
      <c r="F52" s="196">
        <v>150</v>
      </c>
      <c r="G52" s="1"/>
      <c r="H52" s="1"/>
      <c r="I52" s="1"/>
      <c r="J52" s="1"/>
      <c r="K52" s="1"/>
      <c r="L52" s="1"/>
      <c r="M52" s="1"/>
      <c r="N52" s="1"/>
      <c r="O52" s="1"/>
      <c r="P52" s="1"/>
      <c r="Q52" s="1"/>
      <c r="R52" s="1"/>
      <c r="S52" s="1"/>
      <c r="T52" s="1"/>
      <c r="U52" s="10"/>
      <c r="V52" s="10"/>
      <c r="W52" s="10"/>
      <c r="X52" s="10"/>
      <c r="Y52" s="10"/>
      <c r="Z52" s="10"/>
      <c r="AA52" s="10"/>
    </row>
    <row r="53" spans="1:27" ht="14.5">
      <c r="A53" s="167" t="s">
        <v>239</v>
      </c>
      <c r="B53" s="156">
        <v>0</v>
      </c>
      <c r="C53" s="156">
        <v>0</v>
      </c>
      <c r="D53" s="1"/>
      <c r="E53" s="195" t="s">
        <v>240</v>
      </c>
      <c r="F53" s="196">
        <v>292</v>
      </c>
      <c r="G53" s="1"/>
      <c r="H53" s="1"/>
      <c r="I53" s="1"/>
      <c r="J53" s="1"/>
      <c r="K53" s="1"/>
      <c r="L53" s="1"/>
      <c r="M53" s="1"/>
      <c r="N53" s="1"/>
      <c r="O53" s="1"/>
      <c r="P53" s="1"/>
      <c r="Q53" s="1"/>
      <c r="R53" s="1"/>
      <c r="S53" s="1"/>
      <c r="T53" s="1"/>
      <c r="U53" s="10"/>
      <c r="V53" s="10"/>
      <c r="W53" s="10"/>
      <c r="X53" s="10"/>
      <c r="Y53" s="10"/>
      <c r="Z53" s="10"/>
      <c r="AA53" s="10"/>
    </row>
    <row r="54" spans="1:27" ht="14.5">
      <c r="A54" s="167" t="s">
        <v>241</v>
      </c>
      <c r="B54" s="169">
        <f>B52*B53</f>
        <v>0</v>
      </c>
      <c r="C54" s="169">
        <f>C52*C53</f>
        <v>0</v>
      </c>
      <c r="D54" s="1"/>
      <c r="E54" s="134" t="s">
        <v>242</v>
      </c>
      <c r="F54" s="134">
        <v>22</v>
      </c>
      <c r="G54" s="1"/>
      <c r="H54" s="1"/>
      <c r="I54" s="1"/>
      <c r="J54" s="1"/>
      <c r="K54" s="1"/>
      <c r="L54" s="1"/>
      <c r="M54" s="1"/>
      <c r="N54" s="1"/>
      <c r="O54" s="1"/>
      <c r="P54" s="1"/>
      <c r="Q54" s="1"/>
      <c r="R54" s="1"/>
      <c r="S54" s="1"/>
      <c r="T54" s="1"/>
      <c r="U54" s="10"/>
      <c r="V54" s="10"/>
      <c r="W54" s="10"/>
      <c r="X54" s="10"/>
      <c r="Y54" s="10"/>
      <c r="Z54" s="10"/>
      <c r="AA54" s="10"/>
    </row>
    <row r="55" spans="1:27" ht="17">
      <c r="A55" s="1459" t="s">
        <v>243</v>
      </c>
      <c r="B55" s="1460"/>
      <c r="C55" s="33">
        <f>IF(B54&gt;0,B54,C54)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4.5">
      <c r="A56" s="190"/>
      <c r="B56" s="190"/>
      <c r="C56" s="190"/>
      <c r="E56" s="139"/>
      <c r="F56" s="135"/>
    </row>
    <row r="57" spans="1:27" ht="14.5">
      <c r="A57" s="1"/>
      <c r="B57" s="1"/>
      <c r="C57" s="1"/>
      <c r="D57" s="1"/>
      <c r="E57" s="139"/>
      <c r="F57" s="135"/>
      <c r="G57" s="1"/>
      <c r="H57" s="1"/>
      <c r="I57" s="1"/>
      <c r="J57" s="1"/>
      <c r="K57" s="1"/>
      <c r="L57" s="1"/>
      <c r="M57" s="1"/>
      <c r="N57" s="1"/>
      <c r="O57" s="1"/>
      <c r="P57" s="1"/>
      <c r="Q57" s="1"/>
      <c r="R57" s="1"/>
      <c r="S57" s="1"/>
      <c r="T57" s="1"/>
      <c r="U57" s="10"/>
      <c r="V57" s="10"/>
      <c r="W57" s="10"/>
      <c r="X57" s="10"/>
      <c r="Y57" s="10"/>
      <c r="Z57" s="10"/>
      <c r="AA57" s="10"/>
    </row>
    <row r="58" spans="1:27" ht="18.5">
      <c r="A58" s="1455" t="s">
        <v>244</v>
      </c>
      <c r="B58" s="1456"/>
      <c r="C58" s="1457"/>
      <c r="D58" s="135"/>
      <c r="E58" s="26" t="s">
        <v>245</v>
      </c>
      <c r="F58" s="135"/>
      <c r="G58" s="1"/>
      <c r="H58" s="1"/>
      <c r="I58" s="1"/>
      <c r="J58" s="1"/>
      <c r="K58" s="1"/>
      <c r="L58" s="1"/>
      <c r="M58" s="1"/>
      <c r="N58" s="1"/>
      <c r="O58" s="1"/>
      <c r="P58" s="1"/>
      <c r="Q58" s="1"/>
      <c r="R58" s="1"/>
      <c r="S58" s="1"/>
      <c r="T58" s="1"/>
      <c r="U58" s="10"/>
      <c r="V58" s="10"/>
      <c r="W58" s="10"/>
      <c r="X58" s="10"/>
      <c r="Y58" s="10"/>
      <c r="Z58" s="10"/>
      <c r="AA58" s="10"/>
    </row>
    <row r="59" spans="1:27" ht="14.5">
      <c r="A59" s="1"/>
      <c r="B59" s="1458" t="s">
        <v>246</v>
      </c>
      <c r="C59" s="1458"/>
      <c r="D59" s="151">
        <f>Cotizacion!H25</f>
        <v>0</v>
      </c>
      <c r="E59" s="140">
        <f>C38</f>
        <v>0</v>
      </c>
      <c r="F59" s="136" t="s">
        <v>247</v>
      </c>
      <c r="G59" s="1"/>
      <c r="H59" s="1"/>
      <c r="I59" s="1"/>
      <c r="J59" s="1"/>
      <c r="K59" s="1"/>
      <c r="L59" s="1"/>
      <c r="M59" s="1"/>
      <c r="N59" s="1"/>
      <c r="O59" s="1"/>
      <c r="P59" s="1"/>
      <c r="Q59" s="1"/>
      <c r="R59" s="1"/>
      <c r="S59" s="1"/>
      <c r="T59" s="1"/>
      <c r="U59" s="10"/>
      <c r="V59" s="10"/>
      <c r="W59" s="10"/>
      <c r="X59" s="10"/>
      <c r="Y59" s="10"/>
      <c r="Z59" s="10"/>
      <c r="AA59" s="10"/>
    </row>
    <row r="60" spans="1:27" ht="15.5">
      <c r="A60" s="170" t="s">
        <v>248</v>
      </c>
      <c r="B60" s="157">
        <v>0.06</v>
      </c>
      <c r="C60" s="158">
        <v>0</v>
      </c>
      <c r="D60" s="1"/>
      <c r="E60" s="140">
        <f>C26*1.16</f>
        <v>0</v>
      </c>
      <c r="F60" s="136" t="s">
        <v>249</v>
      </c>
      <c r="G60" s="1"/>
      <c r="H60" s="1"/>
      <c r="I60" s="1"/>
      <c r="J60" s="1"/>
      <c r="K60" s="1"/>
      <c r="L60" s="1"/>
      <c r="M60" s="1"/>
      <c r="N60" s="1"/>
      <c r="O60" s="1"/>
      <c r="P60" s="1"/>
      <c r="Q60" s="1"/>
      <c r="R60" s="1"/>
      <c r="S60" s="1"/>
      <c r="T60" s="1"/>
      <c r="U60" s="10"/>
      <c r="V60" s="10"/>
      <c r="W60" s="10"/>
      <c r="X60" s="10"/>
      <c r="Y60" s="10"/>
      <c r="Z60" s="10"/>
      <c r="AA60" s="10"/>
    </row>
    <row r="61" spans="1:27" ht="15.5">
      <c r="A61" s="170" t="s">
        <v>250</v>
      </c>
      <c r="B61" s="159">
        <v>0.06</v>
      </c>
      <c r="C61" s="158">
        <v>0</v>
      </c>
      <c r="D61" s="1"/>
      <c r="E61" s="140"/>
      <c r="F61" s="136" t="s">
        <v>251</v>
      </c>
      <c r="G61" s="1"/>
      <c r="H61" s="1"/>
      <c r="I61" s="1"/>
      <c r="J61" s="1"/>
      <c r="K61" s="1"/>
      <c r="L61" s="1"/>
      <c r="M61" s="1"/>
      <c r="N61" s="1"/>
      <c r="O61" s="1"/>
      <c r="P61" s="1"/>
      <c r="Q61" s="1"/>
      <c r="R61" s="1"/>
      <c r="S61" s="1"/>
      <c r="T61" s="1"/>
      <c r="U61" s="10"/>
      <c r="V61" s="10"/>
      <c r="W61" s="10"/>
      <c r="X61" s="10"/>
      <c r="Y61" s="10"/>
      <c r="Z61" s="10"/>
      <c r="AA61" s="10"/>
    </row>
    <row r="62" spans="1:27" ht="15.5">
      <c r="A62" s="167" t="s">
        <v>252</v>
      </c>
      <c r="B62" s="1281">
        <f>IF(B60=0, C60,B60*B38)</f>
        <v>0</v>
      </c>
      <c r="C62" s="171"/>
      <c r="D62" s="1"/>
      <c r="E62" s="140"/>
      <c r="F62" s="136" t="s">
        <v>253</v>
      </c>
      <c r="G62" s="1"/>
      <c r="H62" s="1"/>
      <c r="I62" s="1"/>
      <c r="J62" s="1"/>
      <c r="K62" s="1"/>
      <c r="L62" s="1"/>
      <c r="M62" s="1"/>
      <c r="N62" s="1"/>
      <c r="O62" s="1"/>
      <c r="P62" s="1"/>
      <c r="Q62" s="1"/>
      <c r="R62" s="1"/>
      <c r="S62" s="1"/>
      <c r="T62" s="1"/>
      <c r="U62" s="10"/>
      <c r="V62" s="10"/>
      <c r="W62" s="10"/>
      <c r="X62" s="10"/>
      <c r="Y62" s="10"/>
      <c r="Z62" s="10"/>
      <c r="AA62" s="10"/>
    </row>
    <row r="63" spans="1:27" ht="15.5">
      <c r="A63" s="167" t="s">
        <v>254</v>
      </c>
      <c r="B63" s="1281">
        <f>IF(B61=0, C61,B61*B38)</f>
        <v>0</v>
      </c>
      <c r="C63" s="172"/>
      <c r="D63" s="1"/>
      <c r="E63" s="140"/>
      <c r="F63" s="134" t="s">
        <v>255</v>
      </c>
      <c r="G63" s="1"/>
      <c r="H63" s="1"/>
      <c r="I63" s="1"/>
      <c r="J63" s="1"/>
      <c r="K63" s="1"/>
      <c r="L63" s="1"/>
      <c r="M63" s="1"/>
      <c r="N63" s="1"/>
      <c r="O63" s="1"/>
      <c r="P63" s="1"/>
      <c r="Q63" s="1"/>
      <c r="R63" s="1"/>
      <c r="S63" s="1"/>
      <c r="T63" s="1"/>
      <c r="U63" s="10"/>
      <c r="V63" s="10"/>
      <c r="W63" s="10"/>
      <c r="X63" s="10"/>
      <c r="Y63" s="10"/>
      <c r="Z63" s="10"/>
      <c r="AA63" s="10"/>
    </row>
    <row r="64" spans="1:27" ht="14.5">
      <c r="A64" s="1"/>
      <c r="B64" s="1"/>
      <c r="C64" s="1"/>
      <c r="D64" s="1"/>
      <c r="E64" s="140"/>
      <c r="F64" s="134" t="s">
        <v>256</v>
      </c>
      <c r="G64" s="1"/>
      <c r="H64" s="1"/>
      <c r="I64" s="1"/>
      <c r="J64" s="1"/>
      <c r="K64" s="1"/>
      <c r="L64" s="1"/>
      <c r="M64" s="1"/>
      <c r="N64" s="1"/>
      <c r="O64" s="1"/>
      <c r="P64" s="1"/>
      <c r="Q64" s="1"/>
      <c r="R64" s="1"/>
      <c r="S64" s="1"/>
      <c r="T64" s="1"/>
      <c r="U64" s="10"/>
      <c r="V64" s="10"/>
      <c r="W64" s="10"/>
      <c r="X64" s="10"/>
      <c r="Y64" s="10"/>
      <c r="Z64" s="10"/>
      <c r="AA64" s="10"/>
    </row>
    <row r="65" spans="1:27" ht="18.5">
      <c r="A65" s="1455" t="s">
        <v>257</v>
      </c>
      <c r="B65" s="1456"/>
      <c r="C65" s="1457"/>
      <c r="D65" s="1"/>
      <c r="E65" s="140"/>
      <c r="F65" s="134" t="s">
        <v>258</v>
      </c>
      <c r="G65" s="1"/>
      <c r="H65" s="1"/>
      <c r="I65" s="1"/>
      <c r="J65" s="1"/>
      <c r="K65" s="1"/>
      <c r="L65" s="1"/>
      <c r="M65" s="1"/>
      <c r="N65" s="1"/>
      <c r="O65" s="1"/>
      <c r="P65" s="1"/>
      <c r="Q65" s="1"/>
      <c r="R65" s="1"/>
      <c r="S65" s="1"/>
      <c r="T65" s="1"/>
      <c r="U65" s="10"/>
      <c r="V65" s="10"/>
      <c r="W65" s="10"/>
      <c r="X65" s="10"/>
      <c r="Y65" s="10"/>
      <c r="Z65" s="10"/>
      <c r="AA65" s="10"/>
    </row>
    <row r="66" spans="1:27" ht="15.5">
      <c r="A66" s="167" t="s">
        <v>259</v>
      </c>
      <c r="B66" s="1281">
        <f>B63</f>
        <v>0</v>
      </c>
      <c r="C66" s="10"/>
      <c r="D66" s="1"/>
      <c r="E66" s="140"/>
      <c r="F66" s="134" t="s">
        <v>260</v>
      </c>
      <c r="G66" s="1"/>
      <c r="H66" s="1"/>
      <c r="I66" s="1"/>
      <c r="J66" s="1"/>
      <c r="K66" s="1"/>
      <c r="L66" s="1"/>
      <c r="M66" s="1"/>
      <c r="N66" s="1"/>
      <c r="O66" s="1"/>
      <c r="P66" s="1"/>
      <c r="Q66" s="1"/>
      <c r="R66" s="1"/>
      <c r="S66" s="1"/>
      <c r="T66" s="1"/>
      <c r="U66" s="10"/>
      <c r="V66" s="10"/>
      <c r="W66" s="10"/>
      <c r="X66" s="10"/>
      <c r="Y66" s="10"/>
      <c r="Z66" s="10"/>
      <c r="AA66" s="10"/>
    </row>
    <row r="67" spans="1:27" ht="17" customHeight="1">
      <c r="A67" s="39" t="s">
        <v>16</v>
      </c>
      <c r="B67" s="38">
        <f>B38+B66</f>
        <v>0</v>
      </c>
      <c r="C67"/>
      <c r="D67" s="1"/>
      <c r="E67" s="140"/>
      <c r="F67" s="257" t="s">
        <v>261</v>
      </c>
      <c r="G67" s="1"/>
      <c r="H67" s="1"/>
      <c r="I67" s="1"/>
      <c r="J67" s="1"/>
      <c r="K67" s="1"/>
      <c r="L67" s="1"/>
      <c r="M67" s="1"/>
      <c r="N67" s="1"/>
      <c r="O67" s="1"/>
      <c r="P67" s="1"/>
      <c r="Q67" s="1"/>
      <c r="R67" s="1"/>
      <c r="S67" s="1"/>
      <c r="T67" s="1"/>
      <c r="U67" s="10"/>
      <c r="V67" s="10"/>
      <c r="W67" s="10"/>
      <c r="X67" s="10"/>
      <c r="Y67" s="10"/>
      <c r="Z67" s="10"/>
      <c r="AA67" s="10"/>
    </row>
    <row r="68" spans="1:27" ht="15.5">
      <c r="A68" s="167" t="s">
        <v>262</v>
      </c>
      <c r="B68" s="1281">
        <f>B67*16%</f>
        <v>0</v>
      </c>
      <c r="C68" s="1278"/>
      <c r="D68" s="1"/>
      <c r="E68" s="140"/>
      <c r="F68" s="134" t="s">
        <v>263</v>
      </c>
      <c r="G68" s="1"/>
      <c r="H68" s="1"/>
      <c r="I68" s="1"/>
      <c r="J68" s="1"/>
      <c r="K68" s="1"/>
      <c r="L68" s="1"/>
      <c r="M68" s="1"/>
      <c r="N68" s="1"/>
      <c r="O68" s="1"/>
      <c r="P68" s="1"/>
      <c r="Q68" s="1"/>
      <c r="R68" s="1"/>
      <c r="S68" s="1"/>
      <c r="T68" s="1"/>
      <c r="U68" s="10"/>
      <c r="V68" s="10"/>
      <c r="W68" s="10"/>
      <c r="X68" s="10"/>
      <c r="Y68" s="10"/>
      <c r="Z68" s="10"/>
      <c r="AA68" s="10"/>
    </row>
    <row r="69" spans="1:27" ht="15.5">
      <c r="A69" s="39" t="s">
        <v>264</v>
      </c>
      <c r="B69" s="40">
        <f>B67+B68</f>
        <v>0</v>
      </c>
      <c r="C69" s="173"/>
      <c r="D69" s="1"/>
      <c r="E69" s="140"/>
      <c r="F69" s="134" t="s">
        <v>265</v>
      </c>
      <c r="G69" s="1"/>
      <c r="H69" s="1"/>
      <c r="I69" s="1"/>
      <c r="J69" s="1"/>
      <c r="K69" s="1"/>
      <c r="L69" s="1"/>
      <c r="M69" s="1"/>
      <c r="N69" s="1"/>
      <c r="O69" s="1"/>
      <c r="P69" s="1"/>
      <c r="Q69" s="1"/>
      <c r="R69" s="1"/>
      <c r="S69" s="1"/>
      <c r="T69" s="1"/>
      <c r="U69" s="10"/>
      <c r="V69" s="10"/>
      <c r="W69" s="10"/>
      <c r="X69" s="10"/>
      <c r="Y69" s="10"/>
      <c r="Z69" s="10"/>
      <c r="AA69" s="10"/>
    </row>
    <row r="70" spans="1:27" ht="15.5">
      <c r="A70" s="1"/>
      <c r="B70" s="1"/>
      <c r="C70" s="1278"/>
      <c r="D70" s="1"/>
      <c r="E70" s="140"/>
      <c r="F70" s="134" t="s">
        <v>266</v>
      </c>
      <c r="G70" s="1"/>
      <c r="H70" s="1"/>
      <c r="I70" s="1"/>
      <c r="J70" s="1"/>
      <c r="K70" s="1"/>
      <c r="L70" s="1"/>
      <c r="M70" s="1"/>
      <c r="N70" s="1"/>
      <c r="O70" s="1"/>
      <c r="P70" s="1"/>
      <c r="Q70" s="1"/>
      <c r="R70" s="1"/>
      <c r="S70" s="1"/>
      <c r="T70" s="1"/>
      <c r="U70" s="10"/>
      <c r="V70" s="10"/>
      <c r="W70" s="10"/>
      <c r="X70" s="10"/>
      <c r="Y70" s="10"/>
      <c r="Z70" s="10"/>
      <c r="AA70" s="10"/>
    </row>
    <row r="71" spans="1:27" ht="18.5">
      <c r="A71" s="1455" t="s">
        <v>267</v>
      </c>
      <c r="B71" s="1456"/>
      <c r="C71" s="1457"/>
      <c r="D71" s="1"/>
      <c r="E71" s="140">
        <v>0</v>
      </c>
      <c r="F71" s="134" t="s">
        <v>268</v>
      </c>
      <c r="G71" s="1"/>
      <c r="H71" s="1"/>
      <c r="I71" s="1"/>
      <c r="J71" s="1"/>
      <c r="K71" s="1"/>
      <c r="L71" s="1"/>
      <c r="M71" s="1"/>
      <c r="N71" s="1"/>
      <c r="O71" s="1"/>
      <c r="P71" s="1"/>
      <c r="Q71" s="1"/>
      <c r="R71" s="1"/>
      <c r="S71" s="1"/>
      <c r="T71" s="1"/>
      <c r="U71" s="10"/>
      <c r="V71" s="10"/>
      <c r="W71" s="10"/>
      <c r="X71" s="10"/>
      <c r="Y71" s="10"/>
      <c r="Z71" s="10"/>
      <c r="AA71" s="10"/>
    </row>
    <row r="72" spans="1:27" s="1" customFormat="1" ht="15.5">
      <c r="A72" s="1471" t="s">
        <v>269</v>
      </c>
      <c r="B72" s="1472"/>
      <c r="C72" s="1473"/>
      <c r="E72" s="140">
        <f>E59*5%</f>
        <v>0</v>
      </c>
      <c r="F72" s="134" t="s">
        <v>270</v>
      </c>
    </row>
    <row r="73" spans="1:27" ht="15.5">
      <c r="A73" s="1474" t="s">
        <v>271</v>
      </c>
      <c r="B73" s="1474"/>
      <c r="C73" s="174" t="s">
        <v>272</v>
      </c>
      <c r="D73" s="1"/>
      <c r="E73" s="193">
        <f>C97</f>
        <v>0</v>
      </c>
      <c r="F73" s="194" t="s">
        <v>273</v>
      </c>
      <c r="G73" s="1"/>
      <c r="H73" s="1"/>
      <c r="I73" s="1"/>
      <c r="J73" s="1"/>
      <c r="K73" s="1"/>
      <c r="L73" s="1"/>
      <c r="M73" s="1"/>
      <c r="N73" s="1"/>
      <c r="O73" s="1"/>
      <c r="P73" s="1"/>
      <c r="Q73" s="1"/>
      <c r="R73" s="1"/>
      <c r="S73" s="1"/>
      <c r="T73" s="1"/>
      <c r="U73" s="10"/>
      <c r="V73" s="10"/>
      <c r="W73" s="10"/>
      <c r="X73" s="10"/>
      <c r="Y73" s="10"/>
      <c r="Z73" s="10"/>
      <c r="AA73" s="10"/>
    </row>
    <row r="74" spans="1:27" ht="15.5">
      <c r="A74" s="1474" t="s">
        <v>274</v>
      </c>
      <c r="B74" s="1474"/>
      <c r="C74" s="154">
        <v>0</v>
      </c>
      <c r="D74" s="1"/>
      <c r="E74" s="191">
        <f>B63</f>
        <v>0</v>
      </c>
      <c r="F74" s="192" t="s">
        <v>275</v>
      </c>
      <c r="G74" s="1"/>
      <c r="H74" s="1"/>
      <c r="I74" s="1"/>
      <c r="J74" s="1"/>
      <c r="K74" s="1"/>
      <c r="L74" s="1"/>
      <c r="M74" s="1"/>
      <c r="N74" s="1"/>
      <c r="O74" s="1"/>
      <c r="P74" s="1"/>
      <c r="Q74" s="1"/>
      <c r="R74" s="1"/>
      <c r="S74" s="1"/>
      <c r="T74" s="1"/>
      <c r="U74" s="10"/>
      <c r="V74" s="10"/>
      <c r="W74" s="10"/>
      <c r="X74" s="10"/>
      <c r="Y74" s="10"/>
      <c r="Z74" s="10"/>
      <c r="AA74" s="10"/>
    </row>
    <row r="75" spans="1:27" ht="15.5">
      <c r="A75" s="1474" t="s">
        <v>276</v>
      </c>
      <c r="B75" s="1474"/>
      <c r="C75" s="175">
        <f>IF(C73="si",IF(B89=0,B85,B89),0)</f>
        <v>0</v>
      </c>
      <c r="D75" s="1"/>
      <c r="E75" s="141">
        <f>SUM(E59:E74)</f>
        <v>0</v>
      </c>
      <c r="F75" s="133" t="s">
        <v>277</v>
      </c>
      <c r="G75" s="1"/>
      <c r="H75" s="1"/>
      <c r="I75" s="1"/>
      <c r="J75" s="1"/>
      <c r="K75" s="1"/>
      <c r="L75" s="1"/>
      <c r="M75" s="1"/>
      <c r="N75" s="1"/>
      <c r="O75" s="1"/>
      <c r="P75" s="1"/>
      <c r="Q75" s="1"/>
      <c r="R75" s="1"/>
      <c r="S75" s="1"/>
      <c r="T75" s="1"/>
      <c r="U75" s="10"/>
      <c r="V75" s="10"/>
      <c r="W75" s="10"/>
      <c r="X75" s="10"/>
      <c r="Y75" s="10"/>
      <c r="Z75" s="10"/>
      <c r="AA75" s="10"/>
    </row>
    <row r="76" spans="1:27" ht="15.5">
      <c r="A76" s="1452" t="s">
        <v>278</v>
      </c>
      <c r="B76" s="1452"/>
      <c r="C76" s="176">
        <f>IF(C73="si",(C74*0.00023016)*C75,0)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6">
      <c r="A77" s="1"/>
      <c r="B77" s="1"/>
      <c r="C77" s="1"/>
      <c r="D77" s="1278"/>
      <c r="E77" s="239">
        <f>D59-E75</f>
        <v>0</v>
      </c>
      <c r="F77" s="240" t="s">
        <v>279</v>
      </c>
      <c r="G77" s="1278"/>
      <c r="H77" s="1278"/>
      <c r="I77" s="1278"/>
      <c r="J77" s="1278"/>
      <c r="K77" s="1278"/>
      <c r="L77" s="1278"/>
      <c r="M77" s="1278"/>
      <c r="N77" s="1278"/>
      <c r="O77" s="1278"/>
      <c r="P77" s="1278"/>
      <c r="Q77" s="1278"/>
      <c r="R77" s="1278"/>
      <c r="S77" s="1278"/>
      <c r="T77" s="1278"/>
      <c r="U77" s="6"/>
      <c r="V77" s="6"/>
      <c r="W77" s="6"/>
      <c r="X77" s="6"/>
      <c r="Y77" s="6"/>
      <c r="Z77" s="6"/>
      <c r="AA77" s="6"/>
    </row>
    <row r="78" spans="1:27" s="13" customFormat="1" ht="16">
      <c r="A78" s="1471" t="s">
        <v>280</v>
      </c>
      <c r="B78" s="1472"/>
      <c r="C78" s="1473"/>
      <c r="D78" s="1278"/>
      <c r="E78" s="239">
        <f>E77/1.16</f>
        <v>0</v>
      </c>
      <c r="F78" s="240" t="s">
        <v>281</v>
      </c>
      <c r="G78" s="1278"/>
      <c r="H78" s="1278"/>
      <c r="I78" s="1278"/>
      <c r="J78" s="1278"/>
      <c r="K78" s="1278"/>
      <c r="L78" s="1278"/>
      <c r="M78" s="1278"/>
      <c r="N78" s="1278"/>
      <c r="O78" s="1278"/>
      <c r="P78" s="1278"/>
      <c r="Q78" s="1278"/>
      <c r="R78" s="1278"/>
      <c r="S78" s="1278"/>
      <c r="T78" s="1278"/>
      <c r="U78" s="6"/>
      <c r="V78" s="6"/>
      <c r="W78" s="6"/>
      <c r="X78" s="6"/>
      <c r="Y78" s="6"/>
      <c r="Z78" s="6"/>
      <c r="AA78" s="6"/>
    </row>
    <row r="79" spans="1:27" ht="15.5">
      <c r="A79" s="1466" t="s">
        <v>282</v>
      </c>
      <c r="B79" s="1467"/>
      <c r="C79" s="1468"/>
      <c r="D79" s="1"/>
      <c r="E79" s="150" t="e">
        <f>-(E75/D59-1)*1</f>
        <v>#DIV/0!</v>
      </c>
      <c r="F79" s="137" t="s">
        <v>283</v>
      </c>
      <c r="G79" s="1"/>
      <c r="H79" s="1"/>
      <c r="I79" s="1"/>
      <c r="J79" s="1"/>
      <c r="K79" s="1"/>
      <c r="L79" s="1"/>
      <c r="M79" s="1"/>
      <c r="N79" s="1"/>
      <c r="O79" s="1"/>
      <c r="P79" s="1"/>
      <c r="Q79" s="1"/>
      <c r="R79" s="1"/>
      <c r="S79" s="1"/>
      <c r="T79" s="1"/>
      <c r="U79" s="10"/>
      <c r="V79" s="10"/>
      <c r="W79" s="10"/>
      <c r="X79" s="10"/>
      <c r="Y79" s="10"/>
      <c r="Z79" s="10"/>
      <c r="AA79" s="10"/>
    </row>
    <row r="80" spans="1:27" ht="18.75" customHeight="1">
      <c r="A80" s="167" t="s">
        <v>284</v>
      </c>
      <c r="B80" s="167" t="s">
        <v>285</v>
      </c>
      <c r="C80" s="167" t="s">
        <v>81</v>
      </c>
      <c r="D80" s="1"/>
      <c r="E80" s="4"/>
      <c r="F80" s="1"/>
      <c r="G80" s="1"/>
      <c r="H80" s="1"/>
      <c r="I80" s="1"/>
      <c r="J80" s="1"/>
      <c r="K80" s="1"/>
      <c r="L80" s="1"/>
      <c r="M80" s="1"/>
      <c r="N80" s="1"/>
      <c r="O80" s="1"/>
      <c r="P80" s="1"/>
      <c r="Q80" s="1"/>
      <c r="R80" s="1"/>
      <c r="S80" s="1"/>
      <c r="T80" s="1"/>
      <c r="U80" s="10"/>
      <c r="V80" s="10"/>
      <c r="W80" s="10"/>
      <c r="X80" s="10"/>
      <c r="Y80" s="10"/>
      <c r="Z80" s="10"/>
      <c r="AA80" s="10"/>
    </row>
    <row r="81" spans="1:27" ht="15.5">
      <c r="A81" s="1282">
        <v>0.6</v>
      </c>
      <c r="B81" s="177">
        <v>1</v>
      </c>
      <c r="C81" s="178">
        <f>B67*A81</f>
        <v>0</v>
      </c>
      <c r="D81" s="1"/>
      <c r="E81" s="4"/>
      <c r="F81" s="1"/>
      <c r="G81" s="1"/>
      <c r="H81" s="1"/>
      <c r="I81" s="1"/>
      <c r="J81" s="1"/>
      <c r="K81" s="1"/>
      <c r="L81" s="1"/>
      <c r="M81" s="1"/>
      <c r="N81" s="1"/>
      <c r="O81" s="1"/>
      <c r="P81" s="1"/>
      <c r="Q81" s="1"/>
      <c r="R81" s="1"/>
      <c r="S81" s="1"/>
      <c r="T81" s="1"/>
      <c r="U81" s="10"/>
      <c r="V81" s="10"/>
      <c r="W81" s="10"/>
      <c r="X81" s="10"/>
      <c r="Y81" s="10"/>
      <c r="Z81" s="10"/>
      <c r="AA81" s="10"/>
    </row>
    <row r="82" spans="1:27" ht="15.5">
      <c r="A82" s="1278"/>
      <c r="B82" s="37" t="s">
        <v>286</v>
      </c>
      <c r="C82" s="38">
        <f>((C81*0.35%)*B81)</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5">
      <c r="A83" s="1466" t="s">
        <v>287</v>
      </c>
      <c r="B83" s="1467"/>
      <c r="C83" s="1468"/>
      <c r="D83" s="1"/>
      <c r="E83" s="4"/>
      <c r="F83" s="1"/>
      <c r="G83" s="1"/>
      <c r="H83" s="1"/>
      <c r="I83" s="1"/>
      <c r="J83" s="1"/>
      <c r="K83" s="1"/>
      <c r="L83" s="1"/>
      <c r="M83" s="1"/>
      <c r="N83" s="1"/>
      <c r="O83" s="1"/>
      <c r="P83" s="1"/>
      <c r="Q83" s="1"/>
      <c r="R83" s="1"/>
      <c r="S83" s="1"/>
      <c r="T83" s="1"/>
      <c r="U83" s="10"/>
      <c r="V83" s="10"/>
      <c r="W83" s="10"/>
      <c r="X83" s="10"/>
      <c r="Y83" s="10"/>
      <c r="Z83" s="10"/>
      <c r="AA83" s="10"/>
    </row>
    <row r="84" spans="1:27" ht="14.5">
      <c r="A84" s="167" t="s">
        <v>284</v>
      </c>
      <c r="B84" s="167" t="s">
        <v>285</v>
      </c>
      <c r="C84" s="167" t="s">
        <v>81</v>
      </c>
      <c r="D84" s="1"/>
      <c r="E84" s="4"/>
      <c r="F84" s="1"/>
      <c r="G84" s="1"/>
      <c r="H84" s="1"/>
      <c r="I84" s="1"/>
      <c r="J84" s="1"/>
      <c r="K84" s="1"/>
      <c r="L84" s="1"/>
      <c r="M84" s="1"/>
      <c r="N84" s="1"/>
      <c r="O84" s="1"/>
      <c r="P84" s="1"/>
      <c r="Q84" s="1"/>
      <c r="R84" s="1"/>
      <c r="S84" s="1"/>
      <c r="T84" s="1"/>
      <c r="U84" s="10"/>
      <c r="V84" s="10"/>
      <c r="W84" s="10"/>
      <c r="X84" s="10"/>
      <c r="Y84" s="10"/>
      <c r="Z84" s="10"/>
      <c r="AA84" s="10"/>
    </row>
    <row r="85" spans="1:27" ht="15.5">
      <c r="A85" s="1282">
        <v>0.2</v>
      </c>
      <c r="B85" s="177">
        <v>10</v>
      </c>
      <c r="C85" s="178">
        <f>B67*A85</f>
        <v>0</v>
      </c>
      <c r="D85" s="1"/>
      <c r="E85" s="4"/>
      <c r="F85" s="1"/>
      <c r="G85" s="1"/>
      <c r="H85" s="1"/>
      <c r="I85" s="1"/>
      <c r="J85" s="1"/>
      <c r="K85" s="1"/>
      <c r="L85" s="1"/>
      <c r="M85" s="1"/>
      <c r="N85" s="1"/>
      <c r="O85" s="1"/>
      <c r="P85" s="1"/>
      <c r="Q85" s="1"/>
      <c r="R85" s="1"/>
      <c r="S85" s="1"/>
      <c r="T85" s="1"/>
      <c r="U85" s="10"/>
      <c r="V85" s="10"/>
      <c r="W85" s="10"/>
      <c r="X85" s="10"/>
      <c r="Y85" s="10"/>
      <c r="Z85" s="10"/>
      <c r="AA85" s="10"/>
    </row>
    <row r="86" spans="1:27" ht="15.5">
      <c r="A86" s="1283"/>
      <c r="B86" s="37" t="s">
        <v>286</v>
      </c>
      <c r="C86" s="38">
        <f>((C85*0.35%)*B85)</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5">
      <c r="A87" s="1466" t="s">
        <v>288</v>
      </c>
      <c r="B87" s="1467"/>
      <c r="C87" s="1468"/>
      <c r="D87" s="1"/>
      <c r="E87" s="4"/>
      <c r="F87" s="1"/>
      <c r="G87" s="1"/>
      <c r="H87" s="1"/>
      <c r="I87" s="1"/>
      <c r="J87" s="1"/>
      <c r="K87" s="1"/>
      <c r="L87" s="1"/>
      <c r="M87" s="1"/>
      <c r="N87" s="1"/>
      <c r="O87" s="1"/>
      <c r="P87" s="1"/>
      <c r="Q87" s="1"/>
      <c r="R87" s="1"/>
      <c r="S87" s="1"/>
      <c r="T87" s="1"/>
      <c r="U87" s="10"/>
      <c r="V87" s="10"/>
      <c r="W87" s="10"/>
      <c r="X87" s="10"/>
      <c r="Y87" s="10"/>
      <c r="Z87" s="10"/>
      <c r="AA87" s="10"/>
    </row>
    <row r="88" spans="1:27" ht="15.5">
      <c r="A88" s="167" t="s">
        <v>284</v>
      </c>
      <c r="B88" s="167" t="s">
        <v>285</v>
      </c>
      <c r="C88" s="167" t="s">
        <v>81</v>
      </c>
      <c r="D88" s="1"/>
      <c r="E88" s="1279"/>
      <c r="F88" s="1278"/>
      <c r="G88" s="1"/>
      <c r="H88" s="1"/>
      <c r="I88" s="1"/>
      <c r="J88" s="1"/>
      <c r="K88" s="1"/>
      <c r="L88" s="1"/>
      <c r="M88" s="1"/>
      <c r="N88" s="1"/>
      <c r="O88" s="1"/>
      <c r="P88" s="1"/>
      <c r="Q88" s="1"/>
      <c r="R88" s="1"/>
      <c r="S88" s="1"/>
      <c r="T88" s="1"/>
      <c r="U88" s="10"/>
      <c r="V88" s="10"/>
      <c r="W88" s="10"/>
      <c r="X88" s="10"/>
      <c r="Y88" s="10"/>
      <c r="Z88" s="10"/>
      <c r="AA88" s="10"/>
    </row>
    <row r="89" spans="1:27" ht="15.5">
      <c r="A89" s="1282">
        <v>0.2</v>
      </c>
      <c r="B89" s="177">
        <v>14</v>
      </c>
      <c r="C89" s="178">
        <f>B67*A89</f>
        <v>0</v>
      </c>
      <c r="D89" s="1"/>
      <c r="E89" s="1279"/>
      <c r="F89" s="1278"/>
      <c r="G89" s="1"/>
      <c r="H89" s="1"/>
      <c r="I89" s="1"/>
      <c r="J89" s="1"/>
      <c r="K89" s="1"/>
      <c r="L89" s="1"/>
      <c r="M89" s="1"/>
      <c r="N89" s="1"/>
      <c r="O89" s="1"/>
      <c r="P89" s="1"/>
      <c r="Q89" s="1"/>
      <c r="R89" s="1"/>
      <c r="S89" s="1"/>
      <c r="T89" s="1"/>
      <c r="U89" s="10"/>
      <c r="V89" s="10"/>
      <c r="W89" s="10"/>
      <c r="X89" s="10"/>
      <c r="Y89" s="10"/>
      <c r="Z89" s="10"/>
      <c r="AA89" s="10"/>
    </row>
    <row r="90" spans="1:27" ht="15.5">
      <c r="A90" s="26" t="str">
        <f>IF(ROUND((A81+A85+A89), 2)=100%, " ", "REVISAR PORCENTAJES")</f>
        <v xml:space="preserve"> </v>
      </c>
      <c r="B90" s="37" t="s">
        <v>286</v>
      </c>
      <c r="C90" s="38">
        <f>((C89*0.35%)*B89)</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5">
      <c r="A91" s="1469" t="s">
        <v>289</v>
      </c>
      <c r="B91" s="1470"/>
      <c r="C91" s="179">
        <f>C82+C86+C90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7">
      <c r="A92" s="1459" t="s">
        <v>290</v>
      </c>
      <c r="B92" s="1460"/>
      <c r="C92" s="33">
        <f>C76+C91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5.5">
      <c r="A93" s="1"/>
      <c r="B93" s="21"/>
      <c r="C93" s="1278"/>
      <c r="D93" s="1"/>
      <c r="E93" s="4"/>
      <c r="F93" s="1"/>
      <c r="G93" s="1"/>
      <c r="H93" s="1"/>
      <c r="I93" s="1"/>
      <c r="J93" s="1"/>
      <c r="K93" s="1"/>
      <c r="L93" s="1"/>
      <c r="M93" s="1"/>
      <c r="N93" s="1"/>
      <c r="O93" s="1"/>
      <c r="P93" s="1"/>
      <c r="Q93" s="1"/>
      <c r="R93" s="1"/>
      <c r="S93" s="1"/>
      <c r="T93" s="1"/>
      <c r="U93" s="10"/>
      <c r="V93" s="10"/>
      <c r="W93" s="10"/>
      <c r="X93" s="10"/>
      <c r="Y93" s="10"/>
      <c r="Z93" s="10"/>
      <c r="AA93" s="10"/>
    </row>
    <row r="94" spans="1:27" ht="18.5">
      <c r="A94" s="1455" t="s">
        <v>291</v>
      </c>
      <c r="B94" s="1456"/>
      <c r="C94" s="1457"/>
      <c r="D94" s="1"/>
      <c r="E94" s="4"/>
      <c r="F94" s="1"/>
      <c r="G94" s="1"/>
      <c r="H94" s="1"/>
      <c r="I94" s="1"/>
      <c r="J94" s="1"/>
      <c r="K94" s="1"/>
      <c r="L94" s="1"/>
      <c r="M94" s="1"/>
      <c r="N94" s="1"/>
      <c r="O94" s="1"/>
      <c r="P94" s="1"/>
      <c r="Q94" s="1"/>
      <c r="R94" s="1"/>
      <c r="S94" s="1"/>
      <c r="T94" s="1"/>
      <c r="U94" s="10"/>
      <c r="V94" s="10"/>
      <c r="W94" s="10"/>
      <c r="X94" s="10"/>
      <c r="Y94" s="10"/>
      <c r="Z94" s="10"/>
      <c r="AA94" s="10"/>
    </row>
    <row r="95" spans="1:27" ht="15.5">
      <c r="A95" s="1474" t="s">
        <v>292</v>
      </c>
      <c r="B95" s="1474"/>
      <c r="C95" s="153" t="s">
        <v>293</v>
      </c>
      <c r="D95" s="1"/>
      <c r="E95" s="4"/>
      <c r="F95" s="1"/>
      <c r="G95" s="1"/>
      <c r="H95" s="1"/>
      <c r="I95" s="1"/>
      <c r="J95" s="1"/>
      <c r="K95" s="1"/>
      <c r="L95" s="1"/>
      <c r="M95" s="1"/>
      <c r="N95" s="1"/>
      <c r="O95" s="1"/>
      <c r="P95" s="1"/>
      <c r="Q95" s="1"/>
      <c r="R95" s="1"/>
      <c r="S95" s="1"/>
      <c r="T95" s="1"/>
      <c r="U95" s="10"/>
      <c r="V95" s="10"/>
      <c r="W95" s="10"/>
      <c r="X95" s="10"/>
      <c r="Y95" s="10"/>
      <c r="Z95" s="10"/>
      <c r="AA95" s="10"/>
    </row>
    <row r="96" spans="1:27" ht="15.5">
      <c r="A96" s="1474" t="s">
        <v>294</v>
      </c>
      <c r="B96" s="1474"/>
      <c r="C96" s="160">
        <v>0</v>
      </c>
      <c r="D96" s="1"/>
      <c r="E96" s="4"/>
      <c r="F96" s="1"/>
      <c r="G96" s="1"/>
      <c r="H96" s="1"/>
      <c r="I96" s="1"/>
      <c r="J96" s="1"/>
      <c r="K96" s="1"/>
      <c r="L96" s="1"/>
      <c r="M96" s="1"/>
      <c r="N96" s="1"/>
      <c r="O96" s="1"/>
      <c r="P96" s="1"/>
      <c r="Q96" s="1"/>
      <c r="R96" s="1"/>
      <c r="S96" s="1"/>
      <c r="T96" s="1"/>
      <c r="U96" s="10"/>
      <c r="V96" s="10"/>
      <c r="W96" s="10"/>
      <c r="X96" s="10"/>
      <c r="Y96" s="10"/>
      <c r="Z96" s="10"/>
      <c r="AA96" s="10"/>
    </row>
    <row r="97" spans="1:27" ht="17">
      <c r="A97" s="1459" t="s">
        <v>295</v>
      </c>
      <c r="B97" s="1460"/>
      <c r="C97" s="33">
        <f>IF(C96=0,0,D97-B38)</f>
        <v>0</v>
      </c>
      <c r="D97" s="1129">
        <f>B38*1.2</f>
        <v>0</v>
      </c>
      <c r="E97" s="1128"/>
      <c r="F97" s="1"/>
      <c r="G97" s="1"/>
      <c r="H97" s="1"/>
      <c r="I97" s="1"/>
      <c r="J97" s="1"/>
      <c r="K97" s="1"/>
      <c r="L97" s="1"/>
      <c r="M97" s="1"/>
      <c r="N97" s="1"/>
      <c r="O97" s="1"/>
      <c r="P97" s="1"/>
      <c r="Q97" s="1"/>
      <c r="R97" s="1"/>
      <c r="S97" s="1"/>
      <c r="T97" s="1"/>
      <c r="U97" s="10"/>
      <c r="V97" s="10"/>
      <c r="W97" s="10"/>
      <c r="X97" s="10"/>
      <c r="Y97" s="10"/>
      <c r="Z97" s="10"/>
      <c r="AA97" s="10"/>
    </row>
    <row r="98" spans="1:27" ht="14.5">
      <c r="A98" s="1"/>
      <c r="B98" s="1"/>
      <c r="C98" s="1"/>
      <c r="D98" s="1"/>
      <c r="E98" s="4"/>
      <c r="F98" s="1"/>
      <c r="G98" s="1"/>
      <c r="H98" s="1"/>
      <c r="I98" s="1"/>
      <c r="J98" s="1"/>
      <c r="K98" s="1"/>
      <c r="L98" s="1"/>
      <c r="M98" s="1"/>
      <c r="N98" s="1"/>
      <c r="O98" s="1"/>
      <c r="P98" s="1"/>
      <c r="Q98" s="1"/>
      <c r="R98" s="1"/>
      <c r="S98" s="1"/>
      <c r="T98" s="1"/>
      <c r="U98" s="10"/>
      <c r="V98" s="10"/>
      <c r="W98" s="10"/>
      <c r="X98" s="10"/>
      <c r="Y98" s="10"/>
      <c r="Z98" s="10"/>
      <c r="AA98" s="10"/>
    </row>
    <row r="99" spans="1:27" ht="23.5">
      <c r="A99" s="1479" t="s">
        <v>296</v>
      </c>
      <c r="B99" s="1480"/>
      <c r="C99" s="34">
        <f>C38+C92+C55+B62+C97+C47</f>
        <v>0</v>
      </c>
      <c r="D99" s="1"/>
      <c r="E99" s="4"/>
      <c r="F99" s="1"/>
      <c r="G99" s="1"/>
      <c r="H99" s="1"/>
      <c r="I99" s="1"/>
      <c r="J99" s="1"/>
      <c r="K99" s="1"/>
      <c r="L99" s="1"/>
      <c r="M99" s="1"/>
      <c r="N99" s="1"/>
      <c r="O99" s="1"/>
      <c r="P99" s="1"/>
      <c r="Q99" s="1"/>
      <c r="R99" s="1"/>
      <c r="S99" s="1"/>
      <c r="T99" s="1"/>
      <c r="U99" s="10"/>
      <c r="V99" s="10"/>
      <c r="W99" s="10"/>
      <c r="X99" s="10"/>
      <c r="Y99" s="10"/>
      <c r="Z99" s="10"/>
      <c r="AA99" s="10"/>
    </row>
    <row r="100" spans="1:27" ht="14.5">
      <c r="A100" s="1"/>
      <c r="B100" s="1"/>
      <c r="C100" s="1"/>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23.5">
      <c r="A101" s="1481" t="s">
        <v>297</v>
      </c>
      <c r="B101" s="1482"/>
      <c r="C101" s="180">
        <f>B67</f>
        <v>0</v>
      </c>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14.5">
      <c r="A102" s="1"/>
      <c r="B102" s="1"/>
      <c r="C102" s="1"/>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8.5">
      <c r="A103" s="1475" t="s">
        <v>298</v>
      </c>
      <c r="B103" s="1475"/>
      <c r="C103" s="1475"/>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4.5">
      <c r="A104" s="1476" t="s">
        <v>299</v>
      </c>
      <c r="B104" s="1476"/>
      <c r="C104" s="181">
        <f>IFERROR(1-(C38/B38),0)</f>
        <v>0</v>
      </c>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8.5">
      <c r="A105" s="1477" t="s">
        <v>300</v>
      </c>
      <c r="B105" s="1477"/>
      <c r="C105" s="41">
        <f>B67-(C38+C47+C55+B62+C92+C97)</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78" t="s">
        <v>301</v>
      </c>
      <c r="B106" s="1478"/>
      <c r="C106" s="183">
        <f>IFERROR(1-(C99/C101),0)</f>
        <v>0</v>
      </c>
      <c r="E106" s="4"/>
    </row>
    <row r="107" spans="1:27" s="1" customFormat="1" ht="18.5">
      <c r="A107" s="184"/>
      <c r="B107" s="29"/>
      <c r="C107" s="1278"/>
      <c r="E107" s="4"/>
    </row>
    <row r="108" spans="1:27" s="1" customFormat="1" ht="18.5">
      <c r="A108" s="1475" t="s">
        <v>302</v>
      </c>
      <c r="B108" s="1475"/>
      <c r="C108" s="1475"/>
      <c r="E108" s="4"/>
    </row>
    <row r="109" spans="1:27" s="1" customFormat="1" ht="18.5">
      <c r="A109" s="182" t="s">
        <v>303</v>
      </c>
      <c r="B109" s="185">
        <f>C105*C109</f>
        <v>0</v>
      </c>
      <c r="C109" s="42">
        <f>IF(AND(C106&gt;0%,C106&lt;25%),3%,IF(AND(C106&gt;=25%,C106&lt;29%),4.5%,IF(AND(C106&gt;=29%,C106&lt;33%),5.5%,IF(AND(C106&gt;=33%,C106&lt;37%),6%,IF(C106&gt;=37%,7%,0)))))+IF(AND(C81&gt;=(B67*0.6),B81=0),0.5%,0)</f>
        <v>0</v>
      </c>
      <c r="E109" s="4"/>
    </row>
    <row r="110" spans="1:27" s="1" customFormat="1" ht="27" customHeight="1">
      <c r="A110" s="182" t="s">
        <v>304</v>
      </c>
      <c r="B110" s="185">
        <f>C105*C110</f>
        <v>0</v>
      </c>
      <c r="C110" s="42">
        <v>1.4999999999999999E-2</v>
      </c>
      <c r="E110" s="4"/>
    </row>
    <row r="111" spans="1:27" s="13" customFormat="1" ht="16">
      <c r="A111" s="12"/>
      <c r="B111" s="12"/>
      <c r="C111" s="12"/>
      <c r="D111" s="1278"/>
      <c r="E111" s="4"/>
      <c r="F111" s="1"/>
      <c r="G111" s="1278"/>
      <c r="H111" s="1278"/>
      <c r="I111" s="1278"/>
      <c r="J111" s="1278"/>
      <c r="K111" s="1278"/>
      <c r="L111" s="1278"/>
      <c r="M111" s="1278"/>
      <c r="N111" s="1278"/>
      <c r="O111" s="1278"/>
      <c r="P111" s="1278"/>
      <c r="Q111" s="1278"/>
      <c r="R111" s="1278"/>
      <c r="S111" s="1278"/>
      <c r="T111" s="1278"/>
      <c r="U111" s="6"/>
      <c r="V111" s="6"/>
      <c r="W111" s="6"/>
      <c r="X111" s="6"/>
      <c r="Y111" s="6"/>
      <c r="Z111" s="6"/>
      <c r="AA111" s="6"/>
    </row>
    <row r="112" spans="1:27" s="13" customFormat="1" ht="16">
      <c r="A112" s="14"/>
      <c r="B112" s="15"/>
      <c r="C112" s="15"/>
      <c r="D112" s="1278"/>
      <c r="E112" s="4"/>
      <c r="F112" s="1"/>
      <c r="G112" s="1278"/>
      <c r="H112" s="1278"/>
      <c r="I112" s="1278"/>
      <c r="J112" s="1278"/>
      <c r="K112" s="1278"/>
      <c r="L112" s="1278"/>
      <c r="M112" s="1278"/>
      <c r="N112" s="1278"/>
      <c r="O112" s="1278"/>
      <c r="P112" s="1278"/>
      <c r="Q112" s="1278"/>
      <c r="R112" s="1278"/>
      <c r="S112" s="1278"/>
      <c r="T112" s="1278"/>
      <c r="U112" s="6"/>
      <c r="V112" s="6"/>
      <c r="W112" s="6"/>
      <c r="X112" s="6"/>
      <c r="Y112" s="6"/>
      <c r="Z112" s="6"/>
      <c r="AA112" s="6"/>
    </row>
    <row r="113" spans="1:27" s="13" customFormat="1" ht="16">
      <c r="A113" s="15"/>
      <c r="B113" s="15"/>
      <c r="C113" s="15"/>
      <c r="D113" s="1278"/>
      <c r="E113" s="4"/>
      <c r="F113" s="1"/>
      <c r="G113" s="1278"/>
      <c r="H113" s="1278"/>
      <c r="I113" s="1278"/>
      <c r="J113" s="1278"/>
      <c r="K113" s="1278"/>
      <c r="L113" s="1278"/>
      <c r="M113" s="1278"/>
      <c r="N113" s="1278"/>
      <c r="O113" s="1278"/>
      <c r="P113" s="1278"/>
      <c r="Q113" s="1278"/>
      <c r="R113" s="1278"/>
      <c r="S113" s="1278"/>
      <c r="T113" s="1278"/>
      <c r="U113" s="6"/>
      <c r="V113" s="6"/>
      <c r="W113" s="6"/>
      <c r="X113" s="6"/>
      <c r="Y113" s="6"/>
      <c r="Z113" s="6"/>
      <c r="AA113" s="6"/>
    </row>
    <row r="114" spans="1:27" s="13" customFormat="1" ht="16">
      <c r="A114" s="15"/>
      <c r="B114" s="15"/>
      <c r="C114" s="15"/>
      <c r="D114" s="1278"/>
      <c r="E114" s="4"/>
      <c r="F114" s="1"/>
      <c r="G114" s="1278"/>
      <c r="H114" s="1278"/>
      <c r="I114" s="1278"/>
      <c r="J114" s="1278"/>
      <c r="K114" s="1278"/>
      <c r="L114" s="1278"/>
      <c r="M114" s="1278"/>
      <c r="N114" s="1278"/>
      <c r="O114" s="1278"/>
      <c r="P114" s="1278"/>
      <c r="Q114" s="1278"/>
      <c r="R114" s="1278"/>
      <c r="S114" s="1278"/>
      <c r="T114" s="1278"/>
      <c r="U114" s="6"/>
      <c r="V114" s="6"/>
      <c r="W114" s="6"/>
      <c r="X114" s="6"/>
      <c r="Y114" s="6"/>
      <c r="Z114" s="6"/>
      <c r="AA114" s="6"/>
    </row>
    <row r="115" spans="1:27" s="13" customFormat="1" ht="16">
      <c r="A115" s="15"/>
      <c r="B115" s="15"/>
      <c r="C115" s="15"/>
      <c r="D115" s="1278"/>
      <c r="E115" s="4"/>
      <c r="F115" s="1"/>
      <c r="G115" s="1278"/>
      <c r="H115" s="1278"/>
      <c r="I115" s="1278"/>
      <c r="J115" s="1278"/>
      <c r="K115" s="1278"/>
      <c r="L115" s="1278"/>
      <c r="M115" s="1278"/>
      <c r="N115" s="1278"/>
      <c r="O115" s="1278"/>
      <c r="P115" s="1278"/>
      <c r="Q115" s="1278"/>
      <c r="R115" s="1278"/>
      <c r="S115" s="1278"/>
      <c r="T115" s="1278"/>
      <c r="U115" s="6"/>
      <c r="V115" s="6"/>
      <c r="W115" s="6"/>
      <c r="X115" s="6"/>
      <c r="Y115" s="6"/>
      <c r="Z115" s="6"/>
      <c r="AA115" s="6"/>
    </row>
    <row r="116" spans="1:27" s="13" customFormat="1" ht="16">
      <c r="A116" s="17"/>
      <c r="B116" s="17"/>
      <c r="C116" s="15"/>
      <c r="D116" s="1278"/>
      <c r="E116" s="4"/>
      <c r="F116" s="1"/>
      <c r="G116" s="1278"/>
      <c r="H116" s="1278"/>
      <c r="I116" s="1278"/>
      <c r="J116" s="1278"/>
      <c r="K116" s="1278"/>
      <c r="L116" s="1278"/>
      <c r="M116" s="1278"/>
      <c r="N116" s="1278"/>
      <c r="O116" s="1278"/>
      <c r="P116" s="1278"/>
      <c r="Q116" s="1278"/>
      <c r="R116" s="1278"/>
      <c r="S116" s="1278"/>
      <c r="T116" s="1278"/>
      <c r="U116" s="6"/>
      <c r="V116" s="6"/>
      <c r="W116" s="6"/>
      <c r="X116" s="6"/>
      <c r="Y116" s="6"/>
      <c r="Z116" s="6"/>
      <c r="AA116" s="6"/>
    </row>
    <row r="117" spans="1:27" ht="14.5">
      <c r="A117" s="186"/>
      <c r="B117" s="186"/>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4.5">
      <c r="A118" s="17"/>
      <c r="B118" s="17"/>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4.5">
      <c r="A119" s="186"/>
      <c r="B119" s="15"/>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D120" s="27"/>
      <c r="E120" s="4"/>
      <c r="F120" s="1"/>
      <c r="G120" s="27"/>
      <c r="H120" s="27"/>
      <c r="I120" s="27"/>
      <c r="J120" s="27"/>
      <c r="K120" s="27"/>
      <c r="L120" s="27"/>
      <c r="M120" s="27"/>
      <c r="N120" s="27"/>
      <c r="O120" s="27"/>
      <c r="P120" s="27"/>
      <c r="Q120" s="27"/>
      <c r="R120" s="27"/>
      <c r="S120" s="27"/>
      <c r="T120" s="27"/>
    </row>
    <row r="121" spans="1:27" s="16" customFormat="1" ht="14.25" customHeight="1">
      <c r="A121" s="187"/>
      <c r="B121" s="187"/>
      <c r="C121" s="187"/>
      <c r="D121" s="27"/>
      <c r="E121" s="4"/>
      <c r="F121" s="1"/>
      <c r="G121" s="27"/>
      <c r="H121" s="27"/>
      <c r="I121" s="27"/>
      <c r="J121" s="27"/>
      <c r="K121" s="27"/>
      <c r="L121" s="27"/>
      <c r="M121" s="27"/>
      <c r="N121" s="27"/>
      <c r="O121" s="27"/>
      <c r="P121" s="27"/>
      <c r="Q121" s="27"/>
      <c r="R121" s="27"/>
      <c r="S121" s="27"/>
      <c r="T121" s="27"/>
    </row>
    <row r="122" spans="1:27" s="16" customFormat="1" ht="14.25" customHeight="1">
      <c r="A122" s="18"/>
      <c r="B122" s="18"/>
      <c r="D122" s="27"/>
      <c r="E122" s="1279"/>
      <c r="F122" s="1278"/>
      <c r="G122" s="27"/>
      <c r="H122" s="27"/>
      <c r="I122" s="27"/>
      <c r="J122" s="27"/>
      <c r="K122" s="27"/>
      <c r="L122" s="27"/>
      <c r="M122" s="27"/>
      <c r="N122" s="27"/>
      <c r="O122" s="27"/>
      <c r="P122" s="27"/>
      <c r="Q122" s="27"/>
      <c r="R122" s="27"/>
      <c r="S122" s="27"/>
      <c r="T122" s="27"/>
    </row>
    <row r="123" spans="1:27" s="16" customFormat="1" ht="35.25" customHeight="1">
      <c r="A123" s="188"/>
      <c r="D123" s="27"/>
      <c r="E123" s="1279"/>
      <c r="F123" s="1278"/>
      <c r="G123" s="27"/>
      <c r="H123" s="27"/>
      <c r="I123" s="27"/>
      <c r="J123" s="27"/>
      <c r="K123" s="27"/>
      <c r="L123" s="27"/>
      <c r="M123" s="27"/>
      <c r="N123" s="27"/>
      <c r="O123" s="27"/>
      <c r="P123" s="27"/>
      <c r="Q123" s="27"/>
      <c r="R123" s="27"/>
      <c r="S123" s="27"/>
      <c r="T123" s="27"/>
    </row>
    <row r="124" spans="1:27" s="16" customFormat="1" ht="15.75" customHeight="1">
      <c r="A124" s="18"/>
      <c r="B124" s="18"/>
      <c r="D124" s="27"/>
      <c r="E124" s="1279"/>
      <c r="F124" s="1278"/>
      <c r="G124" s="27"/>
      <c r="H124" s="27"/>
      <c r="I124" s="27"/>
      <c r="J124" s="27"/>
      <c r="K124" s="27"/>
      <c r="L124" s="27"/>
      <c r="M124" s="27"/>
      <c r="N124" s="27"/>
      <c r="O124" s="27"/>
      <c r="P124" s="27"/>
      <c r="Q124" s="27"/>
      <c r="R124" s="27"/>
      <c r="S124" s="27"/>
      <c r="T124" s="27"/>
    </row>
    <row r="125" spans="1:27" s="16" customFormat="1" ht="15.5">
      <c r="A125" s="188"/>
      <c r="D125" s="27"/>
      <c r="E125" s="144"/>
      <c r="F125" s="1278"/>
      <c r="G125" s="27"/>
      <c r="H125" s="27"/>
      <c r="I125" s="27"/>
      <c r="J125" s="27"/>
      <c r="K125" s="27"/>
      <c r="L125" s="27"/>
      <c r="M125" s="27"/>
      <c r="N125" s="27"/>
      <c r="O125" s="27"/>
      <c r="P125" s="27"/>
      <c r="Q125" s="27"/>
      <c r="R125" s="27"/>
      <c r="S125" s="27"/>
      <c r="T125" s="27"/>
    </row>
    <row r="126" spans="1:27" s="16" customFormat="1" ht="15.5">
      <c r="A126" s="18"/>
      <c r="B126" s="18"/>
      <c r="D126" s="27"/>
      <c r="E126" s="1284"/>
      <c r="F126" s="1278"/>
      <c r="G126" s="27"/>
      <c r="H126" s="27"/>
      <c r="I126" s="27"/>
      <c r="J126" s="27"/>
      <c r="K126" s="27"/>
      <c r="L126" s="27"/>
      <c r="M126" s="27"/>
      <c r="N126" s="27"/>
      <c r="O126" s="27"/>
      <c r="P126" s="27"/>
      <c r="Q126" s="27"/>
      <c r="R126" s="27"/>
      <c r="S126" s="27"/>
      <c r="T126" s="27"/>
    </row>
    <row r="127" spans="1:27" s="16" customFormat="1" ht="15.75" customHeight="1">
      <c r="A127" s="188"/>
      <c r="D127" s="27"/>
      <c r="E127" s="1279"/>
      <c r="F127" s="1278"/>
      <c r="G127" s="27"/>
      <c r="H127" s="27"/>
      <c r="I127" s="27"/>
      <c r="J127" s="27"/>
      <c r="K127" s="27"/>
      <c r="L127" s="27"/>
      <c r="M127" s="27"/>
      <c r="N127" s="27"/>
      <c r="O127" s="27"/>
      <c r="P127" s="27"/>
      <c r="Q127" s="27"/>
      <c r="R127" s="27"/>
      <c r="S127" s="27"/>
      <c r="T127" s="27"/>
    </row>
    <row r="128" spans="1:27" s="16" customFormat="1" ht="15.75" customHeight="1">
      <c r="D128" s="27"/>
      <c r="E128" s="4"/>
      <c r="F128" s="1"/>
      <c r="G128" s="27"/>
      <c r="H128" s="27"/>
      <c r="I128" s="27"/>
      <c r="J128" s="27"/>
      <c r="K128" s="27"/>
      <c r="L128" s="27"/>
      <c r="M128" s="27"/>
      <c r="N128" s="27"/>
      <c r="O128" s="27"/>
      <c r="P128" s="27"/>
      <c r="Q128" s="27"/>
      <c r="R128" s="27"/>
      <c r="S128" s="27"/>
      <c r="T128" s="27"/>
    </row>
    <row r="129" spans="1:20" s="16" customFormat="1" ht="14.5">
      <c r="A129" s="189"/>
      <c r="B129" s="189"/>
      <c r="D129" s="27"/>
      <c r="E129" s="4"/>
      <c r="F129" s="1"/>
      <c r="G129" s="27"/>
      <c r="H129" s="27"/>
      <c r="I129" s="27"/>
      <c r="J129" s="27"/>
      <c r="K129" s="27"/>
      <c r="L129" s="27"/>
      <c r="M129" s="27"/>
      <c r="N129" s="27"/>
      <c r="O129" s="27"/>
      <c r="P129" s="27"/>
      <c r="Q129" s="27"/>
      <c r="R129" s="27"/>
      <c r="S129" s="27"/>
      <c r="T129" s="27"/>
    </row>
    <row r="130" spans="1:20" s="16" customFormat="1" ht="14.5">
      <c r="A130" s="18"/>
      <c r="B130" s="18"/>
      <c r="D130" s="27"/>
      <c r="E130" s="4"/>
      <c r="F130" s="1"/>
      <c r="G130" s="27"/>
      <c r="H130" s="27"/>
      <c r="I130" s="27"/>
      <c r="J130" s="27"/>
      <c r="K130" s="27"/>
      <c r="L130" s="27"/>
      <c r="M130" s="27"/>
      <c r="N130" s="27"/>
      <c r="O130" s="27"/>
      <c r="P130" s="27"/>
      <c r="Q130" s="27"/>
      <c r="R130" s="27"/>
      <c r="S130" s="27"/>
      <c r="T130" s="27"/>
    </row>
    <row r="131" spans="1:20" s="16" customFormat="1" ht="13">
      <c r="A131" s="188"/>
      <c r="D131" s="27"/>
      <c r="E131" s="145"/>
      <c r="F131" s="27"/>
      <c r="G131" s="27"/>
      <c r="H131" s="27"/>
      <c r="I131" s="27"/>
      <c r="J131" s="27"/>
      <c r="K131" s="27"/>
      <c r="L131" s="27"/>
      <c r="M131" s="27"/>
      <c r="N131" s="27"/>
      <c r="O131" s="27"/>
      <c r="P131" s="27"/>
      <c r="Q131" s="27"/>
      <c r="R131" s="27"/>
      <c r="S131" s="27"/>
      <c r="T131" s="27"/>
    </row>
    <row r="132" spans="1:20" s="16" customFormat="1" ht="13">
      <c r="A132" s="18"/>
      <c r="B132" s="18"/>
      <c r="D132" s="27"/>
      <c r="E132" s="145"/>
      <c r="F132" s="27"/>
      <c r="G132" s="27"/>
      <c r="H132" s="27"/>
      <c r="I132" s="27"/>
      <c r="J132" s="27"/>
      <c r="K132" s="27"/>
      <c r="L132" s="27"/>
      <c r="M132" s="27"/>
      <c r="N132" s="27"/>
      <c r="O132" s="27"/>
      <c r="P132" s="27"/>
      <c r="Q132" s="27"/>
      <c r="R132" s="27"/>
      <c r="S132" s="27"/>
      <c r="T132" s="27"/>
    </row>
    <row r="133" spans="1:20" s="16" customFormat="1" ht="13">
      <c r="A133" s="188"/>
      <c r="D133" s="27"/>
      <c r="E133" s="145"/>
      <c r="F133" s="27"/>
      <c r="G133" s="27"/>
      <c r="H133" s="27"/>
      <c r="I133" s="27"/>
      <c r="J133" s="27"/>
      <c r="K133" s="27"/>
      <c r="L133" s="27"/>
      <c r="M133" s="27"/>
      <c r="N133" s="27"/>
      <c r="O133" s="27"/>
      <c r="P133" s="27"/>
      <c r="Q133" s="27"/>
      <c r="R133" s="27"/>
      <c r="S133" s="27"/>
      <c r="T133" s="27"/>
    </row>
    <row r="134" spans="1:20" s="16" customFormat="1" ht="13">
      <c r="A134" s="18"/>
      <c r="B134" s="18"/>
      <c r="D134" s="27"/>
      <c r="E134" s="145"/>
      <c r="F134" s="27"/>
      <c r="G134" s="27"/>
      <c r="H134" s="27"/>
      <c r="I134" s="27"/>
      <c r="J134" s="27"/>
      <c r="K134" s="27"/>
      <c r="L134" s="27"/>
      <c r="M134" s="27"/>
      <c r="N134" s="27"/>
      <c r="O134" s="27"/>
      <c r="P134" s="27"/>
      <c r="Q134" s="27"/>
      <c r="R134" s="27"/>
      <c r="S134" s="27"/>
      <c r="T134" s="27"/>
    </row>
    <row r="135" spans="1:20" s="16" customFormat="1" ht="13">
      <c r="A135" s="188"/>
      <c r="D135" s="27"/>
      <c r="E135" s="145"/>
      <c r="F135" s="27"/>
      <c r="G135" s="27"/>
      <c r="H135" s="27"/>
      <c r="I135" s="27"/>
      <c r="J135" s="27"/>
      <c r="K135" s="27"/>
      <c r="L135" s="27"/>
      <c r="M135" s="27"/>
      <c r="N135" s="27"/>
      <c r="O135" s="27"/>
      <c r="P135" s="27"/>
      <c r="Q135" s="27"/>
      <c r="R135" s="27"/>
      <c r="S135" s="27"/>
      <c r="T135" s="27"/>
    </row>
    <row r="136" spans="1:20" s="16" customFormat="1" ht="15.75" customHeight="1">
      <c r="A136" s="19"/>
      <c r="B136" s="19"/>
      <c r="C136" s="19"/>
      <c r="D136" s="27"/>
      <c r="E136" s="145"/>
      <c r="F136" s="27"/>
      <c r="G136" s="27"/>
      <c r="H136" s="27"/>
      <c r="I136" s="27"/>
      <c r="J136" s="27"/>
      <c r="K136" s="27"/>
      <c r="L136" s="27"/>
      <c r="M136" s="27"/>
      <c r="N136" s="27"/>
      <c r="O136" s="27"/>
      <c r="P136" s="27"/>
      <c r="Q136" s="27"/>
      <c r="R136" s="27"/>
      <c r="S136" s="27"/>
      <c r="T136" s="27"/>
    </row>
    <row r="137" spans="1:20" s="16" customFormat="1" ht="16">
      <c r="A137" s="6"/>
      <c r="B137" s="6"/>
      <c r="C137" s="6"/>
      <c r="D137" s="27"/>
      <c r="E137" s="145"/>
      <c r="F137" s="27"/>
      <c r="G137" s="27"/>
      <c r="H137" s="27"/>
      <c r="I137" s="27"/>
      <c r="J137" s="27"/>
      <c r="K137" s="27"/>
      <c r="L137" s="27"/>
      <c r="M137" s="27"/>
      <c r="N137" s="27"/>
      <c r="O137" s="27"/>
      <c r="P137" s="27"/>
      <c r="Q137" s="27"/>
      <c r="R137" s="27"/>
      <c r="S137" s="27"/>
      <c r="T137" s="27"/>
    </row>
    <row r="138" spans="1:20" s="16" customFormat="1" ht="16">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6">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6">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6">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6">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6">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6">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6">
      <c r="D145" s="1278"/>
      <c r="E145" s="145"/>
      <c r="F145" s="27"/>
      <c r="G145" s="1278"/>
      <c r="H145" s="1278"/>
      <c r="I145" s="1278"/>
      <c r="J145" s="1278"/>
      <c r="K145" s="1278"/>
      <c r="L145" s="1278"/>
      <c r="M145" s="1278"/>
      <c r="N145" s="1278"/>
      <c r="O145" s="1278"/>
      <c r="P145" s="1278"/>
      <c r="Q145" s="1278"/>
      <c r="R145" s="1278"/>
      <c r="S145" s="1278"/>
      <c r="T145" s="1278"/>
    </row>
    <row r="146" spans="1:20" s="6" customFormat="1" ht="16">
      <c r="D146" s="27"/>
      <c r="E146" s="145"/>
      <c r="F146" s="27"/>
      <c r="G146" s="1278"/>
      <c r="H146" s="1278"/>
      <c r="I146" s="1278"/>
      <c r="J146" s="1278"/>
      <c r="K146" s="1278"/>
      <c r="L146" s="1278"/>
      <c r="M146" s="1278"/>
      <c r="N146" s="1278"/>
      <c r="O146" s="1278"/>
      <c r="P146" s="1278"/>
      <c r="Q146" s="1278"/>
      <c r="R146" s="1278"/>
      <c r="S146" s="1278"/>
      <c r="T146" s="1278"/>
    </row>
    <row r="147" spans="1:20" s="6" customFormat="1" ht="16">
      <c r="D147" s="1278"/>
      <c r="E147" s="145"/>
      <c r="F147" s="27"/>
      <c r="G147" s="1278"/>
      <c r="H147" s="1278"/>
      <c r="I147" s="1278"/>
      <c r="J147" s="1278"/>
      <c r="K147" s="1278"/>
      <c r="L147" s="1278"/>
      <c r="M147" s="1278"/>
      <c r="N147" s="1278"/>
      <c r="O147" s="1278"/>
      <c r="P147" s="1278"/>
      <c r="Q147" s="1278"/>
      <c r="R147" s="1278"/>
      <c r="S147" s="1278"/>
      <c r="T147" s="1278"/>
    </row>
    <row r="148" spans="1:20" s="6" customFormat="1" ht="16">
      <c r="D148" s="1278"/>
      <c r="E148" s="145"/>
      <c r="F148" s="27"/>
      <c r="G148" s="1278"/>
      <c r="H148" s="1278"/>
      <c r="I148" s="1278"/>
      <c r="J148" s="1278"/>
      <c r="K148" s="1278"/>
      <c r="L148" s="1278"/>
      <c r="M148" s="1278"/>
      <c r="N148" s="1278"/>
      <c r="O148" s="1278"/>
      <c r="P148" s="1278"/>
      <c r="Q148" s="1278"/>
      <c r="R148" s="1278"/>
      <c r="S148" s="1278"/>
      <c r="T148" s="1278"/>
    </row>
    <row r="149" spans="1:20" s="6" customFormat="1" ht="16">
      <c r="A149" s="10"/>
      <c r="B149" s="10"/>
      <c r="C149" s="10"/>
      <c r="D149" s="1278"/>
      <c r="E149" s="145"/>
      <c r="F149" s="27"/>
      <c r="G149" s="1278"/>
      <c r="H149" s="1278"/>
      <c r="I149" s="1278"/>
      <c r="J149" s="1278"/>
      <c r="K149" s="1278"/>
      <c r="L149" s="1278"/>
      <c r="M149" s="1278"/>
      <c r="N149" s="1278"/>
      <c r="O149" s="1278"/>
      <c r="P149" s="1278"/>
      <c r="Q149" s="1278"/>
      <c r="R149" s="1278"/>
      <c r="S149" s="1278"/>
      <c r="T149" s="1278"/>
    </row>
    <row r="150" spans="1:20" s="6" customFormat="1" ht="16">
      <c r="A150" s="10"/>
      <c r="B150" s="10"/>
      <c r="C150" s="10"/>
      <c r="D150" s="1278"/>
      <c r="E150" s="145"/>
      <c r="F150" s="27"/>
      <c r="G150" s="1278"/>
      <c r="H150" s="1278"/>
      <c r="I150" s="1278"/>
      <c r="J150" s="1278"/>
      <c r="K150" s="1278"/>
      <c r="L150" s="1278"/>
      <c r="M150" s="1278"/>
      <c r="N150" s="1278"/>
      <c r="O150" s="1278"/>
      <c r="P150" s="1278"/>
      <c r="Q150" s="1278"/>
      <c r="R150" s="1278"/>
      <c r="S150" s="1278"/>
      <c r="T150" s="1278"/>
    </row>
    <row r="151" spans="1:20" s="6" customFormat="1" ht="16">
      <c r="A151" s="10"/>
      <c r="B151" s="10"/>
      <c r="C151" s="10"/>
      <c r="D151" s="1278"/>
      <c r="E151" s="145"/>
      <c r="F151" s="27"/>
      <c r="G151" s="1278"/>
      <c r="H151" s="1278"/>
      <c r="I151" s="1278"/>
      <c r="J151" s="1278"/>
      <c r="K151" s="1278"/>
      <c r="L151" s="1278"/>
      <c r="M151" s="1278"/>
      <c r="N151" s="1278"/>
      <c r="O151" s="1278"/>
      <c r="P151" s="1278"/>
      <c r="Q151" s="1278"/>
      <c r="R151" s="1278"/>
      <c r="S151" s="1278"/>
      <c r="T151" s="1278"/>
    </row>
    <row r="152" spans="1:20" s="6" customFormat="1" ht="16">
      <c r="A152" s="10"/>
      <c r="B152" s="10"/>
      <c r="C152" s="10"/>
      <c r="D152" s="1278"/>
      <c r="E152" s="145"/>
      <c r="F152" s="27"/>
      <c r="G152" s="1278"/>
      <c r="H152" s="1278"/>
      <c r="I152" s="1278"/>
      <c r="J152" s="1278"/>
      <c r="K152" s="1278"/>
      <c r="L152" s="1278"/>
      <c r="M152" s="1278"/>
      <c r="N152" s="1278"/>
      <c r="O152" s="1278"/>
      <c r="P152" s="1278"/>
      <c r="Q152" s="1278"/>
      <c r="R152" s="1278"/>
      <c r="S152" s="1278"/>
      <c r="T152" s="1278"/>
    </row>
    <row r="153" spans="1:20" s="6" customFormat="1" ht="16">
      <c r="A153" s="10"/>
      <c r="B153" s="10"/>
      <c r="C153" s="10"/>
      <c r="D153" s="1278"/>
      <c r="E153" s="145"/>
      <c r="F153" s="27"/>
      <c r="G153" s="1278"/>
      <c r="H153" s="1278"/>
      <c r="I153" s="1278"/>
      <c r="J153" s="1278"/>
      <c r="K153" s="1278"/>
      <c r="L153" s="1278"/>
      <c r="M153" s="1278"/>
      <c r="N153" s="1278"/>
      <c r="O153" s="1278"/>
      <c r="P153" s="1278"/>
      <c r="Q153" s="1278"/>
      <c r="R153" s="1278"/>
      <c r="S153" s="1278"/>
      <c r="T153" s="1278"/>
    </row>
    <row r="154" spans="1:20" s="6" customFormat="1" ht="16">
      <c r="A154" s="10"/>
      <c r="B154" s="10"/>
      <c r="C154" s="10"/>
      <c r="D154" s="1278"/>
      <c r="E154" s="145"/>
      <c r="F154" s="27"/>
      <c r="G154" s="1278"/>
      <c r="H154" s="1278"/>
      <c r="I154" s="1278"/>
      <c r="J154" s="1278"/>
      <c r="K154" s="1278"/>
      <c r="L154" s="1278"/>
      <c r="M154" s="1278"/>
      <c r="N154" s="1278"/>
      <c r="O154" s="1278"/>
      <c r="P154" s="1278"/>
      <c r="Q154" s="1278"/>
      <c r="R154" s="1278"/>
      <c r="S154" s="1278"/>
      <c r="T154" s="1278"/>
    </row>
    <row r="155" spans="1:20" s="6" customFormat="1" ht="16">
      <c r="A155" s="10"/>
      <c r="B155" s="10"/>
      <c r="C155" s="10"/>
      <c r="D155" s="1278"/>
      <c r="E155" s="146"/>
      <c r="F155" s="28"/>
      <c r="G155" s="1278"/>
      <c r="H155" s="1278"/>
      <c r="I155" s="1278"/>
      <c r="J155" s="1278"/>
      <c r="K155" s="1278"/>
      <c r="L155" s="1278"/>
      <c r="M155" s="1278"/>
      <c r="N155" s="1278"/>
      <c r="O155" s="1278"/>
      <c r="P155" s="1278"/>
      <c r="Q155" s="1278"/>
      <c r="R155" s="1278"/>
      <c r="S155" s="1278"/>
      <c r="T155" s="1278"/>
    </row>
    <row r="156" spans="1:20" s="6" customFormat="1" ht="16">
      <c r="A156" s="10"/>
      <c r="B156" s="10"/>
      <c r="C156" s="10"/>
      <c r="D156" s="1278"/>
      <c r="E156" s="147"/>
      <c r="F156" s="1278"/>
      <c r="G156" s="1278"/>
      <c r="H156" s="1278"/>
      <c r="I156" s="1278"/>
      <c r="J156" s="1278"/>
      <c r="K156" s="1278"/>
      <c r="L156" s="1278"/>
      <c r="M156" s="1278"/>
      <c r="N156" s="1278"/>
      <c r="O156" s="1278"/>
      <c r="P156" s="1278"/>
      <c r="Q156" s="1278"/>
      <c r="R156" s="1278"/>
      <c r="S156" s="1278"/>
      <c r="T156" s="1278"/>
    </row>
    <row r="157" spans="1:20" s="10" customFormat="1" ht="15.5">
      <c r="D157" s="1"/>
      <c r="E157" s="1279"/>
      <c r="F157" s="1278"/>
      <c r="G157" s="1"/>
      <c r="H157" s="1"/>
      <c r="I157" s="1"/>
      <c r="J157" s="1"/>
      <c r="K157" s="1"/>
      <c r="L157" s="1"/>
      <c r="M157" s="1"/>
      <c r="N157" s="1"/>
      <c r="O157" s="1"/>
      <c r="P157" s="1"/>
      <c r="Q157" s="1"/>
      <c r="R157" s="1"/>
      <c r="S157" s="1"/>
      <c r="T157" s="1"/>
    </row>
    <row r="158" spans="1:20" s="10" customFormat="1" ht="15.5">
      <c r="D158" s="1"/>
      <c r="E158" s="1279"/>
      <c r="F158" s="1278"/>
      <c r="G158" s="1"/>
      <c r="H158" s="1"/>
      <c r="I158" s="1"/>
      <c r="J158" s="1"/>
      <c r="K158" s="1"/>
      <c r="L158" s="1"/>
      <c r="M158" s="1"/>
      <c r="N158" s="1"/>
      <c r="O158" s="1"/>
      <c r="P158" s="1"/>
      <c r="Q158" s="1"/>
      <c r="R158" s="1"/>
      <c r="S158" s="1"/>
      <c r="T158" s="1"/>
    </row>
    <row r="159" spans="1:20" s="10" customFormat="1" ht="15.5">
      <c r="D159" s="1"/>
      <c r="E159" s="1279"/>
      <c r="F159" s="1278"/>
      <c r="G159" s="1"/>
      <c r="H159" s="1"/>
      <c r="I159" s="1"/>
      <c r="J159" s="1"/>
      <c r="K159" s="1"/>
      <c r="L159" s="1"/>
      <c r="M159" s="1"/>
      <c r="N159" s="1"/>
      <c r="O159" s="1"/>
      <c r="P159" s="1"/>
      <c r="Q159" s="1"/>
      <c r="R159" s="1"/>
      <c r="S159" s="1"/>
      <c r="T159" s="1"/>
    </row>
    <row r="160" spans="1:20" s="10" customFormat="1" ht="15.5">
      <c r="D160" s="1"/>
      <c r="E160" s="1279"/>
      <c r="F160" s="1278"/>
      <c r="G160" s="1"/>
      <c r="H160" s="1"/>
      <c r="I160" s="1"/>
      <c r="J160" s="1"/>
      <c r="K160" s="1"/>
      <c r="L160" s="1"/>
      <c r="M160" s="1"/>
      <c r="N160" s="1"/>
      <c r="O160" s="1"/>
      <c r="P160" s="1"/>
      <c r="Q160" s="1"/>
      <c r="R160" s="1"/>
      <c r="S160" s="1"/>
      <c r="T160" s="1"/>
    </row>
    <row r="161" spans="4:20" s="10" customFormat="1" ht="15.5">
      <c r="D161" s="1"/>
      <c r="E161" s="1279"/>
      <c r="F161" s="1278"/>
      <c r="G161" s="1"/>
      <c r="H161" s="1"/>
      <c r="I161" s="1"/>
      <c r="J161" s="1"/>
      <c r="K161" s="1"/>
      <c r="L161" s="1"/>
      <c r="M161" s="1"/>
      <c r="N161" s="1"/>
      <c r="O161" s="1"/>
      <c r="P161" s="1"/>
      <c r="Q161" s="1"/>
      <c r="R161" s="1"/>
      <c r="S161" s="1"/>
      <c r="T161" s="1"/>
    </row>
    <row r="162" spans="4:20" s="10" customFormat="1" ht="15.5">
      <c r="D162" s="1"/>
      <c r="E162" s="1279"/>
      <c r="F162" s="1278"/>
      <c r="G162" s="1"/>
      <c r="H162" s="1"/>
      <c r="I162" s="1"/>
      <c r="J162" s="1"/>
      <c r="K162" s="1"/>
      <c r="L162" s="1"/>
      <c r="M162" s="1"/>
      <c r="N162" s="1"/>
      <c r="O162" s="1"/>
      <c r="P162" s="1"/>
      <c r="Q162" s="1"/>
      <c r="R162" s="1"/>
      <c r="S162" s="1"/>
      <c r="T162" s="1"/>
    </row>
    <row r="163" spans="4:20" s="10" customFormat="1" ht="15.5">
      <c r="D163" s="1"/>
      <c r="E163" s="1279"/>
      <c r="F163" s="1278"/>
      <c r="G163" s="1"/>
      <c r="H163" s="1"/>
      <c r="I163" s="1"/>
      <c r="J163" s="1"/>
      <c r="K163" s="1"/>
      <c r="L163" s="1"/>
      <c r="M163" s="1"/>
      <c r="N163" s="1"/>
      <c r="O163" s="1"/>
      <c r="P163" s="1"/>
      <c r="Q163" s="1"/>
      <c r="R163" s="1"/>
      <c r="S163" s="1"/>
      <c r="T163" s="1"/>
    </row>
    <row r="164" spans="4:20" s="10" customFormat="1" ht="15.5">
      <c r="D164" s="1"/>
      <c r="E164" s="1279"/>
      <c r="F164" s="1278"/>
      <c r="G164" s="1"/>
      <c r="H164" s="1"/>
      <c r="I164" s="1"/>
      <c r="J164" s="1"/>
      <c r="K164" s="1"/>
      <c r="L164" s="1"/>
      <c r="M164" s="1"/>
      <c r="N164" s="1"/>
      <c r="O164" s="1"/>
      <c r="P164" s="1"/>
      <c r="Q164" s="1"/>
      <c r="R164" s="1"/>
      <c r="S164" s="1"/>
      <c r="T164" s="1"/>
    </row>
    <row r="165" spans="4:20" s="10" customFormat="1" ht="15.5">
      <c r="D165" s="1"/>
      <c r="E165" s="1279"/>
      <c r="F165" s="1278"/>
      <c r="G165" s="1"/>
      <c r="H165" s="1"/>
      <c r="I165" s="1"/>
      <c r="J165" s="1"/>
      <c r="K165" s="1"/>
      <c r="L165" s="1"/>
      <c r="M165" s="1"/>
      <c r="N165" s="1"/>
      <c r="O165" s="1"/>
      <c r="P165" s="1"/>
      <c r="Q165" s="1"/>
      <c r="R165" s="1"/>
      <c r="S165" s="1"/>
      <c r="T165" s="1"/>
    </row>
    <row r="166" spans="4:20" s="10" customFormat="1" ht="15.5">
      <c r="D166" s="1"/>
      <c r="E166" s="1279"/>
      <c r="F166" s="1278"/>
      <c r="G166" s="1"/>
      <c r="H166" s="1"/>
      <c r="I166" s="1"/>
      <c r="J166" s="1"/>
      <c r="K166" s="1"/>
      <c r="L166" s="1"/>
      <c r="M166" s="1"/>
      <c r="N166" s="1"/>
      <c r="O166" s="1"/>
      <c r="P166" s="1"/>
      <c r="Q166" s="1"/>
      <c r="R166" s="1"/>
      <c r="S166" s="1"/>
      <c r="T166" s="1"/>
    </row>
    <row r="167" spans="4:20" s="10" customFormat="1" ht="15.5">
      <c r="D167" s="1"/>
      <c r="E167" s="1279"/>
      <c r="F167" s="1278"/>
      <c r="G167" s="1"/>
      <c r="H167" s="1"/>
      <c r="I167" s="1"/>
      <c r="J167" s="1"/>
      <c r="K167" s="1"/>
      <c r="L167" s="1"/>
      <c r="M167" s="1"/>
      <c r="N167" s="1"/>
      <c r="O167" s="1"/>
      <c r="P167" s="1"/>
      <c r="Q167" s="1"/>
      <c r="R167" s="1"/>
      <c r="S167" s="1"/>
      <c r="T167" s="1"/>
    </row>
    <row r="168" spans="4:20" s="10" customFormat="1" ht="14.5">
      <c r="D168" s="1"/>
      <c r="E168" s="4"/>
      <c r="F168" s="1"/>
      <c r="G168" s="1"/>
      <c r="H168" s="1"/>
      <c r="I168" s="1"/>
      <c r="J168" s="1"/>
      <c r="K168" s="1"/>
      <c r="L168" s="1"/>
      <c r="M168" s="1"/>
      <c r="N168" s="1"/>
      <c r="O168" s="1"/>
      <c r="P168" s="1"/>
      <c r="Q168" s="1"/>
      <c r="R168" s="1"/>
      <c r="S168" s="1"/>
      <c r="T168" s="1"/>
    </row>
    <row r="169" spans="4:20" s="10" customFormat="1" ht="14.5">
      <c r="D169" s="1"/>
      <c r="E169" s="4"/>
      <c r="F169" s="1"/>
      <c r="G169" s="1"/>
      <c r="H169" s="1"/>
      <c r="I169" s="1"/>
      <c r="J169" s="1"/>
      <c r="K169" s="1"/>
      <c r="L169" s="1"/>
      <c r="M169" s="1"/>
      <c r="N169" s="1"/>
      <c r="O169" s="1"/>
      <c r="P169" s="1"/>
      <c r="Q169" s="1"/>
      <c r="R169" s="1"/>
      <c r="S169" s="1"/>
      <c r="T169" s="1"/>
    </row>
    <row r="170" spans="4:20" s="10" customFormat="1" ht="14.5">
      <c r="D170" s="1"/>
      <c r="E170" s="4"/>
      <c r="F170" s="1"/>
      <c r="G170" s="1"/>
      <c r="H170" s="1"/>
      <c r="I170" s="1"/>
      <c r="J170" s="1"/>
      <c r="K170" s="1"/>
      <c r="L170" s="1"/>
      <c r="M170" s="1"/>
      <c r="N170" s="1"/>
      <c r="O170" s="1"/>
      <c r="P170" s="1"/>
      <c r="Q170" s="1"/>
      <c r="R170" s="1"/>
      <c r="S170" s="1"/>
      <c r="T170" s="1"/>
    </row>
    <row r="171" spans="4:20" s="10" customFormat="1" ht="14.5">
      <c r="D171" s="1"/>
      <c r="E171" s="4"/>
      <c r="F171" s="1"/>
      <c r="G171" s="1"/>
      <c r="H171" s="1"/>
      <c r="I171" s="1"/>
      <c r="J171" s="1"/>
      <c r="K171" s="1"/>
      <c r="L171" s="1"/>
      <c r="M171" s="1"/>
      <c r="N171" s="1"/>
      <c r="O171" s="1"/>
      <c r="P171" s="1"/>
      <c r="Q171" s="1"/>
      <c r="R171" s="1"/>
      <c r="S171" s="1"/>
      <c r="T171" s="1"/>
    </row>
    <row r="172" spans="4:20" s="10" customFormat="1" ht="14.5">
      <c r="D172" s="1"/>
      <c r="E172" s="4"/>
      <c r="F172" s="1"/>
      <c r="G172" s="1"/>
      <c r="H172" s="1"/>
      <c r="I172" s="1"/>
      <c r="J172" s="1"/>
      <c r="K172" s="1"/>
      <c r="L172" s="1"/>
      <c r="M172" s="1"/>
      <c r="N172" s="1"/>
      <c r="O172" s="1"/>
      <c r="P172" s="1"/>
      <c r="Q172" s="1"/>
      <c r="R172" s="1"/>
      <c r="S172" s="1"/>
      <c r="T172" s="1"/>
    </row>
    <row r="173" spans="4:20" s="10" customFormat="1" ht="14.5">
      <c r="D173" s="1"/>
      <c r="E173" s="4"/>
      <c r="F173" s="1"/>
      <c r="G173" s="1"/>
      <c r="H173" s="1"/>
      <c r="I173" s="1"/>
      <c r="J173" s="1"/>
      <c r="K173" s="1"/>
      <c r="L173" s="1"/>
      <c r="M173" s="1"/>
      <c r="N173" s="1"/>
      <c r="O173" s="1"/>
      <c r="P173" s="1"/>
      <c r="Q173" s="1"/>
      <c r="R173" s="1"/>
      <c r="S173" s="1"/>
      <c r="T173" s="1"/>
    </row>
    <row r="174" spans="4:20" s="10" customFormat="1" ht="14.5">
      <c r="D174" s="1"/>
      <c r="E174" s="4"/>
      <c r="F174" s="1"/>
      <c r="G174" s="1"/>
      <c r="H174" s="1"/>
      <c r="I174" s="1"/>
      <c r="J174" s="1"/>
      <c r="K174" s="1"/>
      <c r="L174" s="1"/>
      <c r="M174" s="1"/>
      <c r="N174" s="1"/>
      <c r="O174" s="1"/>
      <c r="P174" s="1"/>
      <c r="Q174" s="1"/>
      <c r="R174" s="1"/>
      <c r="S174" s="1"/>
      <c r="T174" s="1"/>
    </row>
    <row r="175" spans="4:20" s="10" customFormat="1" ht="14.5">
      <c r="D175" s="1"/>
      <c r="E175" s="4"/>
      <c r="F175" s="1"/>
      <c r="G175" s="1"/>
      <c r="H175" s="1"/>
      <c r="I175" s="1"/>
      <c r="J175" s="1"/>
      <c r="K175" s="1"/>
      <c r="L175" s="1"/>
      <c r="M175" s="1"/>
      <c r="N175" s="1"/>
      <c r="O175" s="1"/>
      <c r="P175" s="1"/>
      <c r="Q175" s="1"/>
      <c r="R175" s="1"/>
      <c r="S175" s="1"/>
      <c r="T175" s="1"/>
    </row>
    <row r="176" spans="4:20" s="10" customFormat="1" ht="14.5">
      <c r="D176" s="1"/>
      <c r="E176" s="4"/>
      <c r="F176" s="1"/>
      <c r="G176" s="1"/>
      <c r="H176" s="1"/>
      <c r="I176" s="1"/>
      <c r="J176" s="1"/>
      <c r="K176" s="1"/>
      <c r="L176" s="1"/>
      <c r="M176" s="1"/>
      <c r="N176" s="1"/>
      <c r="O176" s="1"/>
      <c r="P176" s="1"/>
      <c r="Q176" s="1"/>
      <c r="R176" s="1"/>
      <c r="S176" s="1"/>
      <c r="T176" s="1"/>
    </row>
    <row r="177" spans="4:20" s="10" customFormat="1" ht="14.5">
      <c r="D177" s="1"/>
      <c r="E177" s="4"/>
      <c r="F177" s="1"/>
      <c r="G177" s="1"/>
      <c r="H177" s="1"/>
      <c r="I177" s="1"/>
      <c r="J177" s="1"/>
      <c r="K177" s="1"/>
      <c r="L177" s="1"/>
      <c r="M177" s="1"/>
      <c r="N177" s="1"/>
      <c r="O177" s="1"/>
      <c r="P177" s="1"/>
      <c r="Q177" s="1"/>
      <c r="R177" s="1"/>
      <c r="S177" s="1"/>
      <c r="T177" s="1"/>
    </row>
    <row r="178" spans="4:20" s="10" customFormat="1" ht="14.5">
      <c r="D178" s="1"/>
      <c r="E178" s="4"/>
      <c r="F178" s="1"/>
      <c r="G178" s="1"/>
      <c r="H178" s="1"/>
      <c r="I178" s="1"/>
      <c r="J178" s="1"/>
      <c r="K178" s="1"/>
      <c r="L178" s="1"/>
      <c r="M178" s="1"/>
      <c r="N178" s="1"/>
      <c r="O178" s="1"/>
      <c r="P178" s="1"/>
      <c r="Q178" s="1"/>
      <c r="R178" s="1"/>
      <c r="S178" s="1"/>
      <c r="T178" s="1"/>
    </row>
    <row r="179" spans="4:20" s="10" customFormat="1" ht="14.5">
      <c r="D179" s="1"/>
      <c r="E179" s="4"/>
      <c r="F179" s="1"/>
      <c r="G179" s="1"/>
      <c r="H179" s="1"/>
      <c r="I179" s="1"/>
      <c r="J179" s="1"/>
      <c r="K179" s="1"/>
      <c r="L179" s="1"/>
      <c r="M179" s="1"/>
      <c r="N179" s="1"/>
      <c r="O179" s="1"/>
      <c r="P179" s="1"/>
      <c r="Q179" s="1"/>
      <c r="R179" s="1"/>
      <c r="S179" s="1"/>
      <c r="T179" s="1"/>
    </row>
    <row r="180" spans="4:20" s="10" customFormat="1" ht="14.5">
      <c r="D180" s="1"/>
      <c r="E180" s="4"/>
      <c r="F180" s="1"/>
      <c r="G180" s="1"/>
      <c r="H180" s="1"/>
      <c r="I180" s="1"/>
      <c r="J180" s="1"/>
      <c r="K180" s="1"/>
      <c r="L180" s="1"/>
      <c r="M180" s="1"/>
      <c r="N180" s="1"/>
      <c r="O180" s="1"/>
      <c r="P180" s="1"/>
      <c r="Q180" s="1"/>
      <c r="R180" s="1"/>
      <c r="S180" s="1"/>
      <c r="T180" s="1"/>
    </row>
    <row r="181" spans="4:20" s="10" customFormat="1" ht="14.5">
      <c r="D181" s="1"/>
      <c r="E181" s="4"/>
      <c r="F181" s="1"/>
      <c r="G181" s="1"/>
      <c r="H181" s="1"/>
      <c r="I181" s="1"/>
      <c r="J181" s="1"/>
      <c r="K181" s="1"/>
      <c r="L181" s="1"/>
      <c r="M181" s="1"/>
      <c r="N181" s="1"/>
      <c r="O181" s="1"/>
      <c r="P181" s="1"/>
      <c r="Q181" s="1"/>
      <c r="R181" s="1"/>
      <c r="S181" s="1"/>
      <c r="T181" s="1"/>
    </row>
    <row r="182" spans="4:20" s="10" customFormat="1" ht="14.5">
      <c r="D182" s="1"/>
      <c r="E182" s="4"/>
      <c r="F182" s="1"/>
      <c r="G182" s="1"/>
      <c r="H182" s="1"/>
      <c r="I182" s="1"/>
      <c r="J182" s="1"/>
      <c r="K182" s="1"/>
      <c r="L182" s="1"/>
      <c r="M182" s="1"/>
      <c r="N182" s="1"/>
      <c r="O182" s="1"/>
      <c r="P182" s="1"/>
      <c r="Q182" s="1"/>
      <c r="R182" s="1"/>
      <c r="S182" s="1"/>
      <c r="T182" s="1"/>
    </row>
    <row r="183" spans="4:20" s="10" customFormat="1" ht="14.5">
      <c r="D183" s="1"/>
      <c r="E183" s="4"/>
      <c r="F183" s="1"/>
      <c r="G183" s="1"/>
      <c r="H183" s="1"/>
      <c r="I183" s="1"/>
      <c r="J183" s="1"/>
      <c r="K183" s="1"/>
      <c r="L183" s="1"/>
      <c r="M183" s="1"/>
      <c r="N183" s="1"/>
      <c r="O183" s="1"/>
      <c r="P183" s="1"/>
      <c r="Q183" s="1"/>
      <c r="R183" s="1"/>
      <c r="S183" s="1"/>
      <c r="T183" s="1"/>
    </row>
    <row r="184" spans="4:20" s="10" customFormat="1" ht="14.5">
      <c r="D184" s="1"/>
      <c r="E184" s="4"/>
      <c r="F184" s="1"/>
      <c r="G184" s="1"/>
      <c r="H184" s="1"/>
      <c r="I184" s="1"/>
      <c r="J184" s="1"/>
      <c r="K184" s="1"/>
      <c r="L184" s="1"/>
      <c r="M184" s="1"/>
      <c r="N184" s="1"/>
      <c r="O184" s="1"/>
      <c r="P184" s="1"/>
      <c r="Q184" s="1"/>
      <c r="R184" s="1"/>
      <c r="S184" s="1"/>
      <c r="T184" s="1"/>
    </row>
    <row r="185" spans="4:20" s="10" customFormat="1" ht="14.5">
      <c r="D185" s="1"/>
      <c r="E185" s="4"/>
      <c r="F185" s="1"/>
      <c r="G185" s="1"/>
      <c r="H185" s="1"/>
      <c r="I185" s="1"/>
      <c r="J185" s="1"/>
      <c r="K185" s="1"/>
      <c r="L185" s="1"/>
      <c r="M185" s="1"/>
      <c r="N185" s="1"/>
      <c r="O185" s="1"/>
      <c r="P185" s="1"/>
      <c r="Q185" s="1"/>
      <c r="R185" s="1"/>
      <c r="S185" s="1"/>
      <c r="T185" s="1"/>
    </row>
    <row r="186" spans="4:20" s="10" customFormat="1" ht="14.5">
      <c r="D186" s="1"/>
      <c r="E186" s="4"/>
      <c r="F186" s="1"/>
      <c r="G186" s="1"/>
      <c r="H186" s="1"/>
      <c r="I186" s="1"/>
      <c r="J186" s="1"/>
      <c r="K186" s="1"/>
      <c r="L186" s="1"/>
      <c r="M186" s="1"/>
      <c r="N186" s="1"/>
      <c r="O186" s="1"/>
      <c r="P186" s="1"/>
      <c r="Q186" s="1"/>
      <c r="R186" s="1"/>
      <c r="S186" s="1"/>
      <c r="T186" s="1"/>
    </row>
    <row r="187" spans="4:20" s="10" customFormat="1" ht="14.5">
      <c r="D187" s="1"/>
      <c r="E187" s="4"/>
      <c r="F187" s="1"/>
      <c r="G187" s="1"/>
      <c r="H187" s="1"/>
      <c r="I187" s="1"/>
      <c r="J187" s="1"/>
      <c r="K187" s="1"/>
      <c r="L187" s="1"/>
      <c r="M187" s="1"/>
      <c r="N187" s="1"/>
      <c r="O187" s="1"/>
      <c r="P187" s="1"/>
      <c r="Q187" s="1"/>
      <c r="R187" s="1"/>
      <c r="S187" s="1"/>
      <c r="T187" s="1"/>
    </row>
    <row r="188" spans="4:20" s="10" customFormat="1" ht="14.5">
      <c r="D188" s="1"/>
      <c r="E188" s="4"/>
      <c r="F188" s="1"/>
      <c r="G188" s="1"/>
      <c r="H188" s="1"/>
      <c r="I188" s="1"/>
      <c r="J188" s="1"/>
      <c r="K188" s="1"/>
      <c r="L188" s="1"/>
      <c r="M188" s="1"/>
      <c r="N188" s="1"/>
      <c r="O188" s="1"/>
      <c r="P188" s="1"/>
      <c r="Q188" s="1"/>
      <c r="R188" s="1"/>
      <c r="S188" s="1"/>
      <c r="T188" s="1"/>
    </row>
    <row r="189" spans="4:20" s="10" customFormat="1" ht="14.5">
      <c r="D189" s="1"/>
      <c r="E189" s="4"/>
      <c r="F189" s="1"/>
      <c r="G189" s="1"/>
      <c r="H189" s="1"/>
      <c r="I189" s="1"/>
      <c r="J189" s="1"/>
      <c r="K189" s="1"/>
      <c r="L189" s="1"/>
      <c r="M189" s="1"/>
      <c r="N189" s="1"/>
      <c r="O189" s="1"/>
      <c r="P189" s="1"/>
      <c r="Q189" s="1"/>
      <c r="R189" s="1"/>
      <c r="S189" s="1"/>
      <c r="T189" s="1"/>
    </row>
    <row r="190" spans="4:20" s="10" customFormat="1" ht="14.5">
      <c r="D190" s="1"/>
      <c r="E190" s="4"/>
      <c r="F190" s="1"/>
      <c r="G190" s="1"/>
      <c r="H190" s="1"/>
      <c r="I190" s="1"/>
      <c r="J190" s="1"/>
      <c r="K190" s="1"/>
      <c r="L190" s="1"/>
      <c r="M190" s="1"/>
      <c r="N190" s="1"/>
      <c r="O190" s="1"/>
      <c r="P190" s="1"/>
      <c r="Q190" s="1"/>
      <c r="R190" s="1"/>
      <c r="S190" s="1"/>
      <c r="T190" s="1"/>
    </row>
    <row r="191" spans="4:20" s="10" customFormat="1" ht="14.5">
      <c r="D191" s="1"/>
      <c r="E191" s="4"/>
      <c r="F191" s="1"/>
      <c r="G191" s="1"/>
      <c r="H191" s="1"/>
      <c r="I191" s="1"/>
      <c r="J191" s="1"/>
      <c r="K191" s="1"/>
      <c r="L191" s="1"/>
      <c r="M191" s="1"/>
      <c r="N191" s="1"/>
      <c r="O191" s="1"/>
      <c r="P191" s="1"/>
      <c r="Q191" s="1"/>
      <c r="R191" s="1"/>
      <c r="S191" s="1"/>
      <c r="T191" s="1"/>
    </row>
    <row r="192" spans="4:20" s="10" customFormat="1" ht="14.5">
      <c r="D192" s="1"/>
      <c r="E192" s="4"/>
      <c r="F192" s="1"/>
      <c r="G192" s="1"/>
      <c r="H192" s="1"/>
      <c r="I192" s="1"/>
      <c r="J192" s="1"/>
      <c r="K192" s="1"/>
      <c r="L192" s="1"/>
      <c r="M192" s="1"/>
      <c r="N192" s="1"/>
      <c r="O192" s="1"/>
      <c r="P192" s="1"/>
      <c r="Q192" s="1"/>
      <c r="R192" s="1"/>
      <c r="S192" s="1"/>
      <c r="T192" s="1"/>
    </row>
    <row r="193" spans="4:20" s="10" customFormat="1" ht="14.5">
      <c r="D193" s="1"/>
      <c r="E193" s="4"/>
      <c r="F193" s="1"/>
      <c r="G193" s="1"/>
      <c r="H193" s="1"/>
      <c r="I193" s="1"/>
      <c r="J193" s="1"/>
      <c r="K193" s="1"/>
      <c r="L193" s="1"/>
      <c r="M193" s="1"/>
      <c r="N193" s="1"/>
      <c r="O193" s="1"/>
      <c r="P193" s="1"/>
      <c r="Q193" s="1"/>
      <c r="R193" s="1"/>
      <c r="S193" s="1"/>
      <c r="T193" s="1"/>
    </row>
    <row r="194" spans="4:20" s="10" customFormat="1" ht="14.5">
      <c r="D194" s="1"/>
      <c r="E194" s="4"/>
      <c r="F194" s="1"/>
      <c r="G194" s="1"/>
      <c r="H194" s="1"/>
      <c r="I194" s="1"/>
      <c r="J194" s="1"/>
      <c r="K194" s="1"/>
      <c r="L194" s="1"/>
      <c r="M194" s="1"/>
      <c r="N194" s="1"/>
      <c r="O194" s="1"/>
      <c r="P194" s="1"/>
      <c r="Q194" s="1"/>
      <c r="R194" s="1"/>
      <c r="S194" s="1"/>
      <c r="T194" s="1"/>
    </row>
    <row r="195" spans="4:20" s="10" customFormat="1" ht="14.5">
      <c r="D195" s="1"/>
      <c r="E195" s="4"/>
      <c r="F195" s="1"/>
      <c r="G195" s="1"/>
      <c r="H195" s="1"/>
      <c r="I195" s="1"/>
      <c r="J195" s="1"/>
      <c r="K195" s="1"/>
      <c r="L195" s="1"/>
      <c r="M195" s="1"/>
      <c r="N195" s="1"/>
      <c r="O195" s="1"/>
      <c r="P195" s="1"/>
      <c r="Q195" s="1"/>
      <c r="R195" s="1"/>
      <c r="S195" s="1"/>
      <c r="T195" s="1"/>
    </row>
    <row r="196" spans="4:20" s="10" customFormat="1" ht="14.5">
      <c r="D196" s="1"/>
      <c r="E196" s="4"/>
      <c r="F196" s="1"/>
      <c r="G196" s="1"/>
      <c r="H196" s="1"/>
      <c r="I196" s="1"/>
      <c r="J196" s="1"/>
      <c r="K196" s="1"/>
      <c r="L196" s="1"/>
      <c r="M196" s="1"/>
      <c r="N196" s="1"/>
      <c r="O196" s="1"/>
      <c r="P196" s="1"/>
      <c r="Q196" s="1"/>
      <c r="R196" s="1"/>
      <c r="S196" s="1"/>
      <c r="T196" s="1"/>
    </row>
    <row r="197" spans="4:20" s="10" customFormat="1" ht="14.5">
      <c r="D197" s="1"/>
      <c r="E197" s="4"/>
      <c r="F197" s="1"/>
      <c r="G197" s="1"/>
      <c r="H197" s="1"/>
      <c r="I197" s="1"/>
      <c r="J197" s="1"/>
      <c r="K197" s="1"/>
      <c r="L197" s="1"/>
      <c r="M197" s="1"/>
      <c r="N197" s="1"/>
      <c r="O197" s="1"/>
      <c r="P197" s="1"/>
      <c r="Q197" s="1"/>
      <c r="R197" s="1"/>
      <c r="S197" s="1"/>
      <c r="T197" s="1"/>
    </row>
    <row r="198" spans="4:20" s="10" customFormat="1" ht="14.5">
      <c r="D198" s="1"/>
      <c r="E198" s="4"/>
      <c r="F198" s="1"/>
      <c r="G198" s="1"/>
      <c r="H198" s="1"/>
      <c r="I198" s="1"/>
      <c r="J198" s="1"/>
      <c r="K198" s="1"/>
      <c r="L198" s="1"/>
      <c r="M198" s="1"/>
      <c r="N198" s="1"/>
      <c r="O198" s="1"/>
      <c r="P198" s="1"/>
      <c r="Q198" s="1"/>
      <c r="R198" s="1"/>
      <c r="S198" s="1"/>
      <c r="T198" s="1"/>
    </row>
    <row r="199" spans="4:20" s="10" customFormat="1" ht="14.5">
      <c r="D199" s="1"/>
      <c r="E199" s="4"/>
      <c r="F199" s="1"/>
      <c r="G199" s="1"/>
      <c r="H199" s="1"/>
      <c r="I199" s="1"/>
      <c r="J199" s="1"/>
      <c r="K199" s="1"/>
      <c r="L199" s="1"/>
      <c r="M199" s="1"/>
      <c r="N199" s="1"/>
      <c r="O199" s="1"/>
      <c r="P199" s="1"/>
      <c r="Q199" s="1"/>
      <c r="R199" s="1"/>
      <c r="S199" s="1"/>
      <c r="T199" s="1"/>
    </row>
    <row r="200" spans="4:20" s="10" customFormat="1" ht="14.5">
      <c r="D200" s="1"/>
      <c r="E200" s="4"/>
      <c r="F200" s="1"/>
      <c r="G200" s="1"/>
      <c r="H200" s="1"/>
      <c r="I200" s="1"/>
      <c r="J200" s="1"/>
      <c r="K200" s="1"/>
      <c r="L200" s="1"/>
      <c r="M200" s="1"/>
      <c r="N200" s="1"/>
      <c r="O200" s="1"/>
      <c r="P200" s="1"/>
      <c r="Q200" s="1"/>
      <c r="R200" s="1"/>
      <c r="S200" s="1"/>
      <c r="T200" s="1"/>
    </row>
    <row r="201" spans="4:20" s="10" customFormat="1" ht="14.5">
      <c r="D201" s="1"/>
      <c r="E201" s="4"/>
      <c r="F201" s="1"/>
      <c r="G201" s="1"/>
      <c r="H201" s="1"/>
      <c r="I201" s="1"/>
      <c r="J201" s="1"/>
      <c r="K201" s="1"/>
      <c r="L201" s="1"/>
      <c r="M201" s="1"/>
      <c r="N201" s="1"/>
      <c r="O201" s="1"/>
      <c r="P201" s="1"/>
      <c r="Q201" s="1"/>
      <c r="R201" s="1"/>
      <c r="S201" s="1"/>
      <c r="T201" s="1"/>
    </row>
    <row r="202" spans="4:20" s="10" customFormat="1" ht="14.5">
      <c r="D202" s="1"/>
      <c r="E202" s="4"/>
      <c r="F202" s="1"/>
      <c r="G202" s="1"/>
      <c r="H202" s="1"/>
      <c r="I202" s="1"/>
      <c r="J202" s="1"/>
      <c r="K202" s="1"/>
      <c r="L202" s="1"/>
      <c r="M202" s="1"/>
      <c r="N202" s="1"/>
      <c r="O202" s="1"/>
      <c r="P202" s="1"/>
      <c r="Q202" s="1"/>
      <c r="R202" s="1"/>
      <c r="S202" s="1"/>
      <c r="T202" s="1"/>
    </row>
    <row r="203" spans="4:20" s="10" customFormat="1" ht="14.5">
      <c r="D203" s="1"/>
      <c r="E203" s="4"/>
      <c r="F203" s="1"/>
      <c r="G203" s="1"/>
      <c r="H203" s="1"/>
      <c r="I203" s="1"/>
      <c r="J203" s="1"/>
      <c r="K203" s="1"/>
      <c r="L203" s="1"/>
      <c r="M203" s="1"/>
      <c r="N203" s="1"/>
      <c r="O203" s="1"/>
      <c r="P203" s="1"/>
      <c r="Q203" s="1"/>
      <c r="R203" s="1"/>
      <c r="S203" s="1"/>
      <c r="T203" s="1"/>
    </row>
    <row r="204" spans="4:20" s="10" customFormat="1" ht="14.5">
      <c r="D204" s="1"/>
      <c r="E204" s="4"/>
      <c r="F204" s="1"/>
      <c r="G204" s="1"/>
      <c r="H204" s="1"/>
      <c r="I204" s="1"/>
      <c r="J204" s="1"/>
      <c r="K204" s="1"/>
      <c r="L204" s="1"/>
      <c r="M204" s="1"/>
      <c r="N204" s="1"/>
      <c r="O204" s="1"/>
      <c r="P204" s="1"/>
      <c r="Q204" s="1"/>
      <c r="R204" s="1"/>
      <c r="S204" s="1"/>
      <c r="T204" s="1"/>
    </row>
    <row r="205" spans="4:20" s="10" customFormat="1" ht="14.5">
      <c r="D205" s="1"/>
      <c r="E205" s="4"/>
      <c r="F205" s="1"/>
      <c r="G205" s="1"/>
      <c r="H205" s="1"/>
      <c r="I205" s="1"/>
      <c r="J205" s="1"/>
      <c r="K205" s="1"/>
      <c r="L205" s="1"/>
      <c r="M205" s="1"/>
      <c r="N205" s="1"/>
      <c r="O205" s="1"/>
      <c r="P205" s="1"/>
      <c r="Q205" s="1"/>
      <c r="R205" s="1"/>
      <c r="S205" s="1"/>
      <c r="T205" s="1"/>
    </row>
    <row r="206" spans="4:20" s="10" customFormat="1" ht="14.5">
      <c r="D206" s="1"/>
      <c r="E206" s="4"/>
      <c r="F206" s="1"/>
      <c r="G206" s="1"/>
      <c r="H206" s="1"/>
      <c r="I206" s="1"/>
      <c r="J206" s="1"/>
      <c r="K206" s="1"/>
      <c r="L206" s="1"/>
      <c r="M206" s="1"/>
      <c r="N206" s="1"/>
      <c r="O206" s="1"/>
      <c r="P206" s="1"/>
      <c r="Q206" s="1"/>
      <c r="R206" s="1"/>
      <c r="S206" s="1"/>
      <c r="T206" s="1"/>
    </row>
    <row r="207" spans="4:20" s="10" customFormat="1" ht="14.5">
      <c r="D207" s="1"/>
      <c r="E207" s="4"/>
      <c r="F207" s="1"/>
      <c r="G207" s="1"/>
      <c r="H207" s="1"/>
      <c r="I207" s="1"/>
      <c r="J207" s="1"/>
      <c r="K207" s="1"/>
      <c r="L207" s="1"/>
      <c r="M207" s="1"/>
      <c r="N207" s="1"/>
      <c r="O207" s="1"/>
      <c r="P207" s="1"/>
      <c r="Q207" s="1"/>
      <c r="R207" s="1"/>
      <c r="S207" s="1"/>
      <c r="T207" s="1"/>
    </row>
    <row r="208" spans="4:20" s="10" customFormat="1" ht="14.5">
      <c r="D208" s="1"/>
      <c r="E208" s="4"/>
      <c r="F208" s="1"/>
      <c r="G208" s="1"/>
      <c r="H208" s="1"/>
      <c r="I208" s="1"/>
      <c r="J208" s="1"/>
      <c r="K208" s="1"/>
      <c r="L208" s="1"/>
      <c r="M208" s="1"/>
      <c r="N208" s="1"/>
      <c r="O208" s="1"/>
      <c r="P208" s="1"/>
      <c r="Q208" s="1"/>
      <c r="R208" s="1"/>
      <c r="S208" s="1"/>
      <c r="T208" s="1"/>
    </row>
    <row r="209" spans="4:20" s="10" customFormat="1" ht="14.5">
      <c r="D209" s="1"/>
      <c r="E209" s="4"/>
      <c r="F209" s="1"/>
      <c r="G209" s="1"/>
      <c r="H209" s="1"/>
      <c r="I209" s="1"/>
      <c r="J209" s="1"/>
      <c r="K209" s="1"/>
      <c r="L209" s="1"/>
      <c r="M209" s="1"/>
      <c r="N209" s="1"/>
      <c r="O209" s="1"/>
      <c r="P209" s="1"/>
      <c r="Q209" s="1"/>
      <c r="R209" s="1"/>
      <c r="S209" s="1"/>
      <c r="T209" s="1"/>
    </row>
    <row r="210" spans="4:20" s="10" customFormat="1" ht="14.5">
      <c r="D210" s="1"/>
      <c r="E210" s="4"/>
      <c r="F210" s="1"/>
      <c r="G210" s="1"/>
      <c r="H210" s="1"/>
      <c r="I210" s="1"/>
      <c r="J210" s="1"/>
      <c r="K210" s="1"/>
      <c r="L210" s="1"/>
      <c r="M210" s="1"/>
      <c r="N210" s="1"/>
      <c r="O210" s="1"/>
      <c r="P210" s="1"/>
      <c r="Q210" s="1"/>
      <c r="R210" s="1"/>
      <c r="S210" s="1"/>
      <c r="T210" s="1"/>
    </row>
    <row r="211" spans="4:20" s="10" customFormat="1" ht="14.5">
      <c r="D211" s="1"/>
      <c r="E211" s="4"/>
      <c r="F211" s="1"/>
      <c r="G211" s="1"/>
      <c r="H211" s="1"/>
      <c r="I211" s="1"/>
      <c r="J211" s="1"/>
      <c r="K211" s="1"/>
      <c r="L211" s="1"/>
      <c r="M211" s="1"/>
      <c r="N211" s="1"/>
      <c r="O211" s="1"/>
      <c r="P211" s="1"/>
      <c r="Q211" s="1"/>
      <c r="R211" s="1"/>
      <c r="S211" s="1"/>
      <c r="T211" s="1"/>
    </row>
    <row r="212" spans="4:20" s="10" customFormat="1" ht="14.5">
      <c r="D212" s="1"/>
      <c r="E212" s="4"/>
      <c r="F212" s="1"/>
      <c r="G212" s="1"/>
      <c r="H212" s="1"/>
      <c r="I212" s="1"/>
      <c r="J212" s="1"/>
      <c r="K212" s="1"/>
      <c r="L212" s="1"/>
      <c r="M212" s="1"/>
      <c r="N212" s="1"/>
      <c r="O212" s="1"/>
      <c r="P212" s="1"/>
      <c r="Q212" s="1"/>
      <c r="R212" s="1"/>
      <c r="S212" s="1"/>
      <c r="T212" s="1"/>
    </row>
    <row r="213" spans="4:20" s="10" customFormat="1" ht="14.5">
      <c r="D213" s="1"/>
      <c r="E213" s="4"/>
      <c r="F213" s="1"/>
      <c r="G213" s="1"/>
      <c r="H213" s="1"/>
      <c r="I213" s="1"/>
      <c r="J213" s="1"/>
      <c r="K213" s="1"/>
      <c r="L213" s="1"/>
      <c r="M213" s="1"/>
      <c r="N213" s="1"/>
      <c r="O213" s="1"/>
      <c r="P213" s="1"/>
      <c r="Q213" s="1"/>
      <c r="R213" s="1"/>
      <c r="S213" s="1"/>
      <c r="T213" s="1"/>
    </row>
    <row r="214" spans="4:20" s="10" customFormat="1" ht="14.5">
      <c r="D214" s="1"/>
      <c r="E214" s="4"/>
      <c r="F214" s="1"/>
      <c r="G214" s="1"/>
      <c r="H214" s="1"/>
      <c r="I214" s="1"/>
      <c r="J214" s="1"/>
      <c r="K214" s="1"/>
      <c r="L214" s="1"/>
      <c r="M214" s="1"/>
      <c r="N214" s="1"/>
      <c r="O214" s="1"/>
      <c r="P214" s="1"/>
      <c r="Q214" s="1"/>
      <c r="R214" s="1"/>
      <c r="S214" s="1"/>
      <c r="T214" s="1"/>
    </row>
    <row r="215" spans="4:20" s="10" customFormat="1" ht="14.5">
      <c r="D215" s="1"/>
      <c r="E215" s="4"/>
      <c r="F215" s="1"/>
      <c r="G215" s="1"/>
      <c r="H215" s="1"/>
      <c r="I215" s="1"/>
      <c r="J215" s="1"/>
      <c r="K215" s="1"/>
      <c r="L215" s="1"/>
      <c r="M215" s="1"/>
      <c r="N215" s="1"/>
      <c r="O215" s="1"/>
      <c r="P215" s="1"/>
      <c r="Q215" s="1"/>
      <c r="R215" s="1"/>
      <c r="S215" s="1"/>
      <c r="T215" s="1"/>
    </row>
    <row r="216" spans="4:20" s="10" customFormat="1" ht="14.5">
      <c r="D216" s="1"/>
      <c r="E216" s="4"/>
      <c r="F216" s="1"/>
      <c r="G216" s="1"/>
      <c r="H216" s="1"/>
      <c r="I216" s="1"/>
      <c r="J216" s="1"/>
      <c r="K216" s="1"/>
      <c r="L216" s="1"/>
      <c r="M216" s="1"/>
      <c r="N216" s="1"/>
      <c r="O216" s="1"/>
      <c r="P216" s="1"/>
      <c r="Q216" s="1"/>
      <c r="R216" s="1"/>
      <c r="S216" s="1"/>
      <c r="T216" s="1"/>
    </row>
    <row r="217" spans="4:20" s="10" customFormat="1" ht="14.5">
      <c r="D217" s="1"/>
      <c r="E217" s="4"/>
      <c r="F217" s="1"/>
      <c r="G217" s="1"/>
      <c r="H217" s="1"/>
      <c r="I217" s="1"/>
      <c r="J217" s="1"/>
      <c r="K217" s="1"/>
      <c r="L217" s="1"/>
      <c r="M217" s="1"/>
      <c r="N217" s="1"/>
      <c r="O217" s="1"/>
      <c r="P217" s="1"/>
      <c r="Q217" s="1"/>
      <c r="R217" s="1"/>
      <c r="S217" s="1"/>
      <c r="T217" s="1"/>
    </row>
    <row r="218" spans="4:20" s="10" customFormat="1" ht="14.5">
      <c r="D218" s="1"/>
      <c r="E218" s="4"/>
      <c r="F218" s="1"/>
      <c r="G218" s="1"/>
      <c r="H218" s="1"/>
      <c r="I218" s="1"/>
      <c r="J218" s="1"/>
      <c r="K218" s="1"/>
      <c r="L218" s="1"/>
      <c r="M218" s="1"/>
      <c r="N218" s="1"/>
      <c r="O218" s="1"/>
      <c r="P218" s="1"/>
      <c r="Q218" s="1"/>
      <c r="R218" s="1"/>
      <c r="S218" s="1"/>
      <c r="T218" s="1"/>
    </row>
    <row r="219" spans="4:20" s="10" customFormat="1" ht="14.5">
      <c r="D219" s="1"/>
      <c r="E219" s="4"/>
      <c r="F219" s="1"/>
      <c r="G219" s="1"/>
      <c r="H219" s="1"/>
      <c r="I219" s="1"/>
      <c r="J219" s="1"/>
      <c r="K219" s="1"/>
      <c r="L219" s="1"/>
      <c r="M219" s="1"/>
      <c r="N219" s="1"/>
      <c r="O219" s="1"/>
      <c r="P219" s="1"/>
      <c r="Q219" s="1"/>
      <c r="R219" s="1"/>
      <c r="S219" s="1"/>
      <c r="T219" s="1"/>
    </row>
    <row r="220" spans="4:20" s="10" customFormat="1" ht="14.5">
      <c r="D220" s="1"/>
      <c r="E220" s="4"/>
      <c r="F220" s="1"/>
      <c r="G220" s="1"/>
      <c r="H220" s="1"/>
      <c r="I220" s="1"/>
      <c r="J220" s="1"/>
      <c r="K220" s="1"/>
      <c r="L220" s="1"/>
      <c r="M220" s="1"/>
      <c r="N220" s="1"/>
      <c r="O220" s="1"/>
      <c r="P220" s="1"/>
      <c r="Q220" s="1"/>
      <c r="R220" s="1"/>
      <c r="S220" s="1"/>
      <c r="T220" s="1"/>
    </row>
    <row r="221" spans="4:20" s="10" customFormat="1" ht="14.5">
      <c r="D221" s="1"/>
      <c r="E221" s="4"/>
      <c r="F221" s="1"/>
      <c r="G221" s="1"/>
      <c r="H221" s="1"/>
      <c r="I221" s="1"/>
      <c r="J221" s="1"/>
      <c r="K221" s="1"/>
      <c r="L221" s="1"/>
      <c r="M221" s="1"/>
      <c r="N221" s="1"/>
      <c r="O221" s="1"/>
      <c r="P221" s="1"/>
      <c r="Q221" s="1"/>
      <c r="R221" s="1"/>
      <c r="S221" s="1"/>
      <c r="T221" s="1"/>
    </row>
    <row r="222" spans="4:20" s="10" customFormat="1" ht="14.5">
      <c r="D222" s="1"/>
      <c r="E222" s="4"/>
      <c r="F222" s="1"/>
      <c r="G222" s="1"/>
      <c r="H222" s="1"/>
      <c r="I222" s="1"/>
      <c r="J222" s="1"/>
      <c r="K222" s="1"/>
      <c r="L222" s="1"/>
      <c r="M222" s="1"/>
      <c r="N222" s="1"/>
      <c r="O222" s="1"/>
      <c r="P222" s="1"/>
      <c r="Q222" s="1"/>
      <c r="R222" s="1"/>
      <c r="S222" s="1"/>
      <c r="T222" s="1"/>
    </row>
    <row r="223" spans="4:20" s="10" customFormat="1" ht="14.5">
      <c r="D223" s="1"/>
      <c r="E223" s="4"/>
      <c r="F223" s="1"/>
      <c r="G223" s="1"/>
      <c r="H223" s="1"/>
      <c r="I223" s="1"/>
      <c r="J223" s="1"/>
      <c r="K223" s="1"/>
      <c r="L223" s="1"/>
      <c r="M223" s="1"/>
      <c r="N223" s="1"/>
      <c r="O223" s="1"/>
      <c r="P223" s="1"/>
      <c r="Q223" s="1"/>
      <c r="R223" s="1"/>
      <c r="S223" s="1"/>
      <c r="T223" s="1"/>
    </row>
    <row r="224" spans="4:20" s="10" customFormat="1" ht="14.5">
      <c r="D224" s="1"/>
      <c r="E224" s="4"/>
      <c r="F224" s="1"/>
      <c r="G224" s="1"/>
      <c r="H224" s="1"/>
      <c r="I224" s="1"/>
      <c r="J224" s="1"/>
      <c r="K224" s="1"/>
      <c r="L224" s="1"/>
      <c r="M224" s="1"/>
      <c r="N224" s="1"/>
      <c r="O224" s="1"/>
      <c r="P224" s="1"/>
      <c r="Q224" s="1"/>
      <c r="R224" s="1"/>
      <c r="S224" s="1"/>
      <c r="T224" s="1"/>
    </row>
    <row r="225" spans="4:20" s="10" customFormat="1" ht="14.5">
      <c r="D225" s="1"/>
      <c r="E225" s="4"/>
      <c r="F225" s="1"/>
      <c r="G225" s="1"/>
      <c r="H225" s="1"/>
      <c r="I225" s="1"/>
      <c r="J225" s="1"/>
      <c r="K225" s="1"/>
      <c r="L225" s="1"/>
      <c r="M225" s="1"/>
      <c r="N225" s="1"/>
      <c r="O225" s="1"/>
      <c r="P225" s="1"/>
      <c r="Q225" s="1"/>
      <c r="R225" s="1"/>
      <c r="S225" s="1"/>
      <c r="T225" s="1"/>
    </row>
    <row r="226" spans="4:20" s="10" customFormat="1" ht="14.5">
      <c r="D226" s="1"/>
      <c r="E226" s="4"/>
      <c r="F226" s="1"/>
      <c r="G226" s="1"/>
      <c r="H226" s="1"/>
      <c r="I226" s="1"/>
      <c r="J226" s="1"/>
      <c r="K226" s="1"/>
      <c r="L226" s="1"/>
      <c r="M226" s="1"/>
      <c r="N226" s="1"/>
      <c r="O226" s="1"/>
      <c r="P226" s="1"/>
      <c r="Q226" s="1"/>
      <c r="R226" s="1"/>
      <c r="S226" s="1"/>
      <c r="T226" s="1"/>
    </row>
    <row r="227" spans="4:20" s="10" customFormat="1" ht="14.5">
      <c r="D227" s="1"/>
      <c r="E227" s="4"/>
      <c r="F227" s="1"/>
      <c r="G227" s="1"/>
      <c r="H227" s="1"/>
      <c r="I227" s="1"/>
      <c r="J227" s="1"/>
      <c r="K227" s="1"/>
      <c r="L227" s="1"/>
      <c r="M227" s="1"/>
      <c r="N227" s="1"/>
      <c r="O227" s="1"/>
      <c r="P227" s="1"/>
      <c r="Q227" s="1"/>
      <c r="R227" s="1"/>
      <c r="S227" s="1"/>
      <c r="T227" s="1"/>
    </row>
    <row r="228" spans="4:20" s="10" customFormat="1" ht="14.5">
      <c r="D228" s="1"/>
      <c r="E228" s="4"/>
      <c r="F228" s="1"/>
      <c r="G228" s="1"/>
      <c r="H228" s="1"/>
      <c r="I228" s="1"/>
      <c r="J228" s="1"/>
      <c r="K228" s="1"/>
      <c r="L228" s="1"/>
      <c r="M228" s="1"/>
      <c r="N228" s="1"/>
      <c r="O228" s="1"/>
      <c r="P228" s="1"/>
      <c r="Q228" s="1"/>
      <c r="R228" s="1"/>
      <c r="S228" s="1"/>
      <c r="T228" s="1"/>
    </row>
    <row r="229" spans="4:20" s="10" customFormat="1" ht="14.5">
      <c r="D229" s="1"/>
      <c r="E229" s="4"/>
      <c r="F229" s="1"/>
      <c r="G229" s="1"/>
      <c r="H229" s="1"/>
      <c r="I229" s="1"/>
      <c r="J229" s="1"/>
      <c r="K229" s="1"/>
      <c r="L229" s="1"/>
      <c r="M229" s="1"/>
      <c r="N229" s="1"/>
      <c r="O229" s="1"/>
      <c r="P229" s="1"/>
      <c r="Q229" s="1"/>
      <c r="R229" s="1"/>
      <c r="S229" s="1"/>
      <c r="T229" s="1"/>
    </row>
    <row r="230" spans="4:20" s="10" customFormat="1" ht="14.5">
      <c r="D230" s="1"/>
      <c r="E230" s="4"/>
      <c r="F230" s="1"/>
      <c r="G230" s="1"/>
      <c r="H230" s="1"/>
      <c r="I230" s="1"/>
      <c r="J230" s="1"/>
      <c r="K230" s="1"/>
      <c r="L230" s="1"/>
      <c r="M230" s="1"/>
      <c r="N230" s="1"/>
      <c r="O230" s="1"/>
      <c r="P230" s="1"/>
      <c r="Q230" s="1"/>
      <c r="R230" s="1"/>
      <c r="S230" s="1"/>
      <c r="T230" s="1"/>
    </row>
    <row r="231" spans="4:20" s="10" customFormat="1" ht="14.5">
      <c r="D231" s="1"/>
      <c r="E231" s="4"/>
      <c r="F231" s="1"/>
      <c r="G231" s="1"/>
      <c r="H231" s="1"/>
      <c r="I231" s="1"/>
      <c r="J231" s="1"/>
      <c r="K231" s="1"/>
      <c r="L231" s="1"/>
      <c r="M231" s="1"/>
      <c r="N231" s="1"/>
      <c r="O231" s="1"/>
      <c r="P231" s="1"/>
      <c r="Q231" s="1"/>
      <c r="R231" s="1"/>
      <c r="S231" s="1"/>
      <c r="T231" s="1"/>
    </row>
    <row r="232" spans="4:20" s="10" customFormat="1" ht="14.5">
      <c r="D232" s="1"/>
      <c r="E232" s="4"/>
      <c r="F232" s="1"/>
      <c r="G232" s="1"/>
      <c r="H232" s="1"/>
      <c r="I232" s="1"/>
      <c r="J232" s="1"/>
      <c r="K232" s="1"/>
      <c r="L232" s="1"/>
      <c r="M232" s="1"/>
      <c r="N232" s="1"/>
      <c r="O232" s="1"/>
      <c r="P232" s="1"/>
      <c r="Q232" s="1"/>
      <c r="R232" s="1"/>
      <c r="S232" s="1"/>
      <c r="T232" s="1"/>
    </row>
    <row r="233" spans="4:20" s="10" customFormat="1" ht="14.5">
      <c r="D233" s="1"/>
      <c r="E233" s="4"/>
      <c r="F233" s="1"/>
      <c r="G233" s="1"/>
      <c r="H233" s="1"/>
      <c r="I233" s="1"/>
      <c r="J233" s="1"/>
      <c r="K233" s="1"/>
      <c r="L233" s="1"/>
      <c r="M233" s="1"/>
      <c r="N233" s="1"/>
      <c r="O233" s="1"/>
      <c r="P233" s="1"/>
      <c r="Q233" s="1"/>
      <c r="R233" s="1"/>
      <c r="S233" s="1"/>
      <c r="T233" s="1"/>
    </row>
    <row r="234" spans="4:20" s="10" customFormat="1" ht="14.5">
      <c r="D234" s="1"/>
      <c r="E234" s="4"/>
      <c r="F234" s="1"/>
      <c r="G234" s="1"/>
      <c r="H234" s="1"/>
      <c r="I234" s="1"/>
      <c r="J234" s="1"/>
      <c r="K234" s="1"/>
      <c r="L234" s="1"/>
      <c r="M234" s="1"/>
      <c r="N234" s="1"/>
      <c r="O234" s="1"/>
      <c r="P234" s="1"/>
      <c r="Q234" s="1"/>
      <c r="R234" s="1"/>
      <c r="S234" s="1"/>
      <c r="T234" s="1"/>
    </row>
    <row r="235" spans="4:20" s="10" customFormat="1" ht="14.5">
      <c r="D235" s="1"/>
      <c r="E235" s="4"/>
      <c r="F235" s="1"/>
      <c r="G235" s="1"/>
      <c r="H235" s="1"/>
      <c r="I235" s="1"/>
      <c r="J235" s="1"/>
      <c r="K235" s="1"/>
      <c r="L235" s="1"/>
      <c r="M235" s="1"/>
      <c r="N235" s="1"/>
      <c r="O235" s="1"/>
      <c r="P235" s="1"/>
      <c r="Q235" s="1"/>
      <c r="R235" s="1"/>
      <c r="S235" s="1"/>
      <c r="T235" s="1"/>
    </row>
    <row r="236" spans="4:20" s="10" customFormat="1" ht="14.5">
      <c r="D236" s="1"/>
      <c r="E236" s="4"/>
      <c r="F236" s="1"/>
      <c r="G236" s="1"/>
      <c r="H236" s="1"/>
      <c r="I236" s="1"/>
      <c r="J236" s="1"/>
      <c r="K236" s="1"/>
      <c r="L236" s="1"/>
      <c r="M236" s="1"/>
      <c r="N236" s="1"/>
      <c r="O236" s="1"/>
      <c r="P236" s="1"/>
      <c r="Q236" s="1"/>
      <c r="R236" s="1"/>
      <c r="S236" s="1"/>
      <c r="T236" s="1"/>
    </row>
    <row r="237" spans="4:20" s="10" customFormat="1" ht="14.5">
      <c r="D237" s="1"/>
      <c r="E237" s="4"/>
      <c r="F237" s="1"/>
      <c r="G237" s="1"/>
      <c r="H237" s="1"/>
      <c r="I237" s="1"/>
      <c r="J237" s="1"/>
      <c r="K237" s="1"/>
      <c r="L237" s="1"/>
      <c r="M237" s="1"/>
      <c r="N237" s="1"/>
      <c r="O237" s="1"/>
      <c r="P237" s="1"/>
      <c r="Q237" s="1"/>
      <c r="R237" s="1"/>
      <c r="S237" s="1"/>
      <c r="T237" s="1"/>
    </row>
    <row r="238" spans="4:20" s="10" customFormat="1" ht="14.5">
      <c r="D238" s="1"/>
      <c r="E238" s="4"/>
      <c r="F238" s="1"/>
      <c r="G238" s="1"/>
      <c r="H238" s="1"/>
      <c r="I238" s="1"/>
      <c r="J238" s="1"/>
      <c r="K238" s="1"/>
      <c r="L238" s="1"/>
      <c r="M238" s="1"/>
      <c r="N238" s="1"/>
      <c r="O238" s="1"/>
      <c r="P238" s="1"/>
      <c r="Q238" s="1"/>
      <c r="R238" s="1"/>
      <c r="S238" s="1"/>
      <c r="T238" s="1"/>
    </row>
    <row r="239" spans="4:20" s="10" customFormat="1" ht="14.5">
      <c r="D239" s="1"/>
      <c r="E239" s="4"/>
      <c r="F239" s="1"/>
      <c r="G239" s="1"/>
      <c r="H239" s="1"/>
      <c r="I239" s="1"/>
      <c r="J239" s="1"/>
      <c r="K239" s="1"/>
      <c r="L239" s="1"/>
      <c r="M239" s="1"/>
      <c r="N239" s="1"/>
      <c r="O239" s="1"/>
      <c r="P239" s="1"/>
      <c r="Q239" s="1"/>
      <c r="R239" s="1"/>
      <c r="S239" s="1"/>
      <c r="T239" s="1"/>
    </row>
    <row r="240" spans="4:20" s="10" customFormat="1" ht="14.5">
      <c r="D240" s="1"/>
      <c r="E240" s="4"/>
      <c r="F240" s="1"/>
      <c r="G240" s="1"/>
      <c r="H240" s="1"/>
      <c r="I240" s="1"/>
      <c r="J240" s="1"/>
      <c r="K240" s="1"/>
      <c r="L240" s="1"/>
      <c r="M240" s="1"/>
      <c r="N240" s="1"/>
      <c r="O240" s="1"/>
      <c r="P240" s="1"/>
      <c r="Q240" s="1"/>
      <c r="R240" s="1"/>
      <c r="S240" s="1"/>
      <c r="T240" s="1"/>
    </row>
    <row r="241" spans="1:20" s="10" customFormat="1" ht="14.5">
      <c r="D241" s="1"/>
      <c r="E241" s="4"/>
      <c r="F241" s="1"/>
      <c r="G241" s="1"/>
      <c r="H241" s="1"/>
      <c r="I241" s="1"/>
      <c r="J241" s="1"/>
      <c r="K241" s="1"/>
      <c r="L241" s="1"/>
      <c r="M241" s="1"/>
      <c r="N241" s="1"/>
      <c r="O241" s="1"/>
      <c r="P241" s="1"/>
      <c r="Q241" s="1"/>
      <c r="R241" s="1"/>
      <c r="S241" s="1"/>
      <c r="T241" s="1"/>
    </row>
    <row r="242" spans="1:20" s="10" customFormat="1" ht="14.5">
      <c r="D242" s="1"/>
      <c r="E242" s="4"/>
      <c r="F242" s="1"/>
      <c r="G242" s="1"/>
      <c r="H242" s="1"/>
      <c r="I242" s="1"/>
      <c r="J242" s="1"/>
      <c r="K242" s="1"/>
      <c r="L242" s="1"/>
      <c r="M242" s="1"/>
      <c r="N242" s="1"/>
      <c r="O242" s="1"/>
      <c r="P242" s="1"/>
      <c r="Q242" s="1"/>
      <c r="R242" s="1"/>
      <c r="S242" s="1"/>
      <c r="T242" s="1"/>
    </row>
    <row r="243" spans="1:20" s="10" customFormat="1" ht="14.5">
      <c r="D243" s="1"/>
      <c r="E243" s="4"/>
      <c r="F243" s="1"/>
      <c r="G243" s="1"/>
      <c r="H243" s="1"/>
      <c r="I243" s="1"/>
      <c r="J243" s="1"/>
      <c r="K243" s="1"/>
      <c r="L243" s="1"/>
      <c r="M243" s="1"/>
      <c r="N243" s="1"/>
      <c r="O243" s="1"/>
      <c r="P243" s="1"/>
      <c r="Q243" s="1"/>
      <c r="R243" s="1"/>
      <c r="S243" s="1"/>
      <c r="T243" s="1"/>
    </row>
    <row r="244" spans="1:20" s="10" customFormat="1" ht="14.5">
      <c r="D244" s="1"/>
      <c r="E244" s="4"/>
      <c r="F244" s="1"/>
      <c r="G244" s="1"/>
      <c r="H244" s="1"/>
      <c r="I244" s="1"/>
      <c r="J244" s="1"/>
      <c r="K244" s="1"/>
      <c r="L244" s="1"/>
      <c r="M244" s="1"/>
      <c r="N244" s="1"/>
      <c r="O244" s="1"/>
      <c r="P244" s="1"/>
      <c r="Q244" s="1"/>
      <c r="R244" s="1"/>
      <c r="S244" s="1"/>
      <c r="T244" s="1"/>
    </row>
    <row r="245" spans="1:20" s="10" customFormat="1" ht="14.5">
      <c r="D245" s="1"/>
      <c r="E245" s="4"/>
      <c r="F245" s="1"/>
      <c r="G245" s="1"/>
      <c r="H245" s="1"/>
      <c r="I245" s="1"/>
      <c r="J245" s="1"/>
      <c r="K245" s="1"/>
      <c r="L245" s="1"/>
      <c r="M245" s="1"/>
      <c r="N245" s="1"/>
      <c r="O245" s="1"/>
      <c r="P245" s="1"/>
      <c r="Q245" s="1"/>
      <c r="R245" s="1"/>
      <c r="S245" s="1"/>
      <c r="T245" s="1"/>
    </row>
    <row r="246" spans="1:20" s="10" customFormat="1" ht="14.5">
      <c r="D246" s="1"/>
      <c r="E246" s="4"/>
      <c r="F246" s="1"/>
      <c r="G246" s="1"/>
      <c r="H246" s="1"/>
      <c r="I246" s="1"/>
      <c r="J246" s="1"/>
      <c r="K246" s="1"/>
      <c r="L246" s="1"/>
      <c r="M246" s="1"/>
      <c r="N246" s="1"/>
      <c r="O246" s="1"/>
      <c r="P246" s="1"/>
      <c r="Q246" s="1"/>
      <c r="R246" s="1"/>
      <c r="S246" s="1"/>
      <c r="T246" s="1"/>
    </row>
    <row r="247" spans="1:20" s="10" customFormat="1" ht="14.5">
      <c r="D247" s="1"/>
      <c r="E247" s="4"/>
      <c r="F247" s="1"/>
      <c r="G247" s="1"/>
      <c r="H247" s="1"/>
      <c r="I247" s="1"/>
      <c r="J247" s="1"/>
      <c r="K247" s="1"/>
      <c r="L247" s="1"/>
      <c r="M247" s="1"/>
      <c r="N247" s="1"/>
      <c r="O247" s="1"/>
      <c r="P247" s="1"/>
      <c r="Q247" s="1"/>
      <c r="R247" s="1"/>
      <c r="S247" s="1"/>
      <c r="T247" s="1"/>
    </row>
    <row r="248" spans="1:20" s="10" customFormat="1" ht="14.5">
      <c r="D248" s="1"/>
      <c r="E248" s="4"/>
      <c r="F248" s="1"/>
      <c r="G248" s="1"/>
      <c r="H248" s="1"/>
      <c r="I248" s="1"/>
      <c r="J248" s="1"/>
      <c r="K248" s="1"/>
      <c r="L248" s="1"/>
      <c r="M248" s="1"/>
      <c r="N248" s="1"/>
      <c r="O248" s="1"/>
      <c r="P248" s="1"/>
      <c r="Q248" s="1"/>
      <c r="R248" s="1"/>
      <c r="S248" s="1"/>
      <c r="T248" s="1"/>
    </row>
    <row r="249" spans="1:20" s="10" customFormat="1" ht="14.5">
      <c r="D249" s="1"/>
      <c r="E249" s="4"/>
      <c r="F249" s="1"/>
      <c r="G249" s="1"/>
      <c r="H249" s="1"/>
      <c r="I249" s="1"/>
      <c r="J249" s="1"/>
      <c r="K249" s="1"/>
      <c r="L249" s="1"/>
      <c r="M249" s="1"/>
      <c r="N249" s="1"/>
      <c r="O249" s="1"/>
      <c r="P249" s="1"/>
      <c r="Q249" s="1"/>
      <c r="R249" s="1"/>
      <c r="S249" s="1"/>
      <c r="T249" s="1"/>
    </row>
    <row r="250" spans="1:20" s="10" customFormat="1" ht="14.5">
      <c r="A250" s="11"/>
      <c r="B250" s="11"/>
      <c r="C250" s="11"/>
      <c r="D250" s="1"/>
      <c r="E250" s="4"/>
      <c r="F250" s="1"/>
      <c r="G250" s="1"/>
      <c r="H250" s="1"/>
      <c r="I250" s="1"/>
      <c r="J250" s="1"/>
      <c r="K250" s="1"/>
      <c r="L250" s="1"/>
      <c r="M250" s="1"/>
      <c r="N250" s="1"/>
      <c r="O250" s="1"/>
      <c r="P250" s="1"/>
      <c r="Q250" s="1"/>
      <c r="R250" s="1"/>
      <c r="S250" s="1"/>
      <c r="T250" s="1"/>
    </row>
    <row r="251" spans="1:20" s="10" customFormat="1" ht="14.5">
      <c r="A251" s="11"/>
      <c r="B251" s="11"/>
      <c r="C251" s="11"/>
      <c r="D251" s="1"/>
      <c r="E251" s="4"/>
      <c r="F251" s="1"/>
      <c r="G251" s="1"/>
      <c r="H251" s="1"/>
      <c r="I251" s="1"/>
      <c r="J251" s="1"/>
      <c r="K251" s="1"/>
      <c r="L251" s="1"/>
      <c r="M251" s="1"/>
      <c r="N251" s="1"/>
      <c r="O251" s="1"/>
      <c r="P251" s="1"/>
      <c r="Q251" s="1"/>
      <c r="R251" s="1"/>
      <c r="S251" s="1"/>
      <c r="T251" s="1"/>
    </row>
    <row r="252" spans="1:20" s="10" customFormat="1" ht="14.5">
      <c r="A252" s="11"/>
      <c r="B252" s="11"/>
      <c r="C252" s="11"/>
      <c r="D252" s="1"/>
      <c r="E252" s="4"/>
      <c r="F252" s="1"/>
      <c r="G252" s="1"/>
      <c r="H252" s="1"/>
      <c r="I252" s="1"/>
      <c r="J252" s="1"/>
      <c r="K252" s="1"/>
      <c r="L252" s="1"/>
      <c r="M252" s="1"/>
      <c r="N252" s="1"/>
      <c r="O252" s="1"/>
      <c r="P252" s="1"/>
      <c r="Q252" s="1"/>
      <c r="R252" s="1"/>
      <c r="S252" s="1"/>
      <c r="T252" s="1"/>
    </row>
    <row r="253" spans="1:20" s="10" customFormat="1" ht="14.5">
      <c r="A253" s="11"/>
      <c r="B253" s="11"/>
      <c r="C253" s="11"/>
      <c r="D253" s="1"/>
      <c r="E253" s="4"/>
      <c r="F253" s="1"/>
      <c r="G253" s="1"/>
      <c r="H253" s="1"/>
      <c r="I253" s="1"/>
      <c r="J253" s="1"/>
      <c r="K253" s="1"/>
      <c r="L253" s="1"/>
      <c r="M253" s="1"/>
      <c r="N253" s="1"/>
      <c r="O253" s="1"/>
      <c r="P253" s="1"/>
      <c r="Q253" s="1"/>
      <c r="R253" s="1"/>
      <c r="S253" s="1"/>
      <c r="T253" s="1"/>
    </row>
    <row r="254" spans="1:20" s="10" customFormat="1" ht="14.5">
      <c r="A254" s="11"/>
      <c r="B254" s="11"/>
      <c r="C254" s="11"/>
      <c r="D254" s="1"/>
      <c r="E254" s="4"/>
      <c r="F254" s="1"/>
      <c r="G254" s="1"/>
      <c r="H254" s="1"/>
      <c r="I254" s="1"/>
      <c r="J254" s="1"/>
      <c r="K254" s="1"/>
      <c r="L254" s="1"/>
      <c r="M254" s="1"/>
      <c r="N254" s="1"/>
      <c r="O254" s="1"/>
      <c r="P254" s="1"/>
      <c r="Q254" s="1"/>
      <c r="R254" s="1"/>
      <c r="S254" s="1"/>
      <c r="T254" s="1"/>
    </row>
    <row r="255" spans="1:20" s="10" customFormat="1" ht="14.5">
      <c r="A255" s="11"/>
      <c r="B255" s="11"/>
      <c r="C255" s="11"/>
      <c r="D255" s="1"/>
      <c r="E255" s="4"/>
      <c r="F255" s="1"/>
      <c r="G255" s="1"/>
      <c r="H255" s="1"/>
      <c r="I255" s="1"/>
      <c r="J255" s="1"/>
      <c r="K255" s="1"/>
      <c r="L255" s="1"/>
      <c r="M255" s="1"/>
      <c r="N255" s="1"/>
      <c r="O255" s="1"/>
      <c r="P255" s="1"/>
      <c r="Q255" s="1"/>
      <c r="R255" s="1"/>
      <c r="S255" s="1"/>
      <c r="T255" s="1"/>
    </row>
    <row r="256" spans="1:20" s="10" customFormat="1" ht="14.5">
      <c r="A256" s="11"/>
      <c r="B256" s="11"/>
      <c r="C256" s="11"/>
      <c r="E256" s="4"/>
      <c r="F256" s="1"/>
    </row>
    <row r="257" spans="1:6" s="10" customFormat="1" ht="14.5">
      <c r="A257" s="11"/>
      <c r="B257" s="11"/>
      <c r="C257" s="11"/>
      <c r="E257" s="4"/>
      <c r="F257" s="1"/>
    </row>
    <row r="258" spans="1:6" ht="14.5">
      <c r="E258" s="4"/>
      <c r="F258" s="1"/>
    </row>
    <row r="259" spans="1:6" ht="14.5">
      <c r="E259" s="4"/>
      <c r="F259" s="1"/>
    </row>
    <row r="260" spans="1:6" ht="14.5">
      <c r="E260" s="4"/>
      <c r="F260" s="1"/>
    </row>
    <row r="261" spans="1:6" ht="14.5">
      <c r="E261" s="4"/>
      <c r="F261" s="1"/>
    </row>
    <row r="262" spans="1:6" ht="14.5">
      <c r="E262" s="4"/>
      <c r="F262" s="1"/>
    </row>
    <row r="263" spans="1:6" ht="14.5">
      <c r="E263" s="4"/>
      <c r="F263" s="1"/>
    </row>
    <row r="264" spans="1:6" ht="14.5">
      <c r="E264" s="4"/>
      <c r="F264" s="1"/>
    </row>
    <row r="265" spans="1:6" ht="14.5">
      <c r="E265" s="4"/>
      <c r="F265" s="1"/>
    </row>
    <row r="266" spans="1:6" ht="14.5">
      <c r="E266" s="4"/>
      <c r="F266" s="1"/>
    </row>
    <row r="267" spans="1:6">
      <c r="E267" s="148"/>
      <c r="F267" s="10"/>
    </row>
    <row r="268" spans="1:6">
      <c r="E268" s="148"/>
      <c r="F268" s="10"/>
    </row>
  </sheetData>
  <sheetProtection selectLockedCells="1"/>
  <mergeCells count="38">
    <mergeCell ref="A94:C94"/>
    <mergeCell ref="A95:B95"/>
    <mergeCell ref="A96:B96"/>
    <mergeCell ref="A97:B97"/>
    <mergeCell ref="A108:C108"/>
    <mergeCell ref="A104:B104"/>
    <mergeCell ref="A105:B105"/>
    <mergeCell ref="A106:B106"/>
    <mergeCell ref="A99:B99"/>
    <mergeCell ref="A103:C103"/>
    <mergeCell ref="A101:B101"/>
    <mergeCell ref="A5:C5"/>
    <mergeCell ref="A40:C40"/>
    <mergeCell ref="A92:B92"/>
    <mergeCell ref="B50:C50"/>
    <mergeCell ref="A79:C79"/>
    <mergeCell ref="A83:C83"/>
    <mergeCell ref="A87:C87"/>
    <mergeCell ref="A91:B91"/>
    <mergeCell ref="A71:C71"/>
    <mergeCell ref="A72:C72"/>
    <mergeCell ref="A73:B73"/>
    <mergeCell ref="A74:B74"/>
    <mergeCell ref="A75:B75"/>
    <mergeCell ref="A43:B43"/>
    <mergeCell ref="A47:B47"/>
    <mergeCell ref="A78:C78"/>
    <mergeCell ref="A76:B76"/>
    <mergeCell ref="A41:B41"/>
    <mergeCell ref="A42:B42"/>
    <mergeCell ref="A44:B44"/>
    <mergeCell ref="A45:B45"/>
    <mergeCell ref="A46:B46"/>
    <mergeCell ref="A49:C49"/>
    <mergeCell ref="B59:C59"/>
    <mergeCell ref="A55:B55"/>
    <mergeCell ref="A58:C58"/>
    <mergeCell ref="A65:C65"/>
  </mergeCells>
  <conditionalFormatting sqref="A90">
    <cfRule type="containsText" dxfId="5" priority="4" operator="containsText" text="Revisar">
      <formula>NOT(ISERROR(SEARCH("Revisar",A90)))</formula>
    </cfRule>
  </conditionalFormatting>
  <conditionalFormatting sqref="B60 C63">
    <cfRule type="containsText" dxfId="4" priority="10" operator="containsText" text="Debe ser = ó &gt; que el ">
      <formula>NOT(ISERROR(SEARCH("Debe ser = ó &gt; que el ",B60)))</formula>
    </cfRule>
  </conditionalFormatting>
  <conditionalFormatting sqref="C3">
    <cfRule type="containsText" dxfId="3" priority="6" operator="containsText" text="HAY QUE ESPECIFICAR">
      <formula>NOT(ISERROR(SEARCH("HAY QUE ESPECIFICAR",C3)))</formula>
    </cfRule>
  </conditionalFormatting>
  <conditionalFormatting sqref="C62">
    <cfRule type="containsText" dxfId="2" priority="7" operator="containsText" text="Debe ser">
      <formula>NOT(ISERROR(SEARCH("Debe ser",C62)))</formula>
    </cfRule>
  </conditionalFormatting>
  <conditionalFormatting sqref="C69">
    <cfRule type="containsText" dxfId="1" priority="14" operator="containsText" text="REVISA TU COTIZACIÓN">
      <formula>NOT(ISERROR(SEARCH("REVISA TU COTIZACIÓN",C69)))</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Proveedores!$H$10:$H$32</xm:f>
          </x14:formula1>
          <xm:sqref>C96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topLeftCell="A9" zoomScale="107" workbookViewId="0">
      <selection activeCell="N24" sqref="N24"/>
    </sheetView>
  </sheetViews>
  <sheetFormatPr baseColWidth="10" defaultColWidth="11.453125" defaultRowHeight="14.5"/>
  <cols>
    <col min="1" max="1" width="22.1796875" customWidth="1"/>
    <col min="3" max="3" width="26.1796875" customWidth="1"/>
    <col min="9" max="9" width="23.1796875" bestFit="1" customWidth="1"/>
    <col min="10" max="10" width="11.453125" bestFit="1" customWidth="1"/>
    <col min="11" max="11" width="38" bestFit="1" customWidth="1"/>
    <col min="13" max="13" width="24.81640625" customWidth="1"/>
    <col min="14" max="14" width="38" bestFit="1" customWidth="1"/>
  </cols>
  <sheetData>
    <row r="1" spans="1:14" ht="15" customHeight="1">
      <c r="A1" s="1343" t="s">
        <v>305</v>
      </c>
      <c r="B1" s="1344"/>
      <c r="C1" s="1344"/>
      <c r="D1" s="1344"/>
      <c r="E1" s="1344"/>
      <c r="F1" s="1344"/>
      <c r="G1" s="1345"/>
      <c r="I1" s="1324" t="s">
        <v>306</v>
      </c>
      <c r="J1" s="1325"/>
      <c r="K1" s="1341"/>
      <c r="M1" s="1324" t="s">
        <v>307</v>
      </c>
      <c r="N1" s="1325"/>
    </row>
    <row r="2" spans="1:14">
      <c r="A2" s="1346"/>
      <c r="B2" s="1347"/>
      <c r="C2" s="1347"/>
      <c r="D2" s="1347"/>
      <c r="E2" s="1347"/>
      <c r="F2" s="1347"/>
      <c r="G2" s="1348"/>
      <c r="I2" s="1326"/>
      <c r="J2" s="1327"/>
      <c r="K2" s="1342"/>
      <c r="M2" s="1326"/>
      <c r="N2" s="1327"/>
    </row>
    <row r="3" spans="1:14">
      <c r="A3" s="1346"/>
      <c r="B3" s="1347"/>
      <c r="C3" s="1347"/>
      <c r="D3" s="1347"/>
      <c r="E3" s="1347"/>
      <c r="F3" s="1347"/>
      <c r="G3" s="1348"/>
      <c r="I3" s="1326"/>
      <c r="J3" s="1327"/>
      <c r="K3" s="1342"/>
      <c r="M3" s="1326"/>
      <c r="N3" s="1327"/>
    </row>
    <row r="4" spans="1:14">
      <c r="A4" s="1346"/>
      <c r="B4" s="1347"/>
      <c r="C4" s="1347"/>
      <c r="D4" s="1347"/>
      <c r="E4" s="1347"/>
      <c r="F4" s="1347"/>
      <c r="G4" s="1348"/>
      <c r="I4" s="1326"/>
      <c r="J4" s="1327"/>
      <c r="K4" s="1342"/>
      <c r="M4" s="1326"/>
      <c r="N4" s="1327"/>
    </row>
    <row r="5" spans="1:14" ht="26.5" thickBot="1">
      <c r="A5" s="1136" t="e" vm="3">
        <v>#VALUE!</v>
      </c>
      <c r="B5" s="1133" t="s">
        <v>308</v>
      </c>
      <c r="C5" s="1137" t="e" vm="4">
        <v>#VALUE!</v>
      </c>
      <c r="D5" s="1328">
        <v>58000</v>
      </c>
      <c r="E5" s="1328"/>
      <c r="F5" s="1328"/>
      <c r="G5" s="1186" t="s">
        <v>309</v>
      </c>
      <c r="I5" s="1139" t="s">
        <v>310</v>
      </c>
      <c r="J5" s="1138" t="s">
        <v>311</v>
      </c>
      <c r="K5" s="1140" t="s">
        <v>312</v>
      </c>
      <c r="M5" s="1144" t="s">
        <v>310</v>
      </c>
      <c r="N5" s="1145" t="s">
        <v>312</v>
      </c>
    </row>
    <row r="6" spans="1:14" ht="19" thickBot="1">
      <c r="A6" s="1270" t="s">
        <v>313</v>
      </c>
      <c r="B6" s="1271"/>
      <c r="C6" s="1271"/>
      <c r="D6" s="1134"/>
      <c r="E6" s="1134"/>
      <c r="F6" s="1134"/>
      <c r="G6" s="1135"/>
      <c r="I6" s="1285" t="s">
        <v>314</v>
      </c>
      <c r="J6" s="1286">
        <v>0.2</v>
      </c>
      <c r="K6" s="1287" t="e">
        <f ca="1">IF(Mobiliti!$K$4=TRUE,((J6/$J$21)*Mobiliti!$P$9)/Mobiliti!$K$6,(J6/$J$21)*Mobiliti!$P$9)</f>
        <v>#DIV/0!</v>
      </c>
      <c r="M6" s="1285" t="s">
        <v>314</v>
      </c>
      <c r="N6" s="1146">
        <f ca="1">IF(Mobiliti!$K$4=TRUE,(56/Mobiliti!$K$6),56)</f>
        <v>3.2045779685264661</v>
      </c>
    </row>
    <row r="7" spans="1:14" ht="26.5" thickBot="1">
      <c r="A7" s="1136" t="e" vm="3">
        <v>#VALUE!</v>
      </c>
      <c r="B7" s="1133" t="s">
        <v>308</v>
      </c>
      <c r="C7" s="1137" t="e" vm="2">
        <v>#VALUE!</v>
      </c>
      <c r="D7" s="1328">
        <v>37000</v>
      </c>
      <c r="E7" s="1328"/>
      <c r="F7" s="1328"/>
      <c r="G7" s="1186" t="s">
        <v>315</v>
      </c>
      <c r="I7" s="1285" t="s">
        <v>316</v>
      </c>
      <c r="J7" s="1286">
        <v>0.2</v>
      </c>
      <c r="K7" s="1287" t="e">
        <f ca="1">IF(Mobiliti!$K$4=TRUE,((J7/$J$21)*Mobiliti!$P$9)/Mobiliti!$K$6,(J7/$J$21)*Mobiliti!$P$9)</f>
        <v>#DIV/0!</v>
      </c>
      <c r="M7" s="1285" t="s">
        <v>316</v>
      </c>
      <c r="N7" s="1146">
        <f ca="1">IF(Mobiliti!$K$4=TRUE,(210/Mobiliti!$K$6),210)</f>
        <v>12.017167381974248</v>
      </c>
    </row>
    <row r="8" spans="1:14" ht="19" thickBot="1">
      <c r="A8" s="1270" t="s">
        <v>317</v>
      </c>
      <c r="B8" s="1271"/>
      <c r="C8" s="1271"/>
      <c r="D8" s="1134"/>
      <c r="E8" s="1134"/>
      <c r="F8" s="1134"/>
      <c r="G8" s="1135"/>
      <c r="I8" s="1285" t="s">
        <v>318</v>
      </c>
      <c r="J8" s="1286">
        <v>0.25</v>
      </c>
      <c r="K8" s="1287" t="e">
        <f ca="1">IF(Mobiliti!$K$4=TRUE,((J8/$J$21)*Mobiliti!$P$9)/Mobiliti!$K$6,(J8/$J$21)*Mobiliti!$P$9)</f>
        <v>#DIV/0!</v>
      </c>
      <c r="M8" s="1285" t="s">
        <v>318</v>
      </c>
      <c r="N8" s="1146">
        <f ca="1">IF(Mobiliti!$K$4=TRUE,(980/Mobiliti!$K$6),980)</f>
        <v>56.080114449213156</v>
      </c>
    </row>
    <row r="9" spans="1:14" ht="26.5" thickBot="1">
      <c r="A9" s="1136" t="e" vm="3">
        <v>#VALUE!</v>
      </c>
      <c r="B9" s="1133" t="s">
        <v>308</v>
      </c>
      <c r="C9" s="1137" t="e" vm="5">
        <v>#VALUE!</v>
      </c>
      <c r="D9" s="1328">
        <v>120000</v>
      </c>
      <c r="E9" s="1328"/>
      <c r="F9" s="1328"/>
      <c r="G9" s="1186" t="s">
        <v>309</v>
      </c>
      <c r="I9" s="1285" t="s">
        <v>319</v>
      </c>
      <c r="J9" s="1286">
        <v>0.3</v>
      </c>
      <c r="K9" s="1287" t="e">
        <f ca="1">IF(Mobiliti!$K$4=TRUE,((J9/$J$21)*Mobiliti!$P$9)/Mobiliti!$K$6,(J9/$J$21)*Mobiliti!$P$9)</f>
        <v>#DIV/0!</v>
      </c>
      <c r="M9" s="1285" t="s">
        <v>319</v>
      </c>
      <c r="N9" s="1146">
        <f ca="1">IF(Mobiliti!$K$4=TRUE,(231/Mobiliti!$K$6),231)</f>
        <v>13.218884120171673</v>
      </c>
    </row>
    <row r="10" spans="1:14" ht="19" thickBot="1">
      <c r="A10" s="1270" t="s">
        <v>313</v>
      </c>
      <c r="B10" s="1271"/>
      <c r="C10" s="1271"/>
      <c r="D10" s="1134"/>
      <c r="E10" s="1134"/>
      <c r="F10" s="1134"/>
      <c r="G10" s="1135"/>
      <c r="I10" s="1285" t="s">
        <v>320</v>
      </c>
      <c r="J10" s="1286">
        <v>0.4</v>
      </c>
      <c r="K10" s="1287" t="e">
        <f ca="1">IF(Mobiliti!$K$4=TRUE,((J10/$J$21)*Mobiliti!$P$9)/Mobiliti!$K$6,(J10/$J$21)*Mobiliti!$P$9)</f>
        <v>#DIV/0!</v>
      </c>
      <c r="M10" s="1285" t="s">
        <v>320</v>
      </c>
      <c r="N10" s="1146">
        <f ca="1">IF(Mobiliti!$K$4=TRUE,(995/Mobiliti!$K$6),995)</f>
        <v>56.938483547925607</v>
      </c>
    </row>
    <row r="11" spans="1:14" ht="26.5" thickBot="1">
      <c r="A11" s="1136" t="e" vm="3">
        <v>#VALUE!</v>
      </c>
      <c r="B11" s="1133" t="s">
        <v>308</v>
      </c>
      <c r="C11" s="1137" t="e" vm="6">
        <v>#VALUE!</v>
      </c>
      <c r="D11" s="1328">
        <v>135000</v>
      </c>
      <c r="E11" s="1328"/>
      <c r="F11" s="1328"/>
      <c r="G11" s="1186" t="s">
        <v>321</v>
      </c>
      <c r="I11" s="1285" t="s">
        <v>322</v>
      </c>
      <c r="J11" s="1286">
        <v>0.4</v>
      </c>
      <c r="K11" s="1287" t="e">
        <f ca="1">IF(Mobiliti!$K$4=TRUE,((J11/$J$21)*Mobiliti!$P$9)/Mobiliti!$K$6,(J11/$J$21)*Mobiliti!$P$9)</f>
        <v>#DIV/0!</v>
      </c>
      <c r="M11" s="1285" t="s">
        <v>322</v>
      </c>
      <c r="N11" s="1146">
        <f ca="1">IF(Mobiliti!$K$4=TRUE,(325/Mobiliti!$K$6),325)</f>
        <v>18.597997138769671</v>
      </c>
    </row>
    <row r="12" spans="1:14" ht="19" thickBot="1">
      <c r="A12" s="1270" t="s">
        <v>323</v>
      </c>
      <c r="B12" s="1271"/>
      <c r="C12" s="1271"/>
      <c r="D12" s="1134"/>
      <c r="E12" s="1134"/>
      <c r="F12" s="1134"/>
      <c r="G12" s="1135"/>
      <c r="I12" s="1285" t="s">
        <v>324</v>
      </c>
      <c r="J12" s="1286">
        <v>0.15</v>
      </c>
      <c r="K12" s="1287" t="e">
        <f ca="1">IF(Mobiliti!$K$4=TRUE,((J12/$J$21)*Mobiliti!$P$9)/Mobiliti!$K$6,(J12/$J$21)*Mobiliti!$P$9)</f>
        <v>#DIV/0!</v>
      </c>
      <c r="M12" s="1285" t="s">
        <v>324</v>
      </c>
      <c r="N12" s="1146">
        <f ca="1">IF(Mobiliti!$K$4=TRUE,(198/Mobiliti!$K$6),198)</f>
        <v>11.330472103004292</v>
      </c>
    </row>
    <row r="13" spans="1:14" ht="26.5" thickBot="1">
      <c r="A13" s="1136" t="e" vm="3">
        <v>#VALUE!</v>
      </c>
      <c r="B13" s="1133" t="s">
        <v>308</v>
      </c>
      <c r="C13" s="1137" t="e" vm="7">
        <v>#VALUE!</v>
      </c>
      <c r="D13" s="1328">
        <v>32000</v>
      </c>
      <c r="E13" s="1328"/>
      <c r="F13" s="1328"/>
      <c r="G13" s="1186" t="s">
        <v>315</v>
      </c>
      <c r="I13" s="1285" t="s">
        <v>325</v>
      </c>
      <c r="J13" s="1286">
        <v>0.4</v>
      </c>
      <c r="K13" s="1287" t="e">
        <f ca="1">IF(Mobiliti!$K$4=TRUE,((J13/$J$21)*Mobiliti!$P$9)/Mobiliti!$K$6,(J13/$J$21)*Mobiliti!$P$9)</f>
        <v>#DIV/0!</v>
      </c>
      <c r="M13" s="1285" t="s">
        <v>325</v>
      </c>
      <c r="N13" s="1146">
        <f ca="1">IF(Mobiliti!$K$4=TRUE,(1790/Mobiliti!$K$6),1790)</f>
        <v>102.43204577968525</v>
      </c>
    </row>
    <row r="14" spans="1:14" ht="19" thickBot="1">
      <c r="A14" s="1270" t="s">
        <v>326</v>
      </c>
      <c r="B14" s="1271"/>
      <c r="C14" s="1271"/>
      <c r="D14" s="1134"/>
      <c r="E14" s="1134"/>
      <c r="F14" s="1134"/>
      <c r="G14" s="1135"/>
      <c r="I14" s="1285" t="s">
        <v>327</v>
      </c>
      <c r="J14" s="1286">
        <v>0.05</v>
      </c>
      <c r="K14" s="1287" t="e">
        <f ca="1">IF(Mobiliti!$K$4=TRUE,((J14/$J$21)*Mobiliti!$P$9)/Mobiliti!$K$6,(J14/$J$21)*Mobiliti!$P$9)</f>
        <v>#DIV/0!</v>
      </c>
      <c r="M14" s="1285" t="s">
        <v>327</v>
      </c>
      <c r="N14" s="1146">
        <f ca="1">IF(Mobiliti!$K$4=TRUE,(180/Mobiliti!$K$6),180)</f>
        <v>10.300429184549355</v>
      </c>
    </row>
    <row r="15" spans="1:14" ht="26.5" thickBot="1">
      <c r="A15" s="1136" t="e" vm="3">
        <v>#VALUE!</v>
      </c>
      <c r="B15" s="1133" t="s">
        <v>308</v>
      </c>
      <c r="C15" s="1137" t="e" vm="8">
        <v>#VALUE!</v>
      </c>
      <c r="D15" s="1328">
        <v>35000</v>
      </c>
      <c r="E15" s="1328"/>
      <c r="F15" s="1328"/>
      <c r="G15" s="1186" t="s">
        <v>315</v>
      </c>
      <c r="I15" s="1285" t="s">
        <v>328</v>
      </c>
      <c r="J15" s="1286">
        <v>0.25</v>
      </c>
      <c r="K15" s="1287" t="e">
        <f ca="1">IF(Mobiliti!$K$4=TRUE,((J15/$J$21)*Mobiliti!$P$9)/Mobiliti!$K$6,(J15/$J$21)*Mobiliti!$P$9)</f>
        <v>#DIV/0!</v>
      </c>
      <c r="M15" s="1285" t="s">
        <v>328</v>
      </c>
      <c r="N15" s="1146">
        <f ca="1">IF(Mobiliti!$K$4=TRUE,(250/Mobiliti!$K$6),250)</f>
        <v>14.306151645207438</v>
      </c>
    </row>
    <row r="16" spans="1:14" ht="19" thickBot="1">
      <c r="A16" s="1270" t="s">
        <v>317</v>
      </c>
      <c r="B16" s="1271"/>
      <c r="C16" s="1271"/>
      <c r="D16" s="1134"/>
      <c r="E16" s="1134"/>
      <c r="F16" s="1134"/>
      <c r="G16" s="1135"/>
      <c r="I16" s="1285" t="s">
        <v>2892</v>
      </c>
      <c r="J16" s="1286">
        <v>1.25</v>
      </c>
      <c r="K16" s="1287" t="e">
        <f ca="1">IF(Mobiliti!$K$4=TRUE,((J16/$J$21)*Mobiliti!$P$9)/Mobiliti!$K$6,(J16/$J$21)*Mobiliti!$P$9)</f>
        <v>#DIV/0!</v>
      </c>
      <c r="M16" s="1285" t="s">
        <v>2892</v>
      </c>
      <c r="N16" s="1146">
        <f ca="1">IF(Mobiliti!$K$4=TRUE,(56/Mobiliti!$K$6),56)</f>
        <v>3.2045779685264661</v>
      </c>
    </row>
    <row r="17" spans="1:14" ht="26.5" thickBot="1">
      <c r="A17" s="1136" t="e" vm="3">
        <v>#VALUE!</v>
      </c>
      <c r="B17" s="1133" t="s">
        <v>308</v>
      </c>
      <c r="C17" s="1137" t="e" vm="3">
        <v>#VALUE!</v>
      </c>
      <c r="D17" s="1328">
        <v>6000</v>
      </c>
      <c r="E17" s="1328"/>
      <c r="F17" s="1328"/>
      <c r="G17" s="1186" t="s">
        <v>329</v>
      </c>
      <c r="I17" s="1285" t="s">
        <v>2893</v>
      </c>
      <c r="J17" s="1286">
        <v>2.25</v>
      </c>
      <c r="K17" s="1287" t="e">
        <f ca="1">IF(Mobiliti!$K$4=TRUE,((J17/$J$21)*Mobiliti!$P$9)/Mobiliti!$K$6,(J17/$J$21)*Mobiliti!$P$9)</f>
        <v>#DIV/0!</v>
      </c>
      <c r="M17" s="1285" t="s">
        <v>2893</v>
      </c>
      <c r="N17" s="1146">
        <f ca="1">IF(Mobiliti!$K$4=TRUE,(1790/Mobiliti!$K$6),1790)</f>
        <v>102.43204577968525</v>
      </c>
    </row>
    <row r="18" spans="1:14" ht="18.5">
      <c r="A18" s="1270" t="s">
        <v>326</v>
      </c>
      <c r="B18" s="1271"/>
      <c r="C18" s="1271"/>
      <c r="D18" s="1134"/>
      <c r="E18" s="1134"/>
      <c r="F18" s="1134"/>
      <c r="G18" s="1135"/>
      <c r="I18" s="1285" t="s">
        <v>2894</v>
      </c>
      <c r="J18" s="1286">
        <v>3.25</v>
      </c>
      <c r="K18" s="1287" t="e">
        <f ca="1">IF(Mobiliti!$K$4=TRUE,((J18/$J$21)*Mobiliti!$P$9)/Mobiliti!$K$6,(J18/$J$21)*Mobiliti!$P$9)</f>
        <v>#DIV/0!</v>
      </c>
      <c r="M18" s="1285" t="s">
        <v>2894</v>
      </c>
      <c r="N18" s="1146">
        <f ca="1">IF(Mobiliti!$K$4=TRUE,(210/Mobiliti!$K$6),210)</f>
        <v>12.017167381974248</v>
      </c>
    </row>
    <row r="19" spans="1:14" ht="19" thickBot="1">
      <c r="A19" s="1329" t="s">
        <v>330</v>
      </c>
      <c r="B19" s="1330"/>
      <c r="C19" s="1330"/>
      <c r="D19" s="1331">
        <f>Mobiliti!H573</f>
        <v>0</v>
      </c>
      <c r="E19" s="1331"/>
      <c r="F19" s="1331"/>
      <c r="G19" s="1332"/>
      <c r="I19" s="1288"/>
      <c r="J19" s="1289"/>
      <c r="K19" s="1290"/>
      <c r="M19" s="1141"/>
      <c r="N19" s="1142"/>
    </row>
    <row r="20" spans="1:14">
      <c r="D20" s="1333" t="s">
        <v>331</v>
      </c>
      <c r="E20" s="1334"/>
      <c r="F20" s="1337" t="e">
        <f>D11/D19</f>
        <v>#DIV/0!</v>
      </c>
      <c r="G20" s="1338"/>
    </row>
    <row r="21" spans="1:14" ht="15" thickBot="1">
      <c r="D21" s="1335"/>
      <c r="E21" s="1336"/>
      <c r="F21" s="1339"/>
      <c r="G21" s="1340"/>
      <c r="I21" s="1143" t="s">
        <v>332</v>
      </c>
      <c r="J21">
        <f>SUM(J6:J20)</f>
        <v>9.35</v>
      </c>
    </row>
    <row r="23" spans="1:14">
      <c r="G23" s="1173"/>
      <c r="K23" s="1147"/>
    </row>
    <row r="24" spans="1:14">
      <c r="A24" s="1169" t="s">
        <v>333</v>
      </c>
      <c r="B24" s="1170"/>
    </row>
    <row r="26" spans="1:14">
      <c r="A26" s="1175" t="s">
        <v>334</v>
      </c>
    </row>
    <row r="27" spans="1:14">
      <c r="A27" t="s">
        <v>329</v>
      </c>
      <c r="B27" t="e" cm="1">
        <f t="array" ref="B27:D27">_xlfn.XLOOKUP(A27,Taba_Region,Tabla_Costos/$D$19)</f>
        <v>#DIV/0!</v>
      </c>
      <c r="C27" t="e">
        <v>#DIV/0!</v>
      </c>
      <c r="D27" t="e">
        <v>#DIV/0!</v>
      </c>
    </row>
    <row r="28" spans="1:14">
      <c r="A28" t="s">
        <v>309</v>
      </c>
      <c r="B28" t="e" cm="1">
        <f t="array" ref="B28:D28">_xlfn.XLOOKUP(A28,Taba_Region,Tabla_Costos/$D$19)</f>
        <v>#DIV/0!</v>
      </c>
      <c r="C28" t="e">
        <v>#DIV/0!</v>
      </c>
      <c r="D28" t="e">
        <v>#DIV/0!</v>
      </c>
    </row>
    <row r="29" spans="1:14">
      <c r="A29" t="s">
        <v>315</v>
      </c>
      <c r="B29" t="e" cm="1">
        <f t="array" ref="B29:D29">_xlfn.XLOOKUP(A29,Taba_Region,Tabla_Costos/$D$19)</f>
        <v>#DIV/0!</v>
      </c>
      <c r="C29" t="e">
        <v>#DIV/0!</v>
      </c>
      <c r="D29" t="e">
        <v>#DIV/0!</v>
      </c>
      <c r="E29" s="1323" t="s">
        <v>335</v>
      </c>
      <c r="F29" s="1323"/>
      <c r="G29" s="1323"/>
    </row>
    <row r="30" spans="1:14">
      <c r="A30" t="s">
        <v>321</v>
      </c>
      <c r="B30" t="e" cm="1">
        <f t="array" ref="B30:D30">_xlfn.XLOOKUP(A30,Taba_Region,Tabla_Costos/$D$19)</f>
        <v>#DIV/0!</v>
      </c>
      <c r="C30" t="e">
        <v>#DIV/0!</v>
      </c>
      <c r="D30" t="e">
        <v>#DIV/0!</v>
      </c>
      <c r="E30" s="1323"/>
      <c r="F30" s="1323"/>
      <c r="G30" s="1323"/>
    </row>
    <row r="31" spans="1:14">
      <c r="E31" s="1323"/>
      <c r="F31" s="1323"/>
      <c r="G31" s="1323"/>
    </row>
    <row r="32" spans="1:14">
      <c r="A32" t="s">
        <v>336</v>
      </c>
      <c r="E32" s="1323"/>
      <c r="F32" s="1323"/>
      <c r="G32" s="1323"/>
    </row>
    <row r="33" spans="1:1">
      <c r="A33" t="s">
        <v>107</v>
      </c>
    </row>
    <row r="34" spans="1:1">
      <c r="A34" t="s">
        <v>337</v>
      </c>
    </row>
  </sheetData>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2"/>
  <sheetViews>
    <sheetView zoomScale="125" zoomScaleNormal="278" workbookViewId="0">
      <selection activeCell="E16" sqref="E16"/>
    </sheetView>
  </sheetViews>
  <sheetFormatPr baseColWidth="10" defaultColWidth="11.453125" defaultRowHeight="14.5"/>
  <cols>
    <col min="1" max="1" width="28.453125" bestFit="1" customWidth="1"/>
    <col min="2" max="2" width="8.6328125" style="828" bestFit="1" customWidth="1"/>
    <col min="3" max="3" width="23.36328125" style="51" customWidth="1"/>
    <col min="4" max="5" width="16.81640625" style="826" customWidth="1"/>
    <col min="6" max="6" width="44.453125" style="50" customWidth="1"/>
  </cols>
  <sheetData>
    <row r="1" spans="1:8">
      <c r="A1" s="827" t="s">
        <v>338</v>
      </c>
      <c r="B1" s="828" t="s">
        <v>339</v>
      </c>
      <c r="C1" s="826"/>
      <c r="D1" s="826" t="s">
        <v>340</v>
      </c>
      <c r="E1" s="826" t="s">
        <v>341</v>
      </c>
      <c r="F1" s="828"/>
    </row>
    <row r="2" spans="1:8">
      <c r="A2" t="s">
        <v>152</v>
      </c>
      <c r="B2" s="827" t="s">
        <v>342</v>
      </c>
      <c r="C2" s="2">
        <v>0.85</v>
      </c>
      <c r="D2" s="825">
        <v>0.05</v>
      </c>
      <c r="E2" s="825" t="s">
        <v>343</v>
      </c>
      <c r="F2" t="s">
        <v>344</v>
      </c>
    </row>
    <row r="3" spans="1:8">
      <c r="A3" t="s">
        <v>154</v>
      </c>
      <c r="B3" s="827" t="s">
        <v>345</v>
      </c>
      <c r="C3" s="2">
        <v>0.85</v>
      </c>
      <c r="D3" s="825">
        <v>0.05</v>
      </c>
      <c r="E3" s="825" t="s">
        <v>343</v>
      </c>
      <c r="F3" t="s">
        <v>346</v>
      </c>
    </row>
    <row r="4" spans="1:8">
      <c r="A4" t="s">
        <v>155</v>
      </c>
      <c r="B4" s="828" t="s">
        <v>347</v>
      </c>
      <c r="C4" s="2">
        <v>0.85</v>
      </c>
      <c r="D4" s="825">
        <v>0.05</v>
      </c>
      <c r="E4" s="825" t="s">
        <v>343</v>
      </c>
      <c r="F4"/>
      <c r="H4" t="s">
        <v>343</v>
      </c>
    </row>
    <row r="5" spans="1:8">
      <c r="A5" t="s">
        <v>156</v>
      </c>
      <c r="B5" s="828" t="s">
        <v>348</v>
      </c>
      <c r="C5" s="2">
        <v>0.85</v>
      </c>
      <c r="D5" s="825">
        <v>0.05</v>
      </c>
      <c r="E5" s="825" t="s">
        <v>343</v>
      </c>
      <c r="F5"/>
      <c r="H5" t="str">
        <f>VLOOKUP(H4,ProveedoreS_TC,5)</f>
        <v>Importado</v>
      </c>
    </row>
    <row r="6" spans="1:8">
      <c r="A6" t="s">
        <v>157</v>
      </c>
      <c r="B6" s="828" t="s">
        <v>349</v>
      </c>
      <c r="C6" s="2">
        <v>0.85</v>
      </c>
      <c r="D6" s="825">
        <v>0.05</v>
      </c>
      <c r="E6" s="825" t="s">
        <v>343</v>
      </c>
      <c r="F6"/>
    </row>
    <row r="7" spans="1:8">
      <c r="A7" t="s">
        <v>158</v>
      </c>
      <c r="B7" s="828" t="s">
        <v>350</v>
      </c>
      <c r="C7" s="2">
        <v>0.85</v>
      </c>
      <c r="D7" s="825">
        <v>0.05</v>
      </c>
      <c r="E7" s="826" t="s">
        <v>343</v>
      </c>
    </row>
    <row r="8" spans="1:8">
      <c r="A8" t="s">
        <v>159</v>
      </c>
      <c r="B8" s="828" t="s">
        <v>351</v>
      </c>
      <c r="C8" s="2">
        <v>0.85</v>
      </c>
      <c r="D8" s="825">
        <v>0.05</v>
      </c>
      <c r="E8" s="825" t="s">
        <v>343</v>
      </c>
      <c r="F8" t="s">
        <v>352</v>
      </c>
    </row>
    <row r="9" spans="1:8">
      <c r="A9" t="s">
        <v>160</v>
      </c>
      <c r="B9" s="827" t="s">
        <v>353</v>
      </c>
      <c r="C9" s="2">
        <v>0.85</v>
      </c>
      <c r="D9" s="825">
        <v>0.05</v>
      </c>
      <c r="E9" s="825" t="s">
        <v>343</v>
      </c>
      <c r="F9" t="s">
        <v>354</v>
      </c>
    </row>
    <row r="10" spans="1:8">
      <c r="A10" t="s">
        <v>161</v>
      </c>
      <c r="B10" s="827" t="s">
        <v>355</v>
      </c>
      <c r="C10" s="2">
        <v>0.85</v>
      </c>
      <c r="D10" s="825">
        <v>0.05</v>
      </c>
      <c r="E10" s="825" t="s">
        <v>343</v>
      </c>
      <c r="F10" t="s">
        <v>356</v>
      </c>
      <c r="H10" s="837">
        <v>0</v>
      </c>
    </row>
    <row r="11" spans="1:8">
      <c r="A11" t="s">
        <v>162</v>
      </c>
      <c r="B11" s="828" t="s">
        <v>357</v>
      </c>
      <c r="C11" s="2">
        <v>0.85</v>
      </c>
      <c r="D11" s="825">
        <v>0.05</v>
      </c>
      <c r="E11" s="825" t="s">
        <v>343</v>
      </c>
      <c r="F11" t="s">
        <v>358</v>
      </c>
    </row>
    <row r="12" spans="1:8">
      <c r="A12" t="s">
        <v>163</v>
      </c>
      <c r="B12" s="828" t="s">
        <v>359</v>
      </c>
      <c r="C12" s="2">
        <v>0.85</v>
      </c>
      <c r="D12" s="825">
        <v>0.05</v>
      </c>
      <c r="E12" s="825" t="s">
        <v>343</v>
      </c>
      <c r="F12" t="s">
        <v>358</v>
      </c>
    </row>
    <row r="13" spans="1:8">
      <c r="A13" t="s">
        <v>164</v>
      </c>
      <c r="B13" s="828" t="s">
        <v>360</v>
      </c>
      <c r="C13" s="2">
        <v>0.85</v>
      </c>
      <c r="D13" s="825">
        <v>0.05</v>
      </c>
      <c r="E13" s="825" t="s">
        <v>343</v>
      </c>
      <c r="F13" t="s">
        <v>361</v>
      </c>
    </row>
    <row r="14" spans="1:8">
      <c r="A14" t="s">
        <v>165</v>
      </c>
      <c r="B14" s="827" t="s">
        <v>362</v>
      </c>
      <c r="C14" s="2">
        <v>0.85</v>
      </c>
      <c r="D14" s="825">
        <v>0.05</v>
      </c>
      <c r="E14" s="825" t="s">
        <v>343</v>
      </c>
      <c r="F14" t="s">
        <v>363</v>
      </c>
    </row>
    <row r="15" spans="1:8">
      <c r="A15" t="s">
        <v>166</v>
      </c>
      <c r="B15" s="827" t="s">
        <v>364</v>
      </c>
      <c r="C15" s="2">
        <v>0.85</v>
      </c>
      <c r="D15" s="825">
        <v>0.05</v>
      </c>
      <c r="E15" s="825" t="s">
        <v>343</v>
      </c>
      <c r="F15" t="s">
        <v>363</v>
      </c>
    </row>
    <row r="16" spans="1:8">
      <c r="A16" t="s">
        <v>168</v>
      </c>
      <c r="B16" s="827" t="s">
        <v>365</v>
      </c>
      <c r="C16" s="3">
        <v>0.5</v>
      </c>
      <c r="D16" s="825">
        <v>0</v>
      </c>
      <c r="E16" s="825" t="s">
        <v>366</v>
      </c>
      <c r="F16" t="s">
        <v>363</v>
      </c>
    </row>
    <row r="17" spans="1:8">
      <c r="A17" t="s">
        <v>169</v>
      </c>
      <c r="B17" s="827" t="s">
        <v>367</v>
      </c>
      <c r="C17" s="2">
        <v>0.5</v>
      </c>
      <c r="D17" s="825">
        <v>0</v>
      </c>
      <c r="E17" s="825" t="s">
        <v>366</v>
      </c>
      <c r="F17" t="s">
        <v>368</v>
      </c>
    </row>
    <row r="18" spans="1:8">
      <c r="A18" t="s">
        <v>170</v>
      </c>
      <c r="B18" s="827" t="s">
        <v>369</v>
      </c>
      <c r="C18" s="2">
        <v>0.45</v>
      </c>
      <c r="D18" s="825">
        <v>0</v>
      </c>
      <c r="E18" s="825" t="s">
        <v>366</v>
      </c>
      <c r="F18" t="s">
        <v>370</v>
      </c>
    </row>
    <row r="19" spans="1:8">
      <c r="A19" t="s">
        <v>171</v>
      </c>
      <c r="B19" s="827" t="s">
        <v>371</v>
      </c>
      <c r="C19" s="3">
        <v>0.5</v>
      </c>
      <c r="D19" s="825">
        <v>0</v>
      </c>
      <c r="E19" s="825" t="s">
        <v>366</v>
      </c>
      <c r="F19" t="s">
        <v>372</v>
      </c>
    </row>
    <row r="20" spans="1:8">
      <c r="A20" t="s">
        <v>172</v>
      </c>
      <c r="B20" s="827" t="s">
        <v>373</v>
      </c>
      <c r="C20" s="3">
        <v>0.5</v>
      </c>
      <c r="D20" s="825">
        <v>0</v>
      </c>
      <c r="E20" s="825" t="s">
        <v>366</v>
      </c>
      <c r="F20" t="s">
        <v>374</v>
      </c>
    </row>
    <row r="21" spans="1:8">
      <c r="A21" t="s">
        <v>173</v>
      </c>
      <c r="B21" s="827" t="s">
        <v>375</v>
      </c>
      <c r="C21" s="3">
        <v>0.5</v>
      </c>
      <c r="D21" s="825">
        <v>0</v>
      </c>
      <c r="E21" s="825" t="s">
        <v>366</v>
      </c>
      <c r="F21" t="s">
        <v>376</v>
      </c>
    </row>
    <row r="22" spans="1:8">
      <c r="A22" t="s">
        <v>174</v>
      </c>
      <c r="B22" s="827" t="s">
        <v>377</v>
      </c>
      <c r="C22" s="2">
        <v>0.4</v>
      </c>
      <c r="D22" s="825">
        <v>0</v>
      </c>
      <c r="E22" s="825" t="s">
        <v>366</v>
      </c>
      <c r="F22" t="s">
        <v>378</v>
      </c>
    </row>
    <row r="23" spans="1:8">
      <c r="A23" t="s">
        <v>175</v>
      </c>
      <c r="B23" s="827" t="s">
        <v>379</v>
      </c>
      <c r="C23" s="3">
        <v>0.5</v>
      </c>
      <c r="D23" s="825">
        <v>0</v>
      </c>
      <c r="E23" s="825" t="s">
        <v>366</v>
      </c>
      <c r="F23"/>
    </row>
    <row r="24" spans="1:8">
      <c r="A24" t="s">
        <v>176</v>
      </c>
      <c r="B24" s="827" t="s">
        <v>380</v>
      </c>
      <c r="C24" s="2">
        <v>0.5</v>
      </c>
      <c r="D24" s="825">
        <v>0</v>
      </c>
      <c r="E24" s="825" t="s">
        <v>366</v>
      </c>
      <c r="F24" t="s">
        <v>381</v>
      </c>
    </row>
    <row r="25" spans="1:8">
      <c r="A25" t="s">
        <v>177</v>
      </c>
      <c r="B25" s="827" t="s">
        <v>382</v>
      </c>
      <c r="C25" s="3">
        <v>0.5</v>
      </c>
      <c r="D25" s="825">
        <v>0</v>
      </c>
      <c r="E25" s="825" t="s">
        <v>366</v>
      </c>
      <c r="F25" t="s">
        <v>383</v>
      </c>
    </row>
    <row r="26" spans="1:8">
      <c r="A26" t="s">
        <v>178</v>
      </c>
      <c r="B26" s="827" t="s">
        <v>384</v>
      </c>
      <c r="C26" s="3">
        <v>0.5</v>
      </c>
      <c r="D26" s="825">
        <v>0</v>
      </c>
      <c r="E26" s="825" t="s">
        <v>366</v>
      </c>
      <c r="F26" t="s">
        <v>385</v>
      </c>
    </row>
    <row r="27" spans="1:8">
      <c r="A27" t="s">
        <v>179</v>
      </c>
      <c r="B27" s="827" t="s">
        <v>386</v>
      </c>
      <c r="C27" s="2">
        <v>0.5</v>
      </c>
      <c r="D27" s="825">
        <v>0</v>
      </c>
      <c r="E27" s="825" t="s">
        <v>366</v>
      </c>
      <c r="F27" t="s">
        <v>387</v>
      </c>
    </row>
    <row r="28" spans="1:8">
      <c r="A28" t="s">
        <v>180</v>
      </c>
      <c r="B28" s="827" t="s">
        <v>388</v>
      </c>
      <c r="C28" s="2">
        <v>0.5</v>
      </c>
      <c r="D28" s="825">
        <v>0</v>
      </c>
      <c r="E28" s="825" t="s">
        <v>366</v>
      </c>
      <c r="F28" t="s">
        <v>389</v>
      </c>
    </row>
    <row r="29" spans="1:8">
      <c r="A29" t="s">
        <v>181</v>
      </c>
      <c r="B29" s="827" t="s">
        <v>390</v>
      </c>
      <c r="C29" s="2">
        <v>0.36</v>
      </c>
      <c r="D29" s="825">
        <v>0</v>
      </c>
      <c r="E29" s="825" t="s">
        <v>366</v>
      </c>
      <c r="F29" t="s">
        <v>391</v>
      </c>
    </row>
    <row r="30" spans="1:8">
      <c r="A30" t="s">
        <v>182</v>
      </c>
      <c r="B30" s="827" t="s">
        <v>392</v>
      </c>
      <c r="C30" s="2">
        <v>0.36</v>
      </c>
      <c r="D30" s="825">
        <v>0</v>
      </c>
      <c r="E30" s="825" t="s">
        <v>366</v>
      </c>
      <c r="F30" t="s">
        <v>391</v>
      </c>
    </row>
    <row r="31" spans="1:8">
      <c r="A31" t="s">
        <v>183</v>
      </c>
      <c r="B31" s="827" t="s">
        <v>393</v>
      </c>
      <c r="C31" s="2">
        <v>0.36</v>
      </c>
      <c r="D31" s="825">
        <v>0</v>
      </c>
      <c r="E31" s="825" t="s">
        <v>366</v>
      </c>
      <c r="F31" t="s">
        <v>391</v>
      </c>
    </row>
    <row r="32" spans="1:8">
      <c r="A32" t="s">
        <v>184</v>
      </c>
      <c r="B32" s="827" t="s">
        <v>394</v>
      </c>
      <c r="C32" s="3">
        <v>0.5</v>
      </c>
      <c r="D32" s="825">
        <v>0.05</v>
      </c>
      <c r="E32" s="825" t="s">
        <v>366</v>
      </c>
      <c r="F32" t="s">
        <v>395</v>
      </c>
      <c r="H32" s="837">
        <v>0.2</v>
      </c>
    </row>
  </sheetData>
  <sheetProtection algorithmName="SHA-512" hashValue="HahDVECcDfIA+dVlq+AXSzERsJh0RJ7Il7j1wx2UOrzF521TUsVfS8yGsFegHUKipYK+POwF8SQMvBn4oxA1Ow==" saltValue="iW52Y/BMV7w+GFpFSOP4dA==" spinCount="100000" sheet="1" objects="1" scenarios="1"/>
  <sortState xmlns:xlrd2="http://schemas.microsoft.com/office/spreadsheetml/2017/richdata2" ref="B29:D32">
    <sortCondition ref="B29"/>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616" customWidth="1"/>
    <col min="2" max="2" width="15.81640625" style="822" bestFit="1" customWidth="1"/>
    <col min="3" max="3" width="92.453125" style="750" customWidth="1"/>
    <col min="4" max="4" width="20.6328125" style="823" customWidth="1"/>
    <col min="5" max="5" width="13.1796875" style="824" customWidth="1"/>
    <col min="6" max="6" width="13" style="616" customWidth="1"/>
    <col min="7" max="7" width="11.453125" style="614" customWidth="1"/>
    <col min="8" max="61" width="11.453125" style="614"/>
    <col min="62" max="227" width="11.453125" style="616"/>
    <col min="228" max="228" width="45.1796875" style="616" customWidth="1"/>
    <col min="229" max="229" width="10.36328125" style="616" customWidth="1"/>
    <col min="230" max="230" width="68.36328125" style="616" customWidth="1"/>
    <col min="231" max="231" width="13.453125" style="616" customWidth="1"/>
    <col min="232" max="232" width="6.81640625" style="616" customWidth="1"/>
    <col min="233" max="233" width="5.81640625" style="616" customWidth="1"/>
    <col min="234" max="234" width="10.81640625" style="616" customWidth="1"/>
    <col min="235" max="235" width="12.36328125" style="616" customWidth="1"/>
    <col min="236" max="483" width="11.453125" style="616"/>
    <col min="484" max="484" width="45.1796875" style="616" customWidth="1"/>
    <col min="485" max="485" width="10.36328125" style="616" customWidth="1"/>
    <col min="486" max="486" width="68.36328125" style="616" customWidth="1"/>
    <col min="487" max="487" width="13.453125" style="616" customWidth="1"/>
    <col min="488" max="488" width="6.81640625" style="616" customWidth="1"/>
    <col min="489" max="489" width="5.81640625" style="616" customWidth="1"/>
    <col min="490" max="490" width="10.81640625" style="616" customWidth="1"/>
    <col min="491" max="491" width="12.36328125" style="616" customWidth="1"/>
    <col min="492" max="739" width="11.453125" style="616"/>
    <col min="740" max="740" width="45.1796875" style="616" customWidth="1"/>
    <col min="741" max="741" width="10.36328125" style="616" customWidth="1"/>
    <col min="742" max="742" width="68.36328125" style="616" customWidth="1"/>
    <col min="743" max="743" width="13.453125" style="616" customWidth="1"/>
    <col min="744" max="744" width="6.81640625" style="616" customWidth="1"/>
    <col min="745" max="745" width="5.81640625" style="616" customWidth="1"/>
    <col min="746" max="746" width="10.81640625" style="616" customWidth="1"/>
    <col min="747" max="747" width="12.36328125" style="616" customWidth="1"/>
    <col min="748" max="995" width="11.453125" style="616"/>
    <col min="996" max="996" width="45.1796875" style="616" customWidth="1"/>
    <col min="997" max="997" width="10.36328125" style="616" customWidth="1"/>
    <col min="998" max="998" width="68.36328125" style="616" customWidth="1"/>
    <col min="999" max="999" width="13.453125" style="616" customWidth="1"/>
    <col min="1000" max="1000" width="6.81640625" style="616" customWidth="1"/>
    <col min="1001" max="1001" width="5.81640625" style="616" customWidth="1"/>
    <col min="1002" max="1002" width="10.81640625" style="616" customWidth="1"/>
    <col min="1003" max="1003" width="12.36328125" style="616" customWidth="1"/>
    <col min="1004" max="1251" width="11.453125" style="616"/>
    <col min="1252" max="1252" width="45.1796875" style="616" customWidth="1"/>
    <col min="1253" max="1253" width="10.36328125" style="616" customWidth="1"/>
    <col min="1254" max="1254" width="68.36328125" style="616" customWidth="1"/>
    <col min="1255" max="1255" width="13.453125" style="616" customWidth="1"/>
    <col min="1256" max="1256" width="6.81640625" style="616" customWidth="1"/>
    <col min="1257" max="1257" width="5.81640625" style="616" customWidth="1"/>
    <col min="1258" max="1258" width="10.81640625" style="616" customWidth="1"/>
    <col min="1259" max="1259" width="12.36328125" style="616" customWidth="1"/>
    <col min="1260" max="1507" width="11.453125" style="616"/>
    <col min="1508" max="1508" width="45.1796875" style="616" customWidth="1"/>
    <col min="1509" max="1509" width="10.36328125" style="616" customWidth="1"/>
    <col min="1510" max="1510" width="68.36328125" style="616" customWidth="1"/>
    <col min="1511" max="1511" width="13.453125" style="616" customWidth="1"/>
    <col min="1512" max="1512" width="6.81640625" style="616" customWidth="1"/>
    <col min="1513" max="1513" width="5.81640625" style="616" customWidth="1"/>
    <col min="1514" max="1514" width="10.81640625" style="616" customWidth="1"/>
    <col min="1515" max="1515" width="12.36328125" style="616" customWidth="1"/>
    <col min="1516" max="1763" width="11.453125" style="616"/>
    <col min="1764" max="1764" width="45.1796875" style="616" customWidth="1"/>
    <col min="1765" max="1765" width="10.36328125" style="616" customWidth="1"/>
    <col min="1766" max="1766" width="68.36328125" style="616" customWidth="1"/>
    <col min="1767" max="1767" width="13.453125" style="616" customWidth="1"/>
    <col min="1768" max="1768" width="6.81640625" style="616" customWidth="1"/>
    <col min="1769" max="1769" width="5.81640625" style="616" customWidth="1"/>
    <col min="1770" max="1770" width="10.81640625" style="616" customWidth="1"/>
    <col min="1771" max="1771" width="12.36328125" style="616" customWidth="1"/>
    <col min="1772" max="2019" width="11.453125" style="616"/>
    <col min="2020" max="2020" width="45.1796875" style="616" customWidth="1"/>
    <col min="2021" max="2021" width="10.36328125" style="616" customWidth="1"/>
    <col min="2022" max="2022" width="68.36328125" style="616" customWidth="1"/>
    <col min="2023" max="2023" width="13.453125" style="616" customWidth="1"/>
    <col min="2024" max="2024" width="6.81640625" style="616" customWidth="1"/>
    <col min="2025" max="2025" width="5.81640625" style="616" customWidth="1"/>
    <col min="2026" max="2026" width="10.81640625" style="616" customWidth="1"/>
    <col min="2027" max="2027" width="12.36328125" style="616" customWidth="1"/>
    <col min="2028" max="2275" width="11.453125" style="616"/>
    <col min="2276" max="2276" width="45.1796875" style="616" customWidth="1"/>
    <col min="2277" max="2277" width="10.36328125" style="616" customWidth="1"/>
    <col min="2278" max="2278" width="68.36328125" style="616" customWidth="1"/>
    <col min="2279" max="2279" width="13.453125" style="616" customWidth="1"/>
    <col min="2280" max="2280" width="6.81640625" style="616" customWidth="1"/>
    <col min="2281" max="2281" width="5.81640625" style="616" customWidth="1"/>
    <col min="2282" max="2282" width="10.81640625" style="616" customWidth="1"/>
    <col min="2283" max="2283" width="12.36328125" style="616" customWidth="1"/>
    <col min="2284" max="2531" width="11.453125" style="616"/>
    <col min="2532" max="2532" width="45.1796875" style="616" customWidth="1"/>
    <col min="2533" max="2533" width="10.36328125" style="616" customWidth="1"/>
    <col min="2534" max="2534" width="68.36328125" style="616" customWidth="1"/>
    <col min="2535" max="2535" width="13.453125" style="616" customWidth="1"/>
    <col min="2536" max="2536" width="6.81640625" style="616" customWidth="1"/>
    <col min="2537" max="2537" width="5.81640625" style="616" customWidth="1"/>
    <col min="2538" max="2538" width="10.81640625" style="616" customWidth="1"/>
    <col min="2539" max="2539" width="12.36328125" style="616" customWidth="1"/>
    <col min="2540" max="2787" width="11.453125" style="616"/>
    <col min="2788" max="2788" width="45.1796875" style="616" customWidth="1"/>
    <col min="2789" max="2789" width="10.36328125" style="616" customWidth="1"/>
    <col min="2790" max="2790" width="68.36328125" style="616" customWidth="1"/>
    <col min="2791" max="2791" width="13.453125" style="616" customWidth="1"/>
    <col min="2792" max="2792" width="6.81640625" style="616" customWidth="1"/>
    <col min="2793" max="2793" width="5.81640625" style="616" customWidth="1"/>
    <col min="2794" max="2794" width="10.81640625" style="616" customWidth="1"/>
    <col min="2795" max="2795" width="12.36328125" style="616" customWidth="1"/>
    <col min="2796" max="3043" width="11.453125" style="616"/>
    <col min="3044" max="3044" width="45.1796875" style="616" customWidth="1"/>
    <col min="3045" max="3045" width="10.36328125" style="616" customWidth="1"/>
    <col min="3046" max="3046" width="68.36328125" style="616" customWidth="1"/>
    <col min="3047" max="3047" width="13.453125" style="616" customWidth="1"/>
    <col min="3048" max="3048" width="6.81640625" style="616" customWidth="1"/>
    <col min="3049" max="3049" width="5.81640625" style="616" customWidth="1"/>
    <col min="3050" max="3050" width="10.81640625" style="616" customWidth="1"/>
    <col min="3051" max="3051" width="12.36328125" style="616" customWidth="1"/>
    <col min="3052" max="3299" width="11.453125" style="616"/>
    <col min="3300" max="3300" width="45.1796875" style="616" customWidth="1"/>
    <col min="3301" max="3301" width="10.36328125" style="616" customWidth="1"/>
    <col min="3302" max="3302" width="68.36328125" style="616" customWidth="1"/>
    <col min="3303" max="3303" width="13.453125" style="616" customWidth="1"/>
    <col min="3304" max="3304" width="6.81640625" style="616" customWidth="1"/>
    <col min="3305" max="3305" width="5.81640625" style="616" customWidth="1"/>
    <col min="3306" max="3306" width="10.81640625" style="616" customWidth="1"/>
    <col min="3307" max="3307" width="12.36328125" style="616" customWidth="1"/>
    <col min="3308" max="3555" width="11.453125" style="616"/>
    <col min="3556" max="3556" width="45.1796875" style="616" customWidth="1"/>
    <col min="3557" max="3557" width="10.36328125" style="616" customWidth="1"/>
    <col min="3558" max="3558" width="68.36328125" style="616" customWidth="1"/>
    <col min="3559" max="3559" width="13.453125" style="616" customWidth="1"/>
    <col min="3560" max="3560" width="6.81640625" style="616" customWidth="1"/>
    <col min="3561" max="3561" width="5.81640625" style="616" customWidth="1"/>
    <col min="3562" max="3562" width="10.81640625" style="616" customWidth="1"/>
    <col min="3563" max="3563" width="12.36328125" style="616" customWidth="1"/>
    <col min="3564" max="3811" width="11.453125" style="616"/>
    <col min="3812" max="3812" width="45.1796875" style="616" customWidth="1"/>
    <col min="3813" max="3813" width="10.36328125" style="616" customWidth="1"/>
    <col min="3814" max="3814" width="68.36328125" style="616" customWidth="1"/>
    <col min="3815" max="3815" width="13.453125" style="616" customWidth="1"/>
    <col min="3816" max="3816" width="6.81640625" style="616" customWidth="1"/>
    <col min="3817" max="3817" width="5.81640625" style="616" customWidth="1"/>
    <col min="3818" max="3818" width="10.81640625" style="616" customWidth="1"/>
    <col min="3819" max="3819" width="12.36328125" style="616" customWidth="1"/>
    <col min="3820" max="4067" width="11.453125" style="616"/>
    <col min="4068" max="4068" width="45.1796875" style="616" customWidth="1"/>
    <col min="4069" max="4069" width="10.36328125" style="616" customWidth="1"/>
    <col min="4070" max="4070" width="68.36328125" style="616" customWidth="1"/>
    <col min="4071" max="4071" width="13.453125" style="616" customWidth="1"/>
    <col min="4072" max="4072" width="6.81640625" style="616" customWidth="1"/>
    <col min="4073" max="4073" width="5.81640625" style="616" customWidth="1"/>
    <col min="4074" max="4074" width="10.81640625" style="616" customWidth="1"/>
    <col min="4075" max="4075" width="12.36328125" style="616" customWidth="1"/>
    <col min="4076" max="4323" width="11.453125" style="616"/>
    <col min="4324" max="4324" width="45.1796875" style="616" customWidth="1"/>
    <col min="4325" max="4325" width="10.36328125" style="616" customWidth="1"/>
    <col min="4326" max="4326" width="68.36328125" style="616" customWidth="1"/>
    <col min="4327" max="4327" width="13.453125" style="616" customWidth="1"/>
    <col min="4328" max="4328" width="6.81640625" style="616" customWidth="1"/>
    <col min="4329" max="4329" width="5.81640625" style="616" customWidth="1"/>
    <col min="4330" max="4330" width="10.81640625" style="616" customWidth="1"/>
    <col min="4331" max="4331" width="12.36328125" style="616" customWidth="1"/>
    <col min="4332" max="4579" width="11.453125" style="616"/>
    <col min="4580" max="4580" width="45.1796875" style="616" customWidth="1"/>
    <col min="4581" max="4581" width="10.36328125" style="616" customWidth="1"/>
    <col min="4582" max="4582" width="68.36328125" style="616" customWidth="1"/>
    <col min="4583" max="4583" width="13.453125" style="616" customWidth="1"/>
    <col min="4584" max="4584" width="6.81640625" style="616" customWidth="1"/>
    <col min="4585" max="4585" width="5.81640625" style="616" customWidth="1"/>
    <col min="4586" max="4586" width="10.81640625" style="616" customWidth="1"/>
    <col min="4587" max="4587" width="12.36328125" style="616" customWidth="1"/>
    <col min="4588" max="4835" width="11.453125" style="616"/>
    <col min="4836" max="4836" width="45.1796875" style="616" customWidth="1"/>
    <col min="4837" max="4837" width="10.36328125" style="616" customWidth="1"/>
    <col min="4838" max="4838" width="68.36328125" style="616" customWidth="1"/>
    <col min="4839" max="4839" width="13.453125" style="616" customWidth="1"/>
    <col min="4840" max="4840" width="6.81640625" style="616" customWidth="1"/>
    <col min="4841" max="4841" width="5.81640625" style="616" customWidth="1"/>
    <col min="4842" max="4842" width="10.81640625" style="616" customWidth="1"/>
    <col min="4843" max="4843" width="12.36328125" style="616" customWidth="1"/>
    <col min="4844" max="5091" width="11.453125" style="616"/>
    <col min="5092" max="5092" width="45.1796875" style="616" customWidth="1"/>
    <col min="5093" max="5093" width="10.36328125" style="616" customWidth="1"/>
    <col min="5094" max="5094" width="68.36328125" style="616" customWidth="1"/>
    <col min="5095" max="5095" width="13.453125" style="616" customWidth="1"/>
    <col min="5096" max="5096" width="6.81640625" style="616" customWidth="1"/>
    <col min="5097" max="5097" width="5.81640625" style="616" customWidth="1"/>
    <col min="5098" max="5098" width="10.81640625" style="616" customWidth="1"/>
    <col min="5099" max="5099" width="12.36328125" style="616" customWidth="1"/>
    <col min="5100" max="5347" width="11.453125" style="616"/>
    <col min="5348" max="5348" width="45.1796875" style="616" customWidth="1"/>
    <col min="5349" max="5349" width="10.36328125" style="616" customWidth="1"/>
    <col min="5350" max="5350" width="68.36328125" style="616" customWidth="1"/>
    <col min="5351" max="5351" width="13.453125" style="616" customWidth="1"/>
    <col min="5352" max="5352" width="6.81640625" style="616" customWidth="1"/>
    <col min="5353" max="5353" width="5.81640625" style="616" customWidth="1"/>
    <col min="5354" max="5354" width="10.81640625" style="616" customWidth="1"/>
    <col min="5355" max="5355" width="12.36328125" style="616" customWidth="1"/>
    <col min="5356" max="5603" width="11.453125" style="616"/>
    <col min="5604" max="5604" width="45.1796875" style="616" customWidth="1"/>
    <col min="5605" max="5605" width="10.36328125" style="616" customWidth="1"/>
    <col min="5606" max="5606" width="68.36328125" style="616" customWidth="1"/>
    <col min="5607" max="5607" width="13.453125" style="616" customWidth="1"/>
    <col min="5608" max="5608" width="6.81640625" style="616" customWidth="1"/>
    <col min="5609" max="5609" width="5.81640625" style="616" customWidth="1"/>
    <col min="5610" max="5610" width="10.81640625" style="616" customWidth="1"/>
    <col min="5611" max="5611" width="12.36328125" style="616" customWidth="1"/>
    <col min="5612" max="5859" width="11.453125" style="616"/>
    <col min="5860" max="5860" width="45.1796875" style="616" customWidth="1"/>
    <col min="5861" max="5861" width="10.36328125" style="616" customWidth="1"/>
    <col min="5862" max="5862" width="68.36328125" style="616" customWidth="1"/>
    <col min="5863" max="5863" width="13.453125" style="616" customWidth="1"/>
    <col min="5864" max="5864" width="6.81640625" style="616" customWidth="1"/>
    <col min="5865" max="5865" width="5.81640625" style="616" customWidth="1"/>
    <col min="5866" max="5866" width="10.81640625" style="616" customWidth="1"/>
    <col min="5867" max="5867" width="12.36328125" style="616" customWidth="1"/>
    <col min="5868" max="6115" width="11.453125" style="616"/>
    <col min="6116" max="6116" width="45.1796875" style="616" customWidth="1"/>
    <col min="6117" max="6117" width="10.36328125" style="616" customWidth="1"/>
    <col min="6118" max="6118" width="68.36328125" style="616" customWidth="1"/>
    <col min="6119" max="6119" width="13.453125" style="616" customWidth="1"/>
    <col min="6120" max="6120" width="6.81640625" style="616" customWidth="1"/>
    <col min="6121" max="6121" width="5.81640625" style="616" customWidth="1"/>
    <col min="6122" max="6122" width="10.81640625" style="616" customWidth="1"/>
    <col min="6123" max="6123" width="12.36328125" style="616" customWidth="1"/>
    <col min="6124" max="6371" width="11.453125" style="616"/>
    <col min="6372" max="6372" width="45.1796875" style="616" customWidth="1"/>
    <col min="6373" max="6373" width="10.36328125" style="616" customWidth="1"/>
    <col min="6374" max="6374" width="68.36328125" style="616" customWidth="1"/>
    <col min="6375" max="6375" width="13.453125" style="616" customWidth="1"/>
    <col min="6376" max="6376" width="6.81640625" style="616" customWidth="1"/>
    <col min="6377" max="6377" width="5.81640625" style="616" customWidth="1"/>
    <col min="6378" max="6378" width="10.81640625" style="616" customWidth="1"/>
    <col min="6379" max="6379" width="12.36328125" style="616" customWidth="1"/>
    <col min="6380" max="6627" width="11.453125" style="616"/>
    <col min="6628" max="6628" width="45.1796875" style="616" customWidth="1"/>
    <col min="6629" max="6629" width="10.36328125" style="616" customWidth="1"/>
    <col min="6630" max="6630" width="68.36328125" style="616" customWidth="1"/>
    <col min="6631" max="6631" width="13.453125" style="616" customWidth="1"/>
    <col min="6632" max="6632" width="6.81640625" style="616" customWidth="1"/>
    <col min="6633" max="6633" width="5.81640625" style="616" customWidth="1"/>
    <col min="6634" max="6634" width="10.81640625" style="616" customWidth="1"/>
    <col min="6635" max="6635" width="12.36328125" style="616" customWidth="1"/>
    <col min="6636" max="6883" width="11.453125" style="616"/>
    <col min="6884" max="6884" width="45.1796875" style="616" customWidth="1"/>
    <col min="6885" max="6885" width="10.36328125" style="616" customWidth="1"/>
    <col min="6886" max="6886" width="68.36328125" style="616" customWidth="1"/>
    <col min="6887" max="6887" width="13.453125" style="616" customWidth="1"/>
    <col min="6888" max="6888" width="6.81640625" style="616" customWidth="1"/>
    <col min="6889" max="6889" width="5.81640625" style="616" customWidth="1"/>
    <col min="6890" max="6890" width="10.81640625" style="616" customWidth="1"/>
    <col min="6891" max="6891" width="12.36328125" style="616" customWidth="1"/>
    <col min="6892" max="7139" width="11.453125" style="616"/>
    <col min="7140" max="7140" width="45.1796875" style="616" customWidth="1"/>
    <col min="7141" max="7141" width="10.36328125" style="616" customWidth="1"/>
    <col min="7142" max="7142" width="68.36328125" style="616" customWidth="1"/>
    <col min="7143" max="7143" width="13.453125" style="616" customWidth="1"/>
    <col min="7144" max="7144" width="6.81640625" style="616" customWidth="1"/>
    <col min="7145" max="7145" width="5.81640625" style="616" customWidth="1"/>
    <col min="7146" max="7146" width="10.81640625" style="616" customWidth="1"/>
    <col min="7147" max="7147" width="12.36328125" style="616" customWidth="1"/>
    <col min="7148" max="7395" width="11.453125" style="616"/>
    <col min="7396" max="7396" width="45.1796875" style="616" customWidth="1"/>
    <col min="7397" max="7397" width="10.36328125" style="616" customWidth="1"/>
    <col min="7398" max="7398" width="68.36328125" style="616" customWidth="1"/>
    <col min="7399" max="7399" width="13.453125" style="616" customWidth="1"/>
    <col min="7400" max="7400" width="6.81640625" style="616" customWidth="1"/>
    <col min="7401" max="7401" width="5.81640625" style="616" customWidth="1"/>
    <col min="7402" max="7402" width="10.81640625" style="616" customWidth="1"/>
    <col min="7403" max="7403" width="12.36328125" style="616" customWidth="1"/>
    <col min="7404" max="7651" width="11.453125" style="616"/>
    <col min="7652" max="7652" width="45.1796875" style="616" customWidth="1"/>
    <col min="7653" max="7653" width="10.36328125" style="616" customWidth="1"/>
    <col min="7654" max="7654" width="68.36328125" style="616" customWidth="1"/>
    <col min="7655" max="7655" width="13.453125" style="616" customWidth="1"/>
    <col min="7656" max="7656" width="6.81640625" style="616" customWidth="1"/>
    <col min="7657" max="7657" width="5.81640625" style="616" customWidth="1"/>
    <col min="7658" max="7658" width="10.81640625" style="616" customWidth="1"/>
    <col min="7659" max="7659" width="12.36328125" style="616" customWidth="1"/>
    <col min="7660" max="7907" width="11.453125" style="616"/>
    <col min="7908" max="7908" width="45.1796875" style="616" customWidth="1"/>
    <col min="7909" max="7909" width="10.36328125" style="616" customWidth="1"/>
    <col min="7910" max="7910" width="68.36328125" style="616" customWidth="1"/>
    <col min="7911" max="7911" width="13.453125" style="616" customWidth="1"/>
    <col min="7912" max="7912" width="6.81640625" style="616" customWidth="1"/>
    <col min="7913" max="7913" width="5.81640625" style="616" customWidth="1"/>
    <col min="7914" max="7914" width="10.81640625" style="616" customWidth="1"/>
    <col min="7915" max="7915" width="12.36328125" style="616" customWidth="1"/>
    <col min="7916" max="8163" width="11.453125" style="616"/>
    <col min="8164" max="8164" width="45.1796875" style="616" customWidth="1"/>
    <col min="8165" max="8165" width="10.36328125" style="616" customWidth="1"/>
    <col min="8166" max="8166" width="68.36328125" style="616" customWidth="1"/>
    <col min="8167" max="8167" width="13.453125" style="616" customWidth="1"/>
    <col min="8168" max="8168" width="6.81640625" style="616" customWidth="1"/>
    <col min="8169" max="8169" width="5.81640625" style="616" customWidth="1"/>
    <col min="8170" max="8170" width="10.81640625" style="616" customWidth="1"/>
    <col min="8171" max="8171" width="12.36328125" style="616" customWidth="1"/>
    <col min="8172" max="8419" width="11.453125" style="616"/>
    <col min="8420" max="8420" width="45.1796875" style="616" customWidth="1"/>
    <col min="8421" max="8421" width="10.36328125" style="616" customWidth="1"/>
    <col min="8422" max="8422" width="68.36328125" style="616" customWidth="1"/>
    <col min="8423" max="8423" width="13.453125" style="616" customWidth="1"/>
    <col min="8424" max="8424" width="6.81640625" style="616" customWidth="1"/>
    <col min="8425" max="8425" width="5.81640625" style="616" customWidth="1"/>
    <col min="8426" max="8426" width="10.81640625" style="616" customWidth="1"/>
    <col min="8427" max="8427" width="12.36328125" style="616" customWidth="1"/>
    <col min="8428" max="8675" width="11.453125" style="616"/>
    <col min="8676" max="8676" width="45.1796875" style="616" customWidth="1"/>
    <col min="8677" max="8677" width="10.36328125" style="616" customWidth="1"/>
    <col min="8678" max="8678" width="68.36328125" style="616" customWidth="1"/>
    <col min="8679" max="8679" width="13.453125" style="616" customWidth="1"/>
    <col min="8680" max="8680" width="6.81640625" style="616" customWidth="1"/>
    <col min="8681" max="8681" width="5.81640625" style="616" customWidth="1"/>
    <col min="8682" max="8682" width="10.81640625" style="616" customWidth="1"/>
    <col min="8683" max="8683" width="12.36328125" style="616" customWidth="1"/>
    <col min="8684" max="8931" width="11.453125" style="616"/>
    <col min="8932" max="8932" width="45.1796875" style="616" customWidth="1"/>
    <col min="8933" max="8933" width="10.36328125" style="616" customWidth="1"/>
    <col min="8934" max="8934" width="68.36328125" style="616" customWidth="1"/>
    <col min="8935" max="8935" width="13.453125" style="616" customWidth="1"/>
    <col min="8936" max="8936" width="6.81640625" style="616" customWidth="1"/>
    <col min="8937" max="8937" width="5.81640625" style="616" customWidth="1"/>
    <col min="8938" max="8938" width="10.81640625" style="616" customWidth="1"/>
    <col min="8939" max="8939" width="12.36328125" style="616" customWidth="1"/>
    <col min="8940" max="9187" width="11.453125" style="616"/>
    <col min="9188" max="9188" width="45.1796875" style="616" customWidth="1"/>
    <col min="9189" max="9189" width="10.36328125" style="616" customWidth="1"/>
    <col min="9190" max="9190" width="68.36328125" style="616" customWidth="1"/>
    <col min="9191" max="9191" width="13.453125" style="616" customWidth="1"/>
    <col min="9192" max="9192" width="6.81640625" style="616" customWidth="1"/>
    <col min="9193" max="9193" width="5.81640625" style="616" customWidth="1"/>
    <col min="9194" max="9194" width="10.81640625" style="616" customWidth="1"/>
    <col min="9195" max="9195" width="12.36328125" style="616" customWidth="1"/>
    <col min="9196" max="9443" width="11.453125" style="616"/>
    <col min="9444" max="9444" width="45.1796875" style="616" customWidth="1"/>
    <col min="9445" max="9445" width="10.36328125" style="616" customWidth="1"/>
    <col min="9446" max="9446" width="68.36328125" style="616" customWidth="1"/>
    <col min="9447" max="9447" width="13.453125" style="616" customWidth="1"/>
    <col min="9448" max="9448" width="6.81640625" style="616" customWidth="1"/>
    <col min="9449" max="9449" width="5.81640625" style="616" customWidth="1"/>
    <col min="9450" max="9450" width="10.81640625" style="616" customWidth="1"/>
    <col min="9451" max="9451" width="12.36328125" style="616" customWidth="1"/>
    <col min="9452" max="9699" width="11.453125" style="616"/>
    <col min="9700" max="9700" width="45.1796875" style="616" customWidth="1"/>
    <col min="9701" max="9701" width="10.36328125" style="616" customWidth="1"/>
    <col min="9702" max="9702" width="68.36328125" style="616" customWidth="1"/>
    <col min="9703" max="9703" width="13.453125" style="616" customWidth="1"/>
    <col min="9704" max="9704" width="6.81640625" style="616" customWidth="1"/>
    <col min="9705" max="9705" width="5.81640625" style="616" customWidth="1"/>
    <col min="9706" max="9706" width="10.81640625" style="616" customWidth="1"/>
    <col min="9707" max="9707" width="12.36328125" style="616" customWidth="1"/>
    <col min="9708" max="9955" width="11.453125" style="616"/>
    <col min="9956" max="9956" width="45.1796875" style="616" customWidth="1"/>
    <col min="9957" max="9957" width="10.36328125" style="616" customWidth="1"/>
    <col min="9958" max="9958" width="68.36328125" style="616" customWidth="1"/>
    <col min="9959" max="9959" width="13.453125" style="616" customWidth="1"/>
    <col min="9960" max="9960" width="6.81640625" style="616" customWidth="1"/>
    <col min="9961" max="9961" width="5.81640625" style="616" customWidth="1"/>
    <col min="9962" max="9962" width="10.81640625" style="616" customWidth="1"/>
    <col min="9963" max="9963" width="12.36328125" style="616" customWidth="1"/>
    <col min="9964" max="10211" width="11.453125" style="616"/>
    <col min="10212" max="10212" width="45.1796875" style="616" customWidth="1"/>
    <col min="10213" max="10213" width="10.36328125" style="616" customWidth="1"/>
    <col min="10214" max="10214" width="68.36328125" style="616" customWidth="1"/>
    <col min="10215" max="10215" width="13.453125" style="616" customWidth="1"/>
    <col min="10216" max="10216" width="6.81640625" style="616" customWidth="1"/>
    <col min="10217" max="10217" width="5.81640625" style="616" customWidth="1"/>
    <col min="10218" max="10218" width="10.81640625" style="616" customWidth="1"/>
    <col min="10219" max="10219" width="12.36328125" style="616" customWidth="1"/>
    <col min="10220" max="10467" width="11.453125" style="616"/>
    <col min="10468" max="10468" width="45.1796875" style="616" customWidth="1"/>
    <col min="10469" max="10469" width="10.36328125" style="616" customWidth="1"/>
    <col min="10470" max="10470" width="68.36328125" style="616" customWidth="1"/>
    <col min="10471" max="10471" width="13.453125" style="616" customWidth="1"/>
    <col min="10472" max="10472" width="6.81640625" style="616" customWidth="1"/>
    <col min="10473" max="10473" width="5.81640625" style="616" customWidth="1"/>
    <col min="10474" max="10474" width="10.81640625" style="616" customWidth="1"/>
    <col min="10475" max="10475" width="12.36328125" style="616" customWidth="1"/>
    <col min="10476" max="10723" width="11.453125" style="616"/>
    <col min="10724" max="10724" width="45.1796875" style="616" customWidth="1"/>
    <col min="10725" max="10725" width="10.36328125" style="616" customWidth="1"/>
    <col min="10726" max="10726" width="68.36328125" style="616" customWidth="1"/>
    <col min="10727" max="10727" width="13.453125" style="616" customWidth="1"/>
    <col min="10728" max="10728" width="6.81640625" style="616" customWidth="1"/>
    <col min="10729" max="10729" width="5.81640625" style="616" customWidth="1"/>
    <col min="10730" max="10730" width="10.81640625" style="616" customWidth="1"/>
    <col min="10731" max="10731" width="12.36328125" style="616" customWidth="1"/>
    <col min="10732" max="10979" width="11.453125" style="616"/>
    <col min="10980" max="10980" width="45.1796875" style="616" customWidth="1"/>
    <col min="10981" max="10981" width="10.36328125" style="616" customWidth="1"/>
    <col min="10982" max="10982" width="68.36328125" style="616" customWidth="1"/>
    <col min="10983" max="10983" width="13.453125" style="616" customWidth="1"/>
    <col min="10984" max="10984" width="6.81640625" style="616" customWidth="1"/>
    <col min="10985" max="10985" width="5.81640625" style="616" customWidth="1"/>
    <col min="10986" max="10986" width="10.81640625" style="616" customWidth="1"/>
    <col min="10987" max="10987" width="12.36328125" style="616" customWidth="1"/>
    <col min="10988" max="11235" width="11.453125" style="616"/>
    <col min="11236" max="11236" width="45.1796875" style="616" customWidth="1"/>
    <col min="11237" max="11237" width="10.36328125" style="616" customWidth="1"/>
    <col min="11238" max="11238" width="68.36328125" style="616" customWidth="1"/>
    <col min="11239" max="11239" width="13.453125" style="616" customWidth="1"/>
    <col min="11240" max="11240" width="6.81640625" style="616" customWidth="1"/>
    <col min="11241" max="11241" width="5.81640625" style="616" customWidth="1"/>
    <col min="11242" max="11242" width="10.81640625" style="616" customWidth="1"/>
    <col min="11243" max="11243" width="12.36328125" style="616" customWidth="1"/>
    <col min="11244" max="11491" width="11.453125" style="616"/>
    <col min="11492" max="11492" width="45.1796875" style="616" customWidth="1"/>
    <col min="11493" max="11493" width="10.36328125" style="616" customWidth="1"/>
    <col min="11494" max="11494" width="68.36328125" style="616" customWidth="1"/>
    <col min="11495" max="11495" width="13.453125" style="616" customWidth="1"/>
    <col min="11496" max="11496" width="6.81640625" style="616" customWidth="1"/>
    <col min="11497" max="11497" width="5.81640625" style="616" customWidth="1"/>
    <col min="11498" max="11498" width="10.81640625" style="616" customWidth="1"/>
    <col min="11499" max="11499" width="12.36328125" style="616" customWidth="1"/>
    <col min="11500" max="11747" width="11.453125" style="616"/>
    <col min="11748" max="11748" width="45.1796875" style="616" customWidth="1"/>
    <col min="11749" max="11749" width="10.36328125" style="616" customWidth="1"/>
    <col min="11750" max="11750" width="68.36328125" style="616" customWidth="1"/>
    <col min="11751" max="11751" width="13.453125" style="616" customWidth="1"/>
    <col min="11752" max="11752" width="6.81640625" style="616" customWidth="1"/>
    <col min="11753" max="11753" width="5.81640625" style="616" customWidth="1"/>
    <col min="11754" max="11754" width="10.81640625" style="616" customWidth="1"/>
    <col min="11755" max="11755" width="12.36328125" style="616" customWidth="1"/>
    <col min="11756" max="12003" width="11.453125" style="616"/>
    <col min="12004" max="12004" width="45.1796875" style="616" customWidth="1"/>
    <col min="12005" max="12005" width="10.36328125" style="616" customWidth="1"/>
    <col min="12006" max="12006" width="68.36328125" style="616" customWidth="1"/>
    <col min="12007" max="12007" width="13.453125" style="616" customWidth="1"/>
    <col min="12008" max="12008" width="6.81640625" style="616" customWidth="1"/>
    <col min="12009" max="12009" width="5.81640625" style="616" customWidth="1"/>
    <col min="12010" max="12010" width="10.81640625" style="616" customWidth="1"/>
    <col min="12011" max="12011" width="12.36328125" style="616" customWidth="1"/>
    <col min="12012" max="12259" width="11.453125" style="616"/>
    <col min="12260" max="12260" width="45.1796875" style="616" customWidth="1"/>
    <col min="12261" max="12261" width="10.36328125" style="616" customWidth="1"/>
    <col min="12262" max="12262" width="68.36328125" style="616" customWidth="1"/>
    <col min="12263" max="12263" width="13.453125" style="616" customWidth="1"/>
    <col min="12264" max="12264" width="6.81640625" style="616" customWidth="1"/>
    <col min="12265" max="12265" width="5.81640625" style="616" customWidth="1"/>
    <col min="12266" max="12266" width="10.81640625" style="616" customWidth="1"/>
    <col min="12267" max="12267" width="12.36328125" style="616" customWidth="1"/>
    <col min="12268" max="12515" width="11.453125" style="616"/>
    <col min="12516" max="12516" width="45.1796875" style="616" customWidth="1"/>
    <col min="12517" max="12517" width="10.36328125" style="616" customWidth="1"/>
    <col min="12518" max="12518" width="68.36328125" style="616" customWidth="1"/>
    <col min="12519" max="12519" width="13.453125" style="616" customWidth="1"/>
    <col min="12520" max="12520" width="6.81640625" style="616" customWidth="1"/>
    <col min="12521" max="12521" width="5.81640625" style="616" customWidth="1"/>
    <col min="12522" max="12522" width="10.81640625" style="616" customWidth="1"/>
    <col min="12523" max="12523" width="12.36328125" style="616" customWidth="1"/>
    <col min="12524" max="12771" width="11.453125" style="616"/>
    <col min="12772" max="12772" width="45.1796875" style="616" customWidth="1"/>
    <col min="12773" max="12773" width="10.36328125" style="616" customWidth="1"/>
    <col min="12774" max="12774" width="68.36328125" style="616" customWidth="1"/>
    <col min="12775" max="12775" width="13.453125" style="616" customWidth="1"/>
    <col min="12776" max="12776" width="6.81640625" style="616" customWidth="1"/>
    <col min="12777" max="12777" width="5.81640625" style="616" customWidth="1"/>
    <col min="12778" max="12778" width="10.81640625" style="616" customWidth="1"/>
    <col min="12779" max="12779" width="12.36328125" style="616" customWidth="1"/>
    <col min="12780" max="13027" width="11.453125" style="616"/>
    <col min="13028" max="13028" width="45.1796875" style="616" customWidth="1"/>
    <col min="13029" max="13029" width="10.36328125" style="616" customWidth="1"/>
    <col min="13030" max="13030" width="68.36328125" style="616" customWidth="1"/>
    <col min="13031" max="13031" width="13.453125" style="616" customWidth="1"/>
    <col min="13032" max="13032" width="6.81640625" style="616" customWidth="1"/>
    <col min="13033" max="13033" width="5.81640625" style="616" customWidth="1"/>
    <col min="13034" max="13034" width="10.81640625" style="616" customWidth="1"/>
    <col min="13035" max="13035" width="12.36328125" style="616" customWidth="1"/>
    <col min="13036" max="13283" width="11.453125" style="616"/>
    <col min="13284" max="13284" width="45.1796875" style="616" customWidth="1"/>
    <col min="13285" max="13285" width="10.36328125" style="616" customWidth="1"/>
    <col min="13286" max="13286" width="68.36328125" style="616" customWidth="1"/>
    <col min="13287" max="13287" width="13.453125" style="616" customWidth="1"/>
    <col min="13288" max="13288" width="6.81640625" style="616" customWidth="1"/>
    <col min="13289" max="13289" width="5.81640625" style="616" customWidth="1"/>
    <col min="13290" max="13290" width="10.81640625" style="616" customWidth="1"/>
    <col min="13291" max="13291" width="12.36328125" style="616" customWidth="1"/>
    <col min="13292" max="13539" width="11.453125" style="616"/>
    <col min="13540" max="13540" width="45.1796875" style="616" customWidth="1"/>
    <col min="13541" max="13541" width="10.36328125" style="616" customWidth="1"/>
    <col min="13542" max="13542" width="68.36328125" style="616" customWidth="1"/>
    <col min="13543" max="13543" width="13.453125" style="616" customWidth="1"/>
    <col min="13544" max="13544" width="6.81640625" style="616" customWidth="1"/>
    <col min="13545" max="13545" width="5.81640625" style="616" customWidth="1"/>
    <col min="13546" max="13546" width="10.81640625" style="616" customWidth="1"/>
    <col min="13547" max="13547" width="12.36328125" style="616" customWidth="1"/>
    <col min="13548" max="13795" width="11.453125" style="616"/>
    <col min="13796" max="13796" width="45.1796875" style="616" customWidth="1"/>
    <col min="13797" max="13797" width="10.36328125" style="616" customWidth="1"/>
    <col min="13798" max="13798" width="68.36328125" style="616" customWidth="1"/>
    <col min="13799" max="13799" width="13.453125" style="616" customWidth="1"/>
    <col min="13800" max="13800" width="6.81640625" style="616" customWidth="1"/>
    <col min="13801" max="13801" width="5.81640625" style="616" customWidth="1"/>
    <col min="13802" max="13802" width="10.81640625" style="616" customWidth="1"/>
    <col min="13803" max="13803" width="12.36328125" style="616" customWidth="1"/>
    <col min="13804" max="14051" width="11.453125" style="616"/>
    <col min="14052" max="14052" width="45.1796875" style="616" customWidth="1"/>
    <col min="14053" max="14053" width="10.36328125" style="616" customWidth="1"/>
    <col min="14054" max="14054" width="68.36328125" style="616" customWidth="1"/>
    <col min="14055" max="14055" width="13.453125" style="616" customWidth="1"/>
    <col min="14056" max="14056" width="6.81640625" style="616" customWidth="1"/>
    <col min="14057" max="14057" width="5.81640625" style="616" customWidth="1"/>
    <col min="14058" max="14058" width="10.81640625" style="616" customWidth="1"/>
    <col min="14059" max="14059" width="12.36328125" style="616" customWidth="1"/>
    <col min="14060" max="14307" width="11.453125" style="616"/>
    <col min="14308" max="14308" width="45.1796875" style="616" customWidth="1"/>
    <col min="14309" max="14309" width="10.36328125" style="616" customWidth="1"/>
    <col min="14310" max="14310" width="68.36328125" style="616" customWidth="1"/>
    <col min="14311" max="14311" width="13.453125" style="616" customWidth="1"/>
    <col min="14312" max="14312" width="6.81640625" style="616" customWidth="1"/>
    <col min="14313" max="14313" width="5.81640625" style="616" customWidth="1"/>
    <col min="14314" max="14314" width="10.81640625" style="616" customWidth="1"/>
    <col min="14315" max="14315" width="12.36328125" style="616" customWidth="1"/>
    <col min="14316" max="14563" width="11.453125" style="616"/>
    <col min="14564" max="14564" width="45.1796875" style="616" customWidth="1"/>
    <col min="14565" max="14565" width="10.36328125" style="616" customWidth="1"/>
    <col min="14566" max="14566" width="68.36328125" style="616" customWidth="1"/>
    <col min="14567" max="14567" width="13.453125" style="616" customWidth="1"/>
    <col min="14568" max="14568" width="6.81640625" style="616" customWidth="1"/>
    <col min="14569" max="14569" width="5.81640625" style="616" customWidth="1"/>
    <col min="14570" max="14570" width="10.81640625" style="616" customWidth="1"/>
    <col min="14571" max="14571" width="12.36328125" style="616" customWidth="1"/>
    <col min="14572" max="14819" width="11.453125" style="616"/>
    <col min="14820" max="14820" width="45.1796875" style="616" customWidth="1"/>
    <col min="14821" max="14821" width="10.36328125" style="616" customWidth="1"/>
    <col min="14822" max="14822" width="68.36328125" style="616" customWidth="1"/>
    <col min="14823" max="14823" width="13.453125" style="616" customWidth="1"/>
    <col min="14824" max="14824" width="6.81640625" style="616" customWidth="1"/>
    <col min="14825" max="14825" width="5.81640625" style="616" customWidth="1"/>
    <col min="14826" max="14826" width="10.81640625" style="616" customWidth="1"/>
    <col min="14827" max="14827" width="12.36328125" style="616" customWidth="1"/>
    <col min="14828" max="15075" width="11.453125" style="616"/>
    <col min="15076" max="15076" width="45.1796875" style="616" customWidth="1"/>
    <col min="15077" max="15077" width="10.36328125" style="616" customWidth="1"/>
    <col min="15078" max="15078" width="68.36328125" style="616" customWidth="1"/>
    <col min="15079" max="15079" width="13.453125" style="616" customWidth="1"/>
    <col min="15080" max="15080" width="6.81640625" style="616" customWidth="1"/>
    <col min="15081" max="15081" width="5.81640625" style="616" customWidth="1"/>
    <col min="15082" max="15082" width="10.81640625" style="616" customWidth="1"/>
    <col min="15083" max="15083" width="12.36328125" style="616" customWidth="1"/>
    <col min="15084" max="15331" width="11.453125" style="616"/>
    <col min="15332" max="15332" width="45.1796875" style="616" customWidth="1"/>
    <col min="15333" max="15333" width="10.36328125" style="616" customWidth="1"/>
    <col min="15334" max="15334" width="68.36328125" style="616" customWidth="1"/>
    <col min="15335" max="15335" width="13.453125" style="616" customWidth="1"/>
    <col min="15336" max="15336" width="6.81640625" style="616" customWidth="1"/>
    <col min="15337" max="15337" width="5.81640625" style="616" customWidth="1"/>
    <col min="15338" max="15338" width="10.81640625" style="616" customWidth="1"/>
    <col min="15339" max="15339" width="12.36328125" style="616" customWidth="1"/>
    <col min="15340" max="15587" width="11.453125" style="616"/>
    <col min="15588" max="15588" width="45.1796875" style="616" customWidth="1"/>
    <col min="15589" max="15589" width="10.36328125" style="616" customWidth="1"/>
    <col min="15590" max="15590" width="68.36328125" style="616" customWidth="1"/>
    <col min="15591" max="15591" width="13.453125" style="616" customWidth="1"/>
    <col min="15592" max="15592" width="6.81640625" style="616" customWidth="1"/>
    <col min="15593" max="15593" width="5.81640625" style="616" customWidth="1"/>
    <col min="15594" max="15594" width="10.81640625" style="616" customWidth="1"/>
    <col min="15595" max="15595" width="12.36328125" style="616" customWidth="1"/>
    <col min="15596" max="15843" width="11.453125" style="616"/>
    <col min="15844" max="15844" width="45.1796875" style="616" customWidth="1"/>
    <col min="15845" max="15845" width="10.36328125" style="616" customWidth="1"/>
    <col min="15846" max="15846" width="68.36328125" style="616" customWidth="1"/>
    <col min="15847" max="15847" width="13.453125" style="616" customWidth="1"/>
    <col min="15848" max="15848" width="6.81640625" style="616" customWidth="1"/>
    <col min="15849" max="15849" width="5.81640625" style="616" customWidth="1"/>
    <col min="15850" max="15850" width="10.81640625" style="616" customWidth="1"/>
    <col min="15851" max="15851" width="12.36328125" style="616" customWidth="1"/>
    <col min="15852" max="16099" width="11.453125" style="616"/>
    <col min="16100" max="16100" width="45.1796875" style="616" customWidth="1"/>
    <col min="16101" max="16101" width="10.36328125" style="616" customWidth="1"/>
    <col min="16102" max="16102" width="68.36328125" style="616" customWidth="1"/>
    <col min="16103" max="16103" width="13.453125" style="616" customWidth="1"/>
    <col min="16104" max="16104" width="6.81640625" style="616" customWidth="1"/>
    <col min="16105" max="16105" width="5.81640625" style="616" customWidth="1"/>
    <col min="16106" max="16106" width="10.81640625" style="616" customWidth="1"/>
    <col min="16107" max="16107" width="12.36328125" style="616" customWidth="1"/>
    <col min="16108" max="16355" width="11.453125" style="616"/>
    <col min="16356" max="16384" width="10.81640625" style="616" customWidth="1"/>
  </cols>
  <sheetData>
    <row r="1" spans="1:61">
      <c r="A1" s="608"/>
      <c r="B1" s="609"/>
      <c r="C1" s="610"/>
      <c r="D1" s="611"/>
      <c r="E1" s="612"/>
      <c r="F1" s="613" t="s">
        <v>396</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83" t="s">
        <v>397</v>
      </c>
      <c r="E2" s="1483"/>
      <c r="F2" s="1484"/>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85" t="s">
        <v>398</v>
      </c>
      <c r="E3" s="1485"/>
      <c r="F3" s="1486"/>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4.5">
      <c r="A4" s="622"/>
      <c r="B4" s="623"/>
      <c r="C4" s="1046"/>
      <c r="D4" s="1047"/>
      <c r="E4" s="1047"/>
      <c r="F4" s="1048" t="s">
        <v>399</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87"/>
      <c r="B5" s="1488"/>
      <c r="C5" s="624" t="s">
        <v>400</v>
      </c>
      <c r="D5" s="625" t="s">
        <v>401</v>
      </c>
      <c r="E5" s="1489">
        <f ca="1">TODAY()</f>
        <v>46181</v>
      </c>
      <c r="F5" s="1490"/>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402</v>
      </c>
      <c r="B6" s="629"/>
      <c r="C6" s="1491" t="s">
        <v>403</v>
      </c>
      <c r="D6" s="1493"/>
      <c r="E6" s="1491"/>
      <c r="F6" s="1494"/>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404</v>
      </c>
      <c r="B7" s="633"/>
      <c r="C7" s="1492"/>
      <c r="D7" s="1495"/>
      <c r="E7" s="1492"/>
      <c r="F7" s="1496"/>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405</v>
      </c>
      <c r="B8" s="637" t="s">
        <v>406</v>
      </c>
      <c r="C8" s="294" t="s">
        <v>407</v>
      </c>
      <c r="D8" s="638" t="s">
        <v>408</v>
      </c>
      <c r="E8" s="295" t="s">
        <v>409</v>
      </c>
      <c r="F8" s="639" t="s">
        <v>410</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411</v>
      </c>
      <c r="D9" s="647"/>
      <c r="E9" s="648"/>
      <c r="F9" s="649"/>
    </row>
    <row r="10" spans="1:61" s="657" customFormat="1" ht="14" customHeight="1">
      <c r="A10" s="651"/>
      <c r="B10" s="652" t="s">
        <v>412</v>
      </c>
      <c r="C10" s="653" t="s">
        <v>413</v>
      </c>
      <c r="D10" s="654" t="s">
        <v>414</v>
      </c>
      <c r="E10" s="655">
        <v>5950</v>
      </c>
      <c r="F10" s="656" t="s">
        <v>236</v>
      </c>
    </row>
    <row r="11" spans="1:61" s="657" customFormat="1" ht="14" customHeight="1">
      <c r="A11" s="651"/>
      <c r="B11" s="658"/>
      <c r="C11" s="653" t="s">
        <v>415</v>
      </c>
      <c r="D11" s="654"/>
      <c r="E11" s="655"/>
      <c r="F11" s="656"/>
    </row>
    <row r="12" spans="1:61" s="657" customFormat="1" ht="14" customHeight="1">
      <c r="A12" s="651"/>
      <c r="B12" s="658"/>
      <c r="C12" s="653" t="s">
        <v>416</v>
      </c>
      <c r="D12" s="654"/>
      <c r="E12" s="655"/>
      <c r="F12" s="656"/>
    </row>
    <row r="13" spans="1:61" s="657" customFormat="1" ht="14" customHeight="1">
      <c r="A13" s="651"/>
      <c r="B13" s="658"/>
      <c r="C13" s="653" t="s">
        <v>417</v>
      </c>
      <c r="D13" s="654"/>
      <c r="E13" s="655"/>
      <c r="F13" s="656"/>
    </row>
    <row r="14" spans="1:61" s="657" customFormat="1" ht="14" customHeight="1">
      <c r="A14" s="651"/>
      <c r="B14" s="658"/>
      <c r="C14" s="659"/>
      <c r="D14" s="654"/>
      <c r="E14" s="655"/>
      <c r="F14" s="656"/>
    </row>
    <row r="15" spans="1:61" s="657" customFormat="1" ht="14" customHeight="1">
      <c r="A15" s="651"/>
      <c r="B15" s="658"/>
      <c r="C15" s="659"/>
      <c r="D15" s="654"/>
      <c r="E15" s="655"/>
      <c r="F15" s="656"/>
    </row>
    <row r="16" spans="1:61" s="657" customFormat="1" ht="14" customHeight="1">
      <c r="A16" s="651"/>
      <c r="B16" s="658"/>
      <c r="C16" s="653"/>
      <c r="D16" s="654"/>
      <c r="E16" s="655"/>
      <c r="F16" s="656"/>
    </row>
    <row r="17" spans="1:6" s="657" customFormat="1" ht="14" customHeight="1">
      <c r="A17" s="651"/>
      <c r="B17" s="658"/>
      <c r="C17" s="653"/>
      <c r="D17" s="654"/>
      <c r="E17" s="655"/>
      <c r="F17" s="660"/>
    </row>
    <row r="18" spans="1:6" s="657" customFormat="1" ht="14" customHeight="1">
      <c r="A18" s="651"/>
      <c r="B18" s="658"/>
      <c r="C18" s="653"/>
      <c r="D18" s="654"/>
      <c r="E18" s="655"/>
      <c r="F18" s="660"/>
    </row>
    <row r="19" spans="1:6" s="650" customFormat="1" ht="14" customHeight="1">
      <c r="A19" s="651"/>
      <c r="B19" s="658"/>
      <c r="C19" s="653"/>
      <c r="D19" s="654"/>
      <c r="E19" s="655"/>
      <c r="F19" s="660"/>
    </row>
    <row r="20" spans="1:6" s="650" customFormat="1" ht="14" customHeight="1">
      <c r="A20" s="651"/>
      <c r="B20" s="658"/>
      <c r="C20" s="653"/>
      <c r="D20" s="654"/>
      <c r="E20" s="655"/>
      <c r="F20" s="656"/>
    </row>
    <row r="21" spans="1:6" s="650" customFormat="1" ht="14" customHeight="1">
      <c r="A21" s="651"/>
      <c r="B21" s="652" t="s">
        <v>418</v>
      </c>
      <c r="C21" s="653" t="s">
        <v>419</v>
      </c>
      <c r="D21" s="654" t="s">
        <v>414</v>
      </c>
      <c r="E21" s="655">
        <v>5830</v>
      </c>
      <c r="F21" s="656" t="s">
        <v>236</v>
      </c>
    </row>
    <row r="22" spans="1:6" s="650" customFormat="1" ht="14" customHeight="1">
      <c r="A22" s="651"/>
      <c r="B22" s="658"/>
      <c r="C22" s="653" t="s">
        <v>420</v>
      </c>
      <c r="D22" s="654"/>
      <c r="E22" s="655"/>
      <c r="F22" s="660"/>
    </row>
    <row r="23" spans="1:6" s="650" customFormat="1" ht="14" customHeight="1">
      <c r="A23" s="651"/>
      <c r="B23" s="658"/>
      <c r="C23" s="653" t="s">
        <v>421</v>
      </c>
      <c r="D23" s="654"/>
      <c r="E23" s="655"/>
      <c r="F23" s="661"/>
    </row>
    <row r="24" spans="1:6" s="650" customFormat="1" ht="14" customHeight="1">
      <c r="A24" s="651"/>
      <c r="B24" s="658"/>
      <c r="C24" s="653" t="s">
        <v>422</v>
      </c>
      <c r="D24" s="654"/>
      <c r="E24" s="655"/>
      <c r="F24" s="661"/>
    </row>
    <row r="25" spans="1:6" s="650" customFormat="1" ht="14" customHeight="1">
      <c r="A25" s="651"/>
      <c r="B25" s="658"/>
      <c r="C25" s="659"/>
      <c r="D25" s="654"/>
      <c r="E25" s="655"/>
      <c r="F25" s="661"/>
    </row>
    <row r="26" spans="1:6" s="650" customFormat="1" ht="14" customHeight="1">
      <c r="A26" s="651"/>
      <c r="B26" s="658"/>
      <c r="C26" s="653"/>
      <c r="D26" s="654"/>
      <c r="E26" s="655"/>
      <c r="F26" s="661"/>
    </row>
    <row r="27" spans="1:6" s="650" customFormat="1" ht="14" customHeight="1">
      <c r="A27" s="651"/>
      <c r="B27" s="658"/>
      <c r="C27" s="653"/>
      <c r="D27" s="654"/>
      <c r="E27" s="655"/>
      <c r="F27" s="661"/>
    </row>
    <row r="28" spans="1:6" s="650" customFormat="1" ht="14" customHeight="1">
      <c r="A28" s="651"/>
      <c r="B28" s="658"/>
      <c r="C28" s="653"/>
      <c r="D28" s="654"/>
      <c r="E28" s="655"/>
      <c r="F28" s="661"/>
    </row>
    <row r="29" spans="1:6" s="650" customFormat="1" ht="14" customHeight="1">
      <c r="A29" s="651"/>
      <c r="B29" s="658"/>
      <c r="C29" s="653"/>
      <c r="D29" s="654"/>
      <c r="E29" s="655"/>
      <c r="F29" s="661"/>
    </row>
    <row r="30" spans="1:6" s="650" customFormat="1" ht="14" customHeight="1">
      <c r="A30" s="651"/>
      <c r="B30" s="658"/>
      <c r="C30" s="653"/>
      <c r="D30" s="654"/>
      <c r="E30" s="655"/>
      <c r="F30" s="661"/>
    </row>
    <row r="31" spans="1:6" s="650" customFormat="1" ht="14" customHeight="1">
      <c r="A31" s="651"/>
      <c r="B31" s="652" t="s">
        <v>423</v>
      </c>
      <c r="C31" s="653" t="s">
        <v>424</v>
      </c>
      <c r="D31" s="654" t="s">
        <v>414</v>
      </c>
      <c r="E31" s="655">
        <v>5750</v>
      </c>
      <c r="F31" s="656" t="s">
        <v>236</v>
      </c>
    </row>
    <row r="32" spans="1:6" ht="14" customHeight="1">
      <c r="A32" s="651"/>
      <c r="B32" s="658"/>
      <c r="C32" s="653" t="s">
        <v>425</v>
      </c>
      <c r="D32" s="654"/>
      <c r="E32" s="662"/>
      <c r="F32" s="661"/>
    </row>
    <row r="33" spans="1:6" ht="14" customHeight="1">
      <c r="A33" s="651"/>
      <c r="B33" s="658"/>
      <c r="C33" s="653" t="s">
        <v>426</v>
      </c>
      <c r="D33" s="654"/>
      <c r="E33" s="662"/>
      <c r="F33" s="661"/>
    </row>
    <row r="34" spans="1:6" ht="14" customHeight="1">
      <c r="A34" s="651"/>
      <c r="B34" s="658"/>
      <c r="C34" s="653" t="s">
        <v>427</v>
      </c>
      <c r="D34" s="654"/>
      <c r="E34" s="662"/>
      <c r="F34" s="661"/>
    </row>
    <row r="35" spans="1:6" ht="14" customHeight="1">
      <c r="A35" s="651"/>
      <c r="B35" s="658"/>
      <c r="C35" s="659"/>
      <c r="D35" s="654"/>
      <c r="E35" s="662"/>
      <c r="F35" s="661"/>
    </row>
    <row r="36" spans="1:6" ht="14" customHeight="1">
      <c r="A36" s="651"/>
      <c r="B36" s="658"/>
      <c r="C36" s="653"/>
      <c r="D36" s="654"/>
      <c r="E36" s="662"/>
      <c r="F36" s="663"/>
    </row>
    <row r="37" spans="1:6" ht="14" customHeight="1">
      <c r="A37" s="651"/>
      <c r="B37" s="658"/>
      <c r="C37" s="653"/>
      <c r="D37" s="654"/>
      <c r="E37" s="662"/>
      <c r="F37" s="663"/>
    </row>
    <row r="38" spans="1:6" ht="14" customHeight="1">
      <c r="A38" s="651"/>
      <c r="B38" s="658"/>
      <c r="C38" s="653"/>
      <c r="D38" s="654"/>
      <c r="E38" s="662"/>
      <c r="F38" s="663"/>
    </row>
    <row r="39" spans="1:6" ht="14" customHeight="1">
      <c r="A39" s="651"/>
      <c r="B39" s="658"/>
      <c r="C39" s="653"/>
      <c r="D39" s="654"/>
      <c r="E39" s="662"/>
      <c r="F39" s="663"/>
    </row>
    <row r="40" spans="1:6" ht="14" customHeight="1">
      <c r="A40" s="651"/>
      <c r="B40" s="658"/>
      <c r="C40" s="653"/>
      <c r="D40" s="654"/>
      <c r="E40" s="662"/>
      <c r="F40" s="663"/>
    </row>
    <row r="41" spans="1:6" ht="14" customHeight="1">
      <c r="A41" s="664"/>
      <c r="B41" s="665"/>
      <c r="C41" s="646" t="s">
        <v>428</v>
      </c>
      <c r="D41" s="666"/>
      <c r="E41" s="667"/>
      <c r="F41" s="668"/>
    </row>
    <row r="42" spans="1:6" ht="14" customHeight="1">
      <c r="A42" s="669"/>
      <c r="B42" s="652" t="s">
        <v>429</v>
      </c>
      <c r="C42" s="653" t="s">
        <v>430</v>
      </c>
      <c r="D42" s="654" t="s">
        <v>414</v>
      </c>
      <c r="E42" s="655">
        <v>6230</v>
      </c>
      <c r="F42" s="656" t="s">
        <v>236</v>
      </c>
    </row>
    <row r="43" spans="1:6" s="670" customFormat="1" ht="14" customHeight="1">
      <c r="A43" s="669"/>
      <c r="B43" s="652"/>
      <c r="C43" s="653" t="s">
        <v>431</v>
      </c>
      <c r="D43" s="654"/>
      <c r="E43" s="655"/>
      <c r="F43" s="663"/>
    </row>
    <row r="44" spans="1:6" s="670" customFormat="1" ht="14" customHeight="1">
      <c r="A44" s="669"/>
      <c r="B44" s="652"/>
      <c r="C44" s="653" t="s">
        <v>432</v>
      </c>
      <c r="D44" s="654"/>
      <c r="E44" s="655"/>
      <c r="F44" s="663"/>
    </row>
    <row r="45" spans="1:6" s="670" customFormat="1" ht="14" customHeight="1">
      <c r="A45" s="669"/>
      <c r="B45" s="652"/>
      <c r="C45" s="653" t="s">
        <v>433</v>
      </c>
      <c r="D45" s="654"/>
      <c r="E45" s="655"/>
      <c r="F45" s="663"/>
    </row>
    <row r="46" spans="1:6" s="670" customFormat="1" ht="14" customHeight="1">
      <c r="A46" s="669"/>
      <c r="B46" s="652"/>
      <c r="C46" s="653" t="s">
        <v>434</v>
      </c>
      <c r="D46" s="654"/>
      <c r="E46" s="655"/>
      <c r="F46" s="663"/>
    </row>
    <row r="47" spans="1:6" s="670" customFormat="1" ht="14" customHeight="1">
      <c r="A47" s="669"/>
      <c r="B47" s="652"/>
      <c r="C47" s="659"/>
      <c r="D47" s="654"/>
      <c r="E47" s="655"/>
      <c r="F47" s="671"/>
    </row>
    <row r="48" spans="1:6" s="670" customFormat="1" ht="14" customHeight="1">
      <c r="A48" s="669"/>
      <c r="B48" s="652"/>
      <c r="C48" s="653"/>
      <c r="D48" s="654"/>
      <c r="E48" s="655"/>
      <c r="F48" s="671"/>
    </row>
    <row r="49" spans="1:61" s="670" customFormat="1" ht="14" customHeight="1">
      <c r="A49" s="669"/>
      <c r="B49" s="652"/>
      <c r="C49" s="653"/>
      <c r="D49" s="654"/>
      <c r="E49" s="655"/>
      <c r="F49" s="671"/>
    </row>
    <row r="50" spans="1:61" s="670" customFormat="1" ht="14"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435</v>
      </c>
      <c r="C53" s="653" t="s">
        <v>436</v>
      </c>
      <c r="D53" s="654" t="s">
        <v>414</v>
      </c>
      <c r="E53" s="655">
        <v>6180</v>
      </c>
      <c r="F53" s="656" t="s">
        <v>236</v>
      </c>
    </row>
    <row r="54" spans="1:61">
      <c r="A54" s="669"/>
      <c r="B54" s="652"/>
      <c r="C54" s="653" t="s">
        <v>420</v>
      </c>
      <c r="D54" s="654"/>
      <c r="E54" s="655"/>
      <c r="F54" s="671"/>
    </row>
    <row r="55" spans="1:61">
      <c r="A55" s="669"/>
      <c r="B55" s="652"/>
      <c r="C55" s="653" t="s">
        <v>437</v>
      </c>
      <c r="D55" s="654"/>
      <c r="E55" s="655"/>
      <c r="F55" s="663"/>
    </row>
    <row r="56" spans="1:61" s="674" customFormat="1">
      <c r="A56" s="669"/>
      <c r="B56" s="652"/>
      <c r="C56" s="653" t="s">
        <v>433</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434</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438</v>
      </c>
      <c r="C62" s="653" t="s">
        <v>439</v>
      </c>
      <c r="D62" s="654" t="s">
        <v>414</v>
      </c>
      <c r="E62" s="655">
        <v>5900</v>
      </c>
      <c r="F62" s="656" t="s">
        <v>236</v>
      </c>
    </row>
    <row r="63" spans="1:61">
      <c r="A63" s="669"/>
      <c r="B63" s="658"/>
      <c r="C63" s="653" t="s">
        <v>425</v>
      </c>
      <c r="D63" s="654"/>
      <c r="E63" s="655"/>
      <c r="F63" s="663"/>
    </row>
    <row r="64" spans="1:61">
      <c r="A64" s="669"/>
      <c r="B64" s="658"/>
      <c r="C64" s="653" t="s">
        <v>440</v>
      </c>
      <c r="D64" s="654"/>
      <c r="E64" s="662"/>
      <c r="F64" s="663"/>
    </row>
    <row r="65" spans="1:8">
      <c r="A65" s="669"/>
      <c r="B65" s="658"/>
      <c r="C65" s="653" t="s">
        <v>433</v>
      </c>
      <c r="D65" s="654"/>
      <c r="E65" s="662"/>
      <c r="F65" s="663"/>
    </row>
    <row r="66" spans="1:8">
      <c r="A66" s="669"/>
      <c r="B66" s="658"/>
      <c r="C66" s="653" t="s">
        <v>434</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441</v>
      </c>
      <c r="C71" s="653" t="s">
        <v>442</v>
      </c>
      <c r="D71" s="672" t="s">
        <v>443</v>
      </c>
      <c r="E71" s="655">
        <v>5300</v>
      </c>
      <c r="F71" s="656" t="s">
        <v>236</v>
      </c>
      <c r="G71" s="676">
        <f>E71*-30%</f>
        <v>-1590</v>
      </c>
      <c r="H71" s="676">
        <f>E71+G71</f>
        <v>3710</v>
      </c>
    </row>
    <row r="72" spans="1:8">
      <c r="A72" s="669"/>
      <c r="B72" s="652"/>
      <c r="C72" s="653" t="s">
        <v>444</v>
      </c>
      <c r="D72" s="654"/>
      <c r="E72" s="662"/>
      <c r="F72" s="663"/>
    </row>
    <row r="73" spans="1:8">
      <c r="A73" s="669"/>
      <c r="B73" s="658"/>
      <c r="C73" s="653" t="s">
        <v>445</v>
      </c>
      <c r="D73" s="654"/>
      <c r="E73" s="662"/>
      <c r="F73" s="663"/>
    </row>
    <row r="74" spans="1:8">
      <c r="A74" s="669"/>
      <c r="B74" s="652"/>
      <c r="C74" s="653" t="s">
        <v>433</v>
      </c>
      <c r="D74" s="654"/>
      <c r="E74" s="662"/>
      <c r="F74" s="663"/>
    </row>
    <row r="75" spans="1:8">
      <c r="A75" s="669"/>
      <c r="B75" s="652"/>
      <c r="C75" s="653" t="s">
        <v>434</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446</v>
      </c>
      <c r="D78" s="647"/>
      <c r="E78" s="679"/>
      <c r="F78" s="668"/>
    </row>
    <row r="79" spans="1:8">
      <c r="A79" s="669"/>
      <c r="B79" s="652" t="s">
        <v>447</v>
      </c>
      <c r="C79" s="653" t="s">
        <v>448</v>
      </c>
      <c r="D79" s="654" t="s">
        <v>449</v>
      </c>
      <c r="E79" s="655">
        <v>10500</v>
      </c>
      <c r="F79" s="656" t="s">
        <v>236</v>
      </c>
    </row>
    <row r="80" spans="1:8">
      <c r="A80" s="669"/>
      <c r="B80" s="658"/>
      <c r="C80" s="653" t="s">
        <v>450</v>
      </c>
      <c r="D80" s="680"/>
      <c r="E80" s="681"/>
      <c r="F80" s="663"/>
    </row>
    <row r="81" spans="1:6">
      <c r="A81" s="669"/>
      <c r="B81" s="658"/>
      <c r="C81" s="653" t="s">
        <v>451</v>
      </c>
      <c r="D81" s="680"/>
      <c r="E81" s="681"/>
      <c r="F81" s="663"/>
    </row>
    <row r="82" spans="1:6">
      <c r="A82" s="669"/>
      <c r="B82" s="658"/>
      <c r="C82" s="653" t="s">
        <v>452</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453</v>
      </c>
      <c r="C88" s="653" t="s">
        <v>454</v>
      </c>
      <c r="D88" s="654" t="s">
        <v>455</v>
      </c>
      <c r="E88" s="655">
        <v>13370</v>
      </c>
      <c r="F88" s="656" t="s">
        <v>236</v>
      </c>
    </row>
    <row r="89" spans="1:6">
      <c r="A89" s="669"/>
      <c r="B89" s="658"/>
      <c r="C89" s="653" t="s">
        <v>450</v>
      </c>
      <c r="D89" s="680"/>
      <c r="E89" s="681"/>
      <c r="F89" s="663"/>
    </row>
    <row r="90" spans="1:6">
      <c r="A90" s="669"/>
      <c r="B90" s="658"/>
      <c r="C90" s="653" t="s">
        <v>451</v>
      </c>
      <c r="D90" s="680"/>
      <c r="E90" s="681"/>
      <c r="F90" s="663"/>
    </row>
    <row r="91" spans="1:6">
      <c r="A91" s="669"/>
      <c r="B91" s="683"/>
      <c r="C91" s="653" t="s">
        <v>452</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456</v>
      </c>
      <c r="C97" s="653" t="s">
        <v>457</v>
      </c>
      <c r="D97" s="654" t="s">
        <v>458</v>
      </c>
      <c r="E97" s="655">
        <v>14410</v>
      </c>
      <c r="F97" s="656" t="s">
        <v>236</v>
      </c>
    </row>
    <row r="98" spans="1:6">
      <c r="A98" s="651"/>
      <c r="B98" s="658"/>
      <c r="C98" s="653" t="s">
        <v>450</v>
      </c>
      <c r="D98" s="680"/>
      <c r="E98" s="681"/>
      <c r="F98" s="663"/>
    </row>
    <row r="99" spans="1:6">
      <c r="A99" s="651"/>
      <c r="B99" s="658"/>
      <c r="C99" s="653" t="s">
        <v>451</v>
      </c>
      <c r="D99" s="680"/>
      <c r="E99" s="681"/>
      <c r="F99" s="663"/>
    </row>
    <row r="100" spans="1:6">
      <c r="A100" s="651"/>
      <c r="B100" s="658"/>
      <c r="C100" s="653" t="s">
        <v>452</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402</v>
      </c>
      <c r="B113" s="629"/>
      <c r="C113" s="1491" t="s">
        <v>459</v>
      </c>
      <c r="D113" s="1493" t="s">
        <v>460</v>
      </c>
      <c r="E113" s="1497"/>
      <c r="F113" s="1498"/>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461</v>
      </c>
      <c r="B114" s="633"/>
      <c r="C114" s="1492"/>
      <c r="D114" s="1495"/>
      <c r="E114" s="1499"/>
      <c r="F114" s="1500"/>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405</v>
      </c>
      <c r="B115" s="637" t="s">
        <v>406</v>
      </c>
      <c r="C115" s="294" t="s">
        <v>407</v>
      </c>
      <c r="D115" s="638" t="s">
        <v>408</v>
      </c>
      <c r="E115" s="295" t="s">
        <v>409</v>
      </c>
      <c r="F115" s="639" t="s">
        <v>410</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462</v>
      </c>
      <c r="D116" s="647"/>
      <c r="E116" s="679"/>
      <c r="F116" s="668"/>
    </row>
    <row r="117" spans="1:61">
      <c r="A117" s="669"/>
      <c r="B117" s="652" t="s">
        <v>463</v>
      </c>
      <c r="C117" s="653" t="s">
        <v>464</v>
      </c>
      <c r="D117" s="654" t="s">
        <v>465</v>
      </c>
      <c r="E117" s="655">
        <v>8810</v>
      </c>
      <c r="F117" s="656" t="s">
        <v>236</v>
      </c>
    </row>
    <row r="118" spans="1:61">
      <c r="A118" s="687"/>
      <c r="B118" s="652"/>
      <c r="C118" s="653" t="s">
        <v>466</v>
      </c>
      <c r="D118" s="654"/>
      <c r="E118" s="655"/>
      <c r="F118" s="663"/>
    </row>
    <row r="119" spans="1:61">
      <c r="A119" s="687"/>
      <c r="B119" s="652"/>
      <c r="C119" s="653" t="s">
        <v>467</v>
      </c>
      <c r="D119" s="654"/>
      <c r="E119" s="655"/>
      <c r="F119" s="663"/>
    </row>
    <row r="120" spans="1:61">
      <c r="A120" s="687"/>
      <c r="B120" s="652"/>
      <c r="C120" s="653" t="s">
        <v>468</v>
      </c>
      <c r="D120" s="654"/>
      <c r="E120" s="655"/>
      <c r="F120" s="663"/>
    </row>
    <row r="121" spans="1:61">
      <c r="A121" s="687"/>
      <c r="B121" s="652"/>
      <c r="C121" s="653" t="s">
        <v>469</v>
      </c>
      <c r="D121" s="654"/>
      <c r="E121" s="655"/>
      <c r="F121" s="663"/>
    </row>
    <row r="122" spans="1:61">
      <c r="A122" s="687"/>
      <c r="B122" s="652"/>
      <c r="C122" s="688" t="s">
        <v>470</v>
      </c>
      <c r="D122" s="654"/>
      <c r="E122" s="655"/>
      <c r="F122" s="663"/>
    </row>
    <row r="123" spans="1:61">
      <c r="A123" s="687"/>
      <c r="B123" s="652"/>
      <c r="C123" s="688" t="s">
        <v>471</v>
      </c>
      <c r="D123" s="654"/>
      <c r="E123" s="655"/>
      <c r="F123" s="663"/>
    </row>
    <row r="124" spans="1:61">
      <c r="A124" s="687"/>
      <c r="B124" s="652"/>
      <c r="C124" s="688"/>
      <c r="D124" s="672"/>
      <c r="E124" s="655"/>
      <c r="F124" s="663"/>
    </row>
    <row r="125" spans="1:61">
      <c r="A125" s="687"/>
      <c r="B125" s="653" t="s">
        <v>472</v>
      </c>
      <c r="C125" s="653" t="s">
        <v>473</v>
      </c>
      <c r="D125" s="654" t="s">
        <v>465</v>
      </c>
      <c r="E125" s="655">
        <v>11400</v>
      </c>
      <c r="F125" s="1049" t="s">
        <v>236</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474</v>
      </c>
      <c r="C130" s="653" t="s">
        <v>464</v>
      </c>
      <c r="D130" s="654" t="s">
        <v>465</v>
      </c>
      <c r="E130" s="655">
        <v>9910</v>
      </c>
      <c r="F130" s="656" t="s">
        <v>236</v>
      </c>
    </row>
    <row r="131" spans="1:6">
      <c r="A131" s="687"/>
      <c r="B131" s="652"/>
      <c r="C131" s="653" t="s">
        <v>475</v>
      </c>
      <c r="D131" s="654"/>
      <c r="E131" s="655"/>
      <c r="F131" s="663"/>
    </row>
    <row r="132" spans="1:6">
      <c r="A132" s="687"/>
      <c r="B132" s="652"/>
      <c r="C132" s="653" t="s">
        <v>476</v>
      </c>
      <c r="D132" s="654"/>
      <c r="E132" s="655"/>
      <c r="F132" s="663"/>
    </row>
    <row r="133" spans="1:6">
      <c r="A133" s="687"/>
      <c r="B133" s="652"/>
      <c r="C133" s="653" t="s">
        <v>477</v>
      </c>
      <c r="D133" s="654"/>
      <c r="E133" s="655"/>
      <c r="F133" s="663"/>
    </row>
    <row r="134" spans="1:6">
      <c r="A134" s="687"/>
      <c r="B134" s="652"/>
      <c r="C134" s="653" t="s">
        <v>478</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479</v>
      </c>
      <c r="C137" s="653" t="s">
        <v>473</v>
      </c>
      <c r="D137" s="654" t="s">
        <v>465</v>
      </c>
      <c r="E137" s="655">
        <v>12700</v>
      </c>
      <c r="F137" s="656" t="s">
        <v>236</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480</v>
      </c>
      <c r="C141" s="653" t="s">
        <v>464</v>
      </c>
      <c r="D141" s="654" t="s">
        <v>481</v>
      </c>
      <c r="E141" s="655">
        <v>12060</v>
      </c>
      <c r="F141" s="656" t="s">
        <v>236</v>
      </c>
    </row>
    <row r="142" spans="1:6">
      <c r="A142" s="687"/>
      <c r="B142" s="652"/>
      <c r="C142" s="653" t="s">
        <v>482</v>
      </c>
      <c r="D142" s="654"/>
      <c r="E142" s="655"/>
      <c r="F142" s="663"/>
    </row>
    <row r="143" spans="1:6">
      <c r="A143" s="687"/>
      <c r="B143" s="652"/>
      <c r="C143" s="653" t="s">
        <v>476</v>
      </c>
      <c r="D143" s="654"/>
      <c r="E143" s="655"/>
      <c r="F143" s="663"/>
    </row>
    <row r="144" spans="1:6">
      <c r="A144" s="687"/>
      <c r="B144" s="658"/>
      <c r="C144" s="653" t="s">
        <v>483</v>
      </c>
      <c r="D144" s="654"/>
      <c r="E144" s="655"/>
      <c r="F144" s="663"/>
    </row>
    <row r="145" spans="1:6">
      <c r="A145" s="669"/>
      <c r="B145" s="658"/>
      <c r="C145" s="653" t="s">
        <v>484</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485</v>
      </c>
      <c r="C148" s="653" t="s">
        <v>473</v>
      </c>
      <c r="D148" s="654" t="s">
        <v>481</v>
      </c>
      <c r="E148" s="655">
        <v>15820</v>
      </c>
      <c r="F148" s="656" t="s">
        <v>236</v>
      </c>
    </row>
    <row r="149" spans="1:6">
      <c r="A149" s="669"/>
      <c r="B149" s="658"/>
      <c r="C149" s="653"/>
      <c r="D149" s="654"/>
      <c r="E149" s="655"/>
      <c r="F149" s="663"/>
    </row>
    <row r="150" spans="1:6">
      <c r="A150" s="669"/>
      <c r="B150" s="652"/>
      <c r="C150" s="653" t="s">
        <v>116</v>
      </c>
      <c r="D150" s="672"/>
      <c r="E150" s="689"/>
      <c r="F150" s="663"/>
    </row>
    <row r="151" spans="1:6">
      <c r="A151" s="678"/>
      <c r="B151" s="645"/>
      <c r="C151" s="646" t="s">
        <v>486</v>
      </c>
      <c r="D151" s="647"/>
      <c r="E151" s="679"/>
      <c r="F151" s="690"/>
    </row>
    <row r="152" spans="1:6" ht="13" customHeight="1">
      <c r="A152" s="669"/>
      <c r="B152" s="658" t="s">
        <v>487</v>
      </c>
      <c r="C152" s="691" t="s">
        <v>488</v>
      </c>
      <c r="D152" s="692" t="s">
        <v>489</v>
      </c>
      <c r="E152" s="655">
        <v>16380</v>
      </c>
      <c r="F152" s="656" t="s">
        <v>236</v>
      </c>
    </row>
    <row r="153" spans="1:6" ht="28">
      <c r="A153" s="669"/>
      <c r="B153" s="658"/>
      <c r="C153" s="693" t="s">
        <v>490</v>
      </c>
      <c r="D153" s="654"/>
      <c r="E153" s="662"/>
      <c r="F153" s="663"/>
    </row>
    <row r="154" spans="1:6">
      <c r="A154" s="669"/>
      <c r="B154" s="658"/>
      <c r="C154" s="693" t="s">
        <v>491</v>
      </c>
      <c r="D154" s="654"/>
      <c r="E154" s="662"/>
      <c r="F154" s="663"/>
    </row>
    <row r="155" spans="1:6">
      <c r="A155" s="669"/>
      <c r="B155" s="658"/>
      <c r="C155" s="693" t="s">
        <v>492</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c r="A163" s="669"/>
      <c r="B163" s="658" t="s">
        <v>493</v>
      </c>
      <c r="C163" s="693" t="s">
        <v>494</v>
      </c>
      <c r="D163" s="692" t="s">
        <v>489</v>
      </c>
      <c r="E163" s="655">
        <v>16380</v>
      </c>
      <c r="F163" s="656" t="s">
        <v>236</v>
      </c>
    </row>
    <row r="164" spans="1:6">
      <c r="A164" s="669"/>
      <c r="B164" s="658"/>
      <c r="C164" s="693" t="s">
        <v>495</v>
      </c>
      <c r="D164" s="654"/>
      <c r="E164" s="662"/>
      <c r="F164" s="663"/>
    </row>
    <row r="165" spans="1:6">
      <c r="A165" s="669"/>
      <c r="B165" s="658"/>
      <c r="C165" s="693" t="s">
        <v>496</v>
      </c>
      <c r="D165" s="654"/>
      <c r="E165" s="662"/>
      <c r="F165" s="663"/>
    </row>
    <row r="166" spans="1:6">
      <c r="A166" s="669"/>
      <c r="B166" s="658"/>
      <c r="C166" s="693" t="s">
        <v>497</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c r="A172" s="669"/>
      <c r="B172" s="658" t="s">
        <v>498</v>
      </c>
      <c r="C172" s="693" t="s">
        <v>499</v>
      </c>
      <c r="D172" s="692" t="s">
        <v>500</v>
      </c>
      <c r="E172" s="655">
        <v>15580</v>
      </c>
      <c r="F172" s="656" t="s">
        <v>236</v>
      </c>
    </row>
    <row r="173" spans="1:6">
      <c r="A173" s="669"/>
      <c r="B173" s="658"/>
      <c r="C173" s="693" t="s">
        <v>501</v>
      </c>
      <c r="D173" s="654"/>
      <c r="E173" s="662"/>
      <c r="F173" s="663"/>
    </row>
    <row r="174" spans="1:6">
      <c r="A174" s="669"/>
      <c r="B174" s="658"/>
      <c r="C174" s="693" t="s">
        <v>502</v>
      </c>
      <c r="D174" s="654"/>
      <c r="E174" s="662"/>
      <c r="F174" s="663"/>
    </row>
    <row r="175" spans="1:6">
      <c r="A175" s="669"/>
      <c r="B175" s="658"/>
      <c r="C175" s="693" t="s">
        <v>503</v>
      </c>
      <c r="D175" s="654"/>
      <c r="E175" s="662"/>
      <c r="F175" s="663"/>
    </row>
    <row r="176" spans="1:6">
      <c r="A176" s="669"/>
      <c r="B176" s="658"/>
      <c r="C176" s="693" t="s">
        <v>504</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c r="A181" s="669"/>
      <c r="B181" s="658" t="s">
        <v>505</v>
      </c>
      <c r="C181" s="693" t="s">
        <v>494</v>
      </c>
      <c r="D181" s="692" t="s">
        <v>500</v>
      </c>
      <c r="E181" s="655">
        <v>14980</v>
      </c>
      <c r="F181" s="656" t="s">
        <v>236</v>
      </c>
    </row>
    <row r="182" spans="1:6">
      <c r="A182" s="669"/>
      <c r="B182" s="658"/>
      <c r="C182" s="693" t="s">
        <v>506</v>
      </c>
      <c r="D182" s="654"/>
      <c r="E182" s="662"/>
      <c r="F182" s="663"/>
    </row>
    <row r="183" spans="1:6">
      <c r="A183" s="669"/>
      <c r="B183" s="658"/>
      <c r="C183" s="693" t="s">
        <v>507</v>
      </c>
      <c r="D183" s="692"/>
      <c r="E183" s="662"/>
      <c r="F183" s="663"/>
    </row>
    <row r="184" spans="1:6">
      <c r="A184" s="669"/>
      <c r="B184" s="658"/>
      <c r="C184" s="693" t="s">
        <v>508</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3" customHeight="1">
      <c r="A189" s="669"/>
      <c r="B189" s="658" t="s">
        <v>509</v>
      </c>
      <c r="C189" s="693" t="s">
        <v>494</v>
      </c>
      <c r="D189" s="692" t="s">
        <v>510</v>
      </c>
      <c r="E189" s="655">
        <v>10380</v>
      </c>
      <c r="F189" s="656" t="s">
        <v>236</v>
      </c>
    </row>
    <row r="190" spans="1:6">
      <c r="A190" s="669"/>
      <c r="B190" s="658"/>
      <c r="C190" s="693" t="s">
        <v>495</v>
      </c>
      <c r="D190" s="654"/>
      <c r="E190" s="662"/>
      <c r="F190" s="663"/>
    </row>
    <row r="191" spans="1:6">
      <c r="A191" s="669"/>
      <c r="B191" s="658"/>
      <c r="C191" s="693" t="s">
        <v>511</v>
      </c>
      <c r="D191" s="692"/>
      <c r="E191" s="662"/>
      <c r="F191" s="663"/>
    </row>
    <row r="192" spans="1:6">
      <c r="A192" s="669"/>
      <c r="B192" s="658"/>
      <c r="C192" s="693" t="s">
        <v>508</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512</v>
      </c>
      <c r="D196" s="647"/>
      <c r="E196" s="679"/>
      <c r="F196" s="668"/>
    </row>
    <row r="197" spans="1:6">
      <c r="A197" s="695"/>
      <c r="B197" s="658" t="s">
        <v>513</v>
      </c>
      <c r="C197" s="696" t="s">
        <v>514</v>
      </c>
      <c r="D197" s="654" t="s">
        <v>515</v>
      </c>
      <c r="E197" s="655">
        <v>8540</v>
      </c>
      <c r="F197" s="656" t="s">
        <v>236</v>
      </c>
    </row>
    <row r="198" spans="1:6">
      <c r="A198" s="695"/>
      <c r="B198" s="658"/>
      <c r="C198" s="696" t="s">
        <v>516</v>
      </c>
      <c r="D198" s="654"/>
      <c r="E198" s="662"/>
      <c r="F198" s="663"/>
    </row>
    <row r="199" spans="1:6">
      <c r="A199" s="695"/>
      <c r="B199" s="658"/>
      <c r="C199" s="696" t="s">
        <v>517</v>
      </c>
      <c r="D199" s="654"/>
      <c r="E199" s="662"/>
      <c r="F199" s="663"/>
    </row>
    <row r="200" spans="1:6">
      <c r="A200" s="695"/>
      <c r="B200" s="658"/>
      <c r="C200" s="696" t="s">
        <v>518</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c r="A204" s="695"/>
      <c r="B204" s="658" t="s">
        <v>519</v>
      </c>
      <c r="C204" s="696" t="s">
        <v>520</v>
      </c>
      <c r="D204" s="654" t="s">
        <v>515</v>
      </c>
      <c r="E204" s="655">
        <v>7420</v>
      </c>
      <c r="F204" s="656" t="s">
        <v>236</v>
      </c>
    </row>
    <row r="205" spans="1:6">
      <c r="A205" s="695"/>
      <c r="B205" s="658"/>
      <c r="C205" s="696" t="s">
        <v>521</v>
      </c>
      <c r="D205" s="654"/>
      <c r="E205" s="662"/>
      <c r="F205" s="663"/>
    </row>
    <row r="206" spans="1:6">
      <c r="A206" s="695"/>
      <c r="B206" s="658"/>
      <c r="C206" s="696" t="s">
        <v>522</v>
      </c>
      <c r="D206" s="654"/>
      <c r="E206" s="662"/>
      <c r="F206" s="663"/>
    </row>
    <row r="207" spans="1:6">
      <c r="A207" s="695"/>
      <c r="B207" s="658"/>
      <c r="C207" s="696" t="s">
        <v>508</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c r="A212" s="695"/>
      <c r="B212" s="658" t="s">
        <v>523</v>
      </c>
      <c r="C212" s="696" t="s">
        <v>524</v>
      </c>
      <c r="D212" s="654" t="s">
        <v>515</v>
      </c>
      <c r="E212" s="655">
        <v>6010</v>
      </c>
      <c r="F212" s="656" t="s">
        <v>236</v>
      </c>
    </row>
    <row r="213" spans="1:61">
      <c r="A213" s="695"/>
      <c r="B213" s="658"/>
      <c r="C213" s="696" t="s">
        <v>525</v>
      </c>
      <c r="D213" s="654"/>
      <c r="E213" s="662"/>
      <c r="F213" s="663"/>
    </row>
    <row r="214" spans="1:61">
      <c r="A214" s="695"/>
      <c r="B214" s="658"/>
      <c r="C214" s="696" t="s">
        <v>526</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402</v>
      </c>
      <c r="B220" s="629"/>
      <c r="C220" s="1491" t="s">
        <v>527</v>
      </c>
      <c r="D220" s="1493" t="s">
        <v>460</v>
      </c>
      <c r="E220" s="1497">
        <v>43252</v>
      </c>
      <c r="F220" s="1498"/>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461</v>
      </c>
      <c r="B221" s="633"/>
      <c r="C221" s="1492"/>
      <c r="D221" s="1495"/>
      <c r="E221" s="1499"/>
      <c r="F221" s="1500"/>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405</v>
      </c>
      <c r="B222" s="637" t="s">
        <v>406</v>
      </c>
      <c r="C222" s="294" t="s">
        <v>407</v>
      </c>
      <c r="D222" s="638" t="s">
        <v>408</v>
      </c>
      <c r="E222" s="295" t="s">
        <v>409</v>
      </c>
      <c r="F222" s="639" t="s">
        <v>410</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528</v>
      </c>
      <c r="D223" s="647"/>
      <c r="E223" s="679"/>
      <c r="F223" s="668"/>
    </row>
    <row r="224" spans="1:61">
      <c r="A224" s="697"/>
      <c r="B224" s="698" t="s">
        <v>529</v>
      </c>
      <c r="C224" s="699" t="s">
        <v>530</v>
      </c>
      <c r="D224" s="700" t="s">
        <v>531</v>
      </c>
      <c r="E224" s="655">
        <v>1980</v>
      </c>
      <c r="F224" s="656" t="s">
        <v>236</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c r="A225" s="697"/>
      <c r="B225" s="698" t="s">
        <v>532</v>
      </c>
      <c r="C225" s="699" t="s">
        <v>533</v>
      </c>
      <c r="D225" s="702" t="s">
        <v>531</v>
      </c>
      <c r="E225" s="655">
        <v>1980</v>
      </c>
      <c r="F225" s="656" t="s">
        <v>236</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534</v>
      </c>
      <c r="C226" s="703" t="s">
        <v>535</v>
      </c>
      <c r="D226" s="702" t="s">
        <v>531</v>
      </c>
      <c r="E226" s="655">
        <v>1980</v>
      </c>
      <c r="F226" s="656" t="s">
        <v>236</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536</v>
      </c>
      <c r="C227" s="703"/>
      <c r="D227" s="702" t="s">
        <v>531</v>
      </c>
      <c r="E227" s="655">
        <v>1980</v>
      </c>
      <c r="F227" s="656" t="s">
        <v>236</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537</v>
      </c>
      <c r="C228" s="703"/>
      <c r="D228" s="702" t="s">
        <v>531</v>
      </c>
      <c r="E228" s="655">
        <v>1980</v>
      </c>
      <c r="F228" s="656" t="s">
        <v>236</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538</v>
      </c>
      <c r="C229" s="703"/>
      <c r="D229" s="702" t="s">
        <v>531</v>
      </c>
      <c r="E229" s="655">
        <v>1980</v>
      </c>
      <c r="F229" s="656" t="s">
        <v>236</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539</v>
      </c>
      <c r="C230" s="704"/>
      <c r="D230" s="705" t="s">
        <v>531</v>
      </c>
      <c r="E230" s="655">
        <v>1980</v>
      </c>
      <c r="F230" s="656" t="s">
        <v>236</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540</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541</v>
      </c>
      <c r="D244" s="734"/>
      <c r="E244" s="735"/>
      <c r="F244" s="736"/>
    </row>
    <row r="245" spans="1:6">
      <c r="A245" s="695"/>
      <c r="B245" s="652" t="s">
        <v>542</v>
      </c>
      <c r="C245" s="653" t="s">
        <v>543</v>
      </c>
      <c r="D245" s="723" t="s">
        <v>449</v>
      </c>
      <c r="E245" s="655">
        <v>8700</v>
      </c>
      <c r="F245" s="656" t="s">
        <v>236</v>
      </c>
    </row>
    <row r="246" spans="1:6">
      <c r="A246" s="695"/>
      <c r="B246" s="658"/>
      <c r="C246" s="653" t="s">
        <v>544</v>
      </c>
      <c r="D246" s="723"/>
      <c r="E246" s="662"/>
      <c r="F246" s="663"/>
    </row>
    <row r="247" spans="1:6">
      <c r="A247" s="695"/>
      <c r="B247" s="658"/>
      <c r="C247" s="653" t="s">
        <v>545</v>
      </c>
      <c r="D247" s="723"/>
      <c r="E247" s="662"/>
      <c r="F247" s="663"/>
    </row>
    <row r="248" spans="1:6">
      <c r="A248" s="695"/>
      <c r="B248" s="658"/>
      <c r="C248" s="653" t="s">
        <v>546</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547</v>
      </c>
      <c r="C253" s="653" t="s">
        <v>543</v>
      </c>
      <c r="D253" s="723" t="s">
        <v>548</v>
      </c>
      <c r="E253" s="655">
        <v>9030</v>
      </c>
      <c r="F253" s="656" t="s">
        <v>236</v>
      </c>
    </row>
    <row r="254" spans="1:6">
      <c r="A254" s="695"/>
      <c r="B254" s="658"/>
      <c r="C254" s="653" t="s">
        <v>544</v>
      </c>
      <c r="D254" s="723"/>
      <c r="E254" s="662"/>
      <c r="F254" s="663"/>
    </row>
    <row r="255" spans="1:6">
      <c r="A255" s="695"/>
      <c r="B255" s="658"/>
      <c r="C255" s="653" t="s">
        <v>545</v>
      </c>
      <c r="D255" s="723"/>
      <c r="E255" s="662"/>
      <c r="F255" s="663"/>
    </row>
    <row r="256" spans="1:6">
      <c r="A256" s="695"/>
      <c r="B256" s="658"/>
      <c r="C256" s="653" t="s">
        <v>546</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549</v>
      </c>
      <c r="C261" s="653" t="s">
        <v>543</v>
      </c>
      <c r="D261" s="723" t="s">
        <v>550</v>
      </c>
      <c r="E261" s="655">
        <v>10120</v>
      </c>
      <c r="F261" s="656" t="s">
        <v>236</v>
      </c>
    </row>
    <row r="262" spans="1:6">
      <c r="A262" s="695"/>
      <c r="B262" s="658"/>
      <c r="C262" s="653" t="s">
        <v>544</v>
      </c>
      <c r="D262" s="723"/>
      <c r="E262" s="662"/>
      <c r="F262" s="663"/>
    </row>
    <row r="263" spans="1:6">
      <c r="A263" s="695"/>
      <c r="B263" s="658"/>
      <c r="C263" s="653" t="s">
        <v>545</v>
      </c>
      <c r="D263" s="723"/>
      <c r="E263" s="662"/>
      <c r="F263" s="663"/>
    </row>
    <row r="264" spans="1:6">
      <c r="A264" s="695"/>
      <c r="B264" s="658"/>
      <c r="C264" s="653" t="s">
        <v>546</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551</v>
      </c>
      <c r="C269" s="653" t="s">
        <v>543</v>
      </c>
      <c r="D269" s="723" t="s">
        <v>552</v>
      </c>
      <c r="E269" s="655">
        <v>11220</v>
      </c>
      <c r="F269" s="656" t="s">
        <v>236</v>
      </c>
    </row>
    <row r="270" spans="1:6">
      <c r="A270" s="651"/>
      <c r="B270" s="658"/>
      <c r="C270" s="653" t="s">
        <v>544</v>
      </c>
      <c r="D270" s="720"/>
      <c r="E270" s="681"/>
      <c r="F270" s="663"/>
    </row>
    <row r="271" spans="1:6">
      <c r="A271" s="651"/>
      <c r="B271" s="658"/>
      <c r="C271" s="653" t="s">
        <v>545</v>
      </c>
      <c r="D271" s="720"/>
      <c r="E271" s="681"/>
      <c r="F271" s="663"/>
    </row>
    <row r="272" spans="1:6">
      <c r="A272" s="651"/>
      <c r="B272" s="658"/>
      <c r="C272" s="653" t="s">
        <v>546</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553</v>
      </c>
      <c r="C281" s="653" t="s">
        <v>554</v>
      </c>
      <c r="D281" s="723" t="s">
        <v>555</v>
      </c>
      <c r="E281" s="655">
        <v>15000</v>
      </c>
      <c r="F281" s="656" t="s">
        <v>236</v>
      </c>
    </row>
    <row r="282" spans="1:6">
      <c r="A282" s="651"/>
      <c r="B282" s="658"/>
      <c r="C282" s="653" t="s">
        <v>544</v>
      </c>
      <c r="D282" s="720"/>
      <c r="E282" s="681"/>
      <c r="F282" s="663"/>
    </row>
    <row r="283" spans="1:6">
      <c r="A283" s="651"/>
      <c r="B283" s="658"/>
      <c r="C283" s="653" t="s">
        <v>545</v>
      </c>
      <c r="D283" s="723"/>
      <c r="E283" s="662"/>
      <c r="F283" s="663"/>
    </row>
    <row r="284" spans="1:6">
      <c r="A284" s="651"/>
      <c r="B284" s="658"/>
      <c r="C284" s="653" t="s">
        <v>556</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557</v>
      </c>
      <c r="C290" s="653" t="s">
        <v>558</v>
      </c>
      <c r="D290" s="723" t="s">
        <v>559</v>
      </c>
      <c r="E290" s="655">
        <v>18200</v>
      </c>
      <c r="F290" s="656" t="s">
        <v>236</v>
      </c>
    </row>
    <row r="291" spans="1:6">
      <c r="A291" s="651"/>
      <c r="B291" s="658"/>
      <c r="C291" s="653" t="s">
        <v>544</v>
      </c>
      <c r="D291" s="723"/>
      <c r="E291" s="662"/>
      <c r="F291" s="663"/>
    </row>
    <row r="292" spans="1:6">
      <c r="A292" s="651"/>
      <c r="B292" s="658"/>
      <c r="C292" s="653" t="s">
        <v>545</v>
      </c>
      <c r="D292" s="723"/>
      <c r="E292" s="662"/>
      <c r="F292" s="663"/>
    </row>
    <row r="293" spans="1:6">
      <c r="A293" s="651"/>
      <c r="B293" s="658"/>
      <c r="C293" s="653" t="s">
        <v>556</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560</v>
      </c>
      <c r="C299" s="653" t="s">
        <v>561</v>
      </c>
      <c r="D299" s="723" t="s">
        <v>562</v>
      </c>
      <c r="E299" s="655">
        <v>21380</v>
      </c>
      <c r="F299" s="656" t="s">
        <v>236</v>
      </c>
    </row>
    <row r="300" spans="1:6">
      <c r="A300" s="651"/>
      <c r="B300" s="658"/>
      <c r="C300" s="653" t="s">
        <v>544</v>
      </c>
      <c r="D300" s="723"/>
      <c r="E300" s="662"/>
      <c r="F300" s="663"/>
    </row>
    <row r="301" spans="1:6">
      <c r="A301" s="651"/>
      <c r="B301" s="658"/>
      <c r="C301" s="653" t="s">
        <v>545</v>
      </c>
      <c r="D301" s="723"/>
      <c r="E301" s="662"/>
      <c r="F301" s="663"/>
    </row>
    <row r="302" spans="1:6">
      <c r="A302" s="651"/>
      <c r="B302" s="658"/>
      <c r="C302" s="653" t="s">
        <v>563</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564</v>
      </c>
      <c r="C307" s="653" t="s">
        <v>565</v>
      </c>
      <c r="D307" s="723" t="s">
        <v>562</v>
      </c>
      <c r="E307" s="655">
        <v>20840</v>
      </c>
      <c r="F307" s="656" t="s">
        <v>236</v>
      </c>
    </row>
    <row r="308" spans="1:6">
      <c r="A308" s="651"/>
      <c r="B308" s="658"/>
      <c r="C308" s="653" t="s">
        <v>566</v>
      </c>
      <c r="D308" s="723"/>
      <c r="E308" s="662"/>
      <c r="F308" s="663"/>
    </row>
    <row r="309" spans="1:6">
      <c r="A309" s="651"/>
      <c r="B309" s="658"/>
      <c r="C309" s="653" t="s">
        <v>567</v>
      </c>
      <c r="D309" s="723"/>
      <c r="E309" s="662"/>
      <c r="F309" s="663"/>
    </row>
    <row r="310" spans="1:6">
      <c r="A310" s="651"/>
      <c r="B310" s="658"/>
      <c r="C310" s="653" t="s">
        <v>568</v>
      </c>
      <c r="D310" s="723"/>
      <c r="E310" s="662"/>
      <c r="F310" s="663"/>
    </row>
    <row r="311" spans="1:6">
      <c r="A311" s="651"/>
      <c r="B311" s="658"/>
      <c r="C311" s="653" t="s">
        <v>569</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570</v>
      </c>
      <c r="D316" s="647"/>
      <c r="E316" s="737"/>
      <c r="F316" s="668"/>
    </row>
    <row r="317" spans="1:6">
      <c r="A317" s="651"/>
      <c r="B317" s="652" t="s">
        <v>571</v>
      </c>
      <c r="C317" s="653" t="s">
        <v>572</v>
      </c>
      <c r="D317" s="723" t="s">
        <v>552</v>
      </c>
      <c r="E317" s="655">
        <v>8440</v>
      </c>
      <c r="F317" s="656" t="s">
        <v>236</v>
      </c>
    </row>
    <row r="318" spans="1:6">
      <c r="A318" s="651"/>
      <c r="B318" s="658"/>
      <c r="C318" s="653" t="s">
        <v>573</v>
      </c>
      <c r="D318" s="723"/>
      <c r="E318" s="662"/>
      <c r="F318" s="663"/>
    </row>
    <row r="319" spans="1:6">
      <c r="A319" s="651"/>
      <c r="B319" s="658"/>
      <c r="C319" s="653" t="s">
        <v>574</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575</v>
      </c>
      <c r="C326" s="653" t="s">
        <v>576</v>
      </c>
      <c r="D326" s="738" t="s">
        <v>559</v>
      </c>
      <c r="E326" s="655">
        <v>14830</v>
      </c>
      <c r="F326" s="656" t="s">
        <v>236</v>
      </c>
    </row>
    <row r="327" spans="1:6">
      <c r="A327" s="687"/>
      <c r="B327" s="652"/>
      <c r="C327" s="653" t="s">
        <v>577</v>
      </c>
      <c r="D327" s="723"/>
      <c r="E327" s="662"/>
      <c r="F327" s="663"/>
    </row>
    <row r="328" spans="1:6">
      <c r="A328" s="669"/>
      <c r="B328" s="658"/>
      <c r="C328" s="653" t="s">
        <v>578</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579</v>
      </c>
      <c r="C335" s="653" t="s">
        <v>580</v>
      </c>
      <c r="D335" s="738" t="s">
        <v>562</v>
      </c>
      <c r="E335" s="655">
        <v>16480</v>
      </c>
      <c r="F335" s="656" t="s">
        <v>236</v>
      </c>
    </row>
    <row r="336" spans="1:6">
      <c r="A336" s="669"/>
      <c r="B336" s="652"/>
      <c r="C336" s="653" t="s">
        <v>577</v>
      </c>
      <c r="D336" s="723"/>
      <c r="E336" s="662"/>
      <c r="F336" s="663"/>
    </row>
    <row r="337" spans="1:61">
      <c r="A337" s="669"/>
      <c r="B337" s="652"/>
      <c r="C337" s="653" t="s">
        <v>578</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402</v>
      </c>
      <c r="B342" s="629"/>
      <c r="C342" s="1491" t="s">
        <v>581</v>
      </c>
      <c r="D342" s="1493" t="s">
        <v>460</v>
      </c>
      <c r="E342" s="1497">
        <v>43252</v>
      </c>
      <c r="F342" s="1498"/>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461</v>
      </c>
      <c r="B343" s="633"/>
      <c r="C343" s="1492"/>
      <c r="D343" s="1495"/>
      <c r="E343" s="1499"/>
      <c r="F343" s="1500"/>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405</v>
      </c>
      <c r="B344" s="637" t="s">
        <v>406</v>
      </c>
      <c r="C344" s="294" t="s">
        <v>407</v>
      </c>
      <c r="D344" s="638" t="s">
        <v>408</v>
      </c>
      <c r="E344" s="295" t="s">
        <v>409</v>
      </c>
      <c r="F344" s="639" t="s">
        <v>410</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582</v>
      </c>
      <c r="D345" s="647"/>
      <c r="E345" s="737"/>
      <c r="F345" s="668"/>
    </row>
    <row r="346" spans="1:61">
      <c r="A346" s="669"/>
      <c r="B346" s="652" t="s">
        <v>583</v>
      </c>
      <c r="C346" s="653" t="s">
        <v>584</v>
      </c>
      <c r="D346" s="738" t="s">
        <v>585</v>
      </c>
      <c r="E346" s="655">
        <v>6290</v>
      </c>
      <c r="F346" s="656" t="s">
        <v>236</v>
      </c>
    </row>
    <row r="347" spans="1:61">
      <c r="A347" s="669"/>
      <c r="B347" s="658"/>
      <c r="C347" s="653" t="s">
        <v>586</v>
      </c>
      <c r="D347" s="738"/>
      <c r="E347" s="662"/>
      <c r="F347" s="663"/>
    </row>
    <row r="348" spans="1:61">
      <c r="A348" s="669"/>
      <c r="B348" s="658"/>
      <c r="C348" s="653" t="s">
        <v>587</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588</v>
      </c>
      <c r="C356" s="653" t="s">
        <v>589</v>
      </c>
      <c r="D356" s="723" t="s">
        <v>590</v>
      </c>
      <c r="E356" s="655">
        <v>7070</v>
      </c>
      <c r="F356" s="656" t="s">
        <v>236</v>
      </c>
    </row>
    <row r="357" spans="1:6">
      <c r="A357" s="669"/>
      <c r="B357" s="652"/>
      <c r="C357" s="653" t="s">
        <v>586</v>
      </c>
      <c r="D357" s="723"/>
      <c r="E357" s="662"/>
      <c r="F357" s="663"/>
    </row>
    <row r="358" spans="1:6">
      <c r="A358" s="669"/>
      <c r="B358" s="652"/>
      <c r="C358" s="653" t="s">
        <v>591</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592</v>
      </c>
      <c r="C364" s="653" t="s">
        <v>589</v>
      </c>
      <c r="D364" s="723" t="s">
        <v>593</v>
      </c>
      <c r="E364" s="655">
        <v>9270</v>
      </c>
      <c r="F364" s="656" t="s">
        <v>236</v>
      </c>
    </row>
    <row r="365" spans="1:6">
      <c r="A365" s="669"/>
      <c r="B365" s="652"/>
      <c r="C365" s="653" t="s">
        <v>586</v>
      </c>
      <c r="D365" s="723"/>
      <c r="E365" s="662"/>
      <c r="F365" s="663"/>
    </row>
    <row r="366" spans="1:6">
      <c r="A366" s="669"/>
      <c r="B366" s="652"/>
      <c r="C366" s="653" t="s">
        <v>591</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594</v>
      </c>
      <c r="C373" s="653" t="s">
        <v>595</v>
      </c>
      <c r="D373" s="723" t="s">
        <v>596</v>
      </c>
      <c r="E373" s="655">
        <v>11720</v>
      </c>
      <c r="F373" s="656" t="s">
        <v>236</v>
      </c>
    </row>
    <row r="374" spans="1:6">
      <c r="A374" s="669"/>
      <c r="B374" s="652"/>
      <c r="C374" s="653" t="s">
        <v>586</v>
      </c>
      <c r="D374" s="723"/>
      <c r="E374" s="662"/>
      <c r="F374" s="663"/>
    </row>
    <row r="375" spans="1:6">
      <c r="A375" s="669"/>
      <c r="B375" s="652"/>
      <c r="C375" s="653" t="s">
        <v>591</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597</v>
      </c>
      <c r="C385" s="653" t="s">
        <v>598</v>
      </c>
      <c r="D385" s="723" t="s">
        <v>599</v>
      </c>
      <c r="E385" s="655">
        <v>15610</v>
      </c>
      <c r="F385" s="656" t="s">
        <v>236</v>
      </c>
    </row>
    <row r="386" spans="1:6">
      <c r="A386" s="669"/>
      <c r="B386" s="652"/>
      <c r="C386" s="653" t="s">
        <v>586</v>
      </c>
      <c r="D386" s="723"/>
      <c r="E386" s="662"/>
      <c r="F386" s="663"/>
    </row>
    <row r="387" spans="1:6">
      <c r="A387" s="669"/>
      <c r="B387" s="652"/>
      <c r="C387" s="653" t="s">
        <v>591</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600</v>
      </c>
      <c r="D399" s="647"/>
      <c r="E399" s="737"/>
      <c r="F399" s="668"/>
    </row>
    <row r="400" spans="1:6">
      <c r="A400" s="669"/>
      <c r="B400" s="652" t="s">
        <v>601</v>
      </c>
      <c r="C400" s="653" t="s">
        <v>602</v>
      </c>
      <c r="D400" s="672" t="s">
        <v>590</v>
      </c>
      <c r="E400" s="655">
        <v>9780</v>
      </c>
      <c r="F400" s="656" t="s">
        <v>236</v>
      </c>
    </row>
    <row r="401" spans="1:6">
      <c r="A401" s="669"/>
      <c r="B401" s="652"/>
      <c r="C401" s="653" t="s">
        <v>603</v>
      </c>
      <c r="D401" s="672"/>
      <c r="E401" s="689"/>
      <c r="F401" s="663"/>
    </row>
    <row r="402" spans="1:6">
      <c r="A402" s="669"/>
      <c r="B402" s="652"/>
      <c r="C402" s="653" t="s">
        <v>421</v>
      </c>
      <c r="D402" s="672"/>
      <c r="E402" s="689"/>
      <c r="F402" s="663"/>
    </row>
    <row r="403" spans="1:6">
      <c r="A403" s="669"/>
      <c r="B403" s="652"/>
      <c r="C403" s="653" t="s">
        <v>604</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605</v>
      </c>
      <c r="C408" s="653" t="s">
        <v>606</v>
      </c>
      <c r="D408" s="672" t="s">
        <v>593</v>
      </c>
      <c r="E408" s="655">
        <v>11000</v>
      </c>
      <c r="F408" s="656" t="s">
        <v>236</v>
      </c>
    </row>
    <row r="409" spans="1:6">
      <c r="A409" s="669"/>
      <c r="B409" s="652"/>
      <c r="C409" s="653" t="s">
        <v>603</v>
      </c>
      <c r="D409" s="672"/>
      <c r="E409" s="689"/>
      <c r="F409" s="663"/>
    </row>
    <row r="410" spans="1:6">
      <c r="A410" s="669"/>
      <c r="B410" s="652"/>
      <c r="C410" s="653" t="s">
        <v>421</v>
      </c>
      <c r="D410" s="672"/>
      <c r="E410" s="689"/>
      <c r="F410" s="663"/>
    </row>
    <row r="411" spans="1:6">
      <c r="A411" s="669"/>
      <c r="B411" s="652"/>
      <c r="C411" s="653" t="s">
        <v>604</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607</v>
      </c>
      <c r="C416" s="653" t="s">
        <v>608</v>
      </c>
      <c r="D416" s="672" t="s">
        <v>596</v>
      </c>
      <c r="E416" s="655">
        <v>17850</v>
      </c>
      <c r="F416" s="656" t="s">
        <v>236</v>
      </c>
    </row>
    <row r="417" spans="1:6">
      <c r="A417" s="669"/>
      <c r="B417" s="652"/>
      <c r="C417" s="653" t="s">
        <v>603</v>
      </c>
      <c r="D417" s="672"/>
      <c r="E417" s="689"/>
      <c r="F417" s="663"/>
    </row>
    <row r="418" spans="1:6">
      <c r="A418" s="669"/>
      <c r="B418" s="652"/>
      <c r="C418" s="653" t="s">
        <v>421</v>
      </c>
      <c r="D418" s="672"/>
      <c r="E418" s="689"/>
      <c r="F418" s="663"/>
    </row>
    <row r="419" spans="1:6">
      <c r="A419" s="669"/>
      <c r="B419" s="652"/>
      <c r="C419" s="653" t="s">
        <v>604</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609</v>
      </c>
      <c r="C428" s="653" t="s">
        <v>610</v>
      </c>
      <c r="D428" s="672" t="s">
        <v>599</v>
      </c>
      <c r="E428" s="655">
        <v>18370</v>
      </c>
      <c r="F428" s="656" t="s">
        <v>236</v>
      </c>
    </row>
    <row r="429" spans="1:6">
      <c r="A429" s="669"/>
      <c r="B429" s="652"/>
      <c r="C429" s="653" t="s">
        <v>603</v>
      </c>
      <c r="D429" s="672"/>
      <c r="E429" s="689"/>
      <c r="F429" s="663"/>
    </row>
    <row r="430" spans="1:6">
      <c r="A430" s="669"/>
      <c r="B430" s="652"/>
      <c r="C430" s="653" t="s">
        <v>421</v>
      </c>
      <c r="D430" s="672"/>
      <c r="E430" s="689"/>
      <c r="F430" s="663"/>
    </row>
    <row r="431" spans="1:6">
      <c r="A431" s="669"/>
      <c r="B431" s="652"/>
      <c r="C431" s="653" t="s">
        <v>604</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611</v>
      </c>
      <c r="C441" s="653" t="s">
        <v>612</v>
      </c>
      <c r="D441" s="672" t="s">
        <v>599</v>
      </c>
      <c r="E441" s="655">
        <v>17934</v>
      </c>
      <c r="F441" s="656" t="s">
        <v>236</v>
      </c>
    </row>
    <row r="442" spans="1:6">
      <c r="A442" s="669"/>
      <c r="B442" s="652"/>
      <c r="C442" s="653" t="s">
        <v>613</v>
      </c>
      <c r="D442" s="672"/>
      <c r="E442" s="689"/>
      <c r="F442" s="663"/>
    </row>
    <row r="443" spans="1:6">
      <c r="A443" s="669"/>
      <c r="B443" s="652"/>
      <c r="C443" s="653" t="s">
        <v>614</v>
      </c>
      <c r="D443" s="672"/>
      <c r="E443" s="689"/>
      <c r="F443" s="663"/>
    </row>
    <row r="444" spans="1:6">
      <c r="A444" s="669"/>
      <c r="B444" s="652"/>
      <c r="C444" s="653" t="s">
        <v>615</v>
      </c>
      <c r="D444" s="672"/>
      <c r="E444" s="689"/>
      <c r="F444" s="663"/>
    </row>
    <row r="445" spans="1:6">
      <c r="A445" s="669"/>
      <c r="B445" s="652"/>
      <c r="C445" s="653" t="s">
        <v>616</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617</v>
      </c>
      <c r="C453" s="653" t="s">
        <v>618</v>
      </c>
      <c r="D453" s="672" t="s">
        <v>599</v>
      </c>
      <c r="E453" s="655">
        <v>19390</v>
      </c>
      <c r="F453" s="656" t="s">
        <v>236</v>
      </c>
    </row>
    <row r="454" spans="1:6">
      <c r="A454" s="669"/>
      <c r="B454" s="652"/>
      <c r="C454" s="653" t="s">
        <v>619</v>
      </c>
      <c r="D454" s="672"/>
      <c r="E454" s="689"/>
      <c r="F454" s="663"/>
    </row>
    <row r="455" spans="1:6">
      <c r="A455" s="669"/>
      <c r="B455" s="652"/>
      <c r="C455" s="653" t="s">
        <v>620</v>
      </c>
      <c r="D455" s="672"/>
      <c r="E455" s="689"/>
      <c r="F455" s="663"/>
    </row>
    <row r="456" spans="1:6">
      <c r="A456" s="669"/>
      <c r="B456" s="652"/>
      <c r="C456" s="653" t="s">
        <v>621</v>
      </c>
      <c r="D456" s="672"/>
      <c r="E456" s="689"/>
      <c r="F456" s="663"/>
    </row>
    <row r="457" spans="1:6">
      <c r="A457" s="669"/>
      <c r="B457" s="652"/>
      <c r="C457" s="653" t="s">
        <v>622</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623</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624</v>
      </c>
      <c r="D480" s="734"/>
      <c r="E480" s="735"/>
      <c r="F480" s="736"/>
    </row>
    <row r="481" spans="1:6">
      <c r="A481" s="669"/>
      <c r="B481" s="658" t="s">
        <v>625</v>
      </c>
      <c r="C481" s="719" t="s">
        <v>626</v>
      </c>
      <c r="D481" s="654" t="s">
        <v>627</v>
      </c>
      <c r="E481" s="655">
        <v>13900</v>
      </c>
      <c r="F481" s="656" t="s">
        <v>236</v>
      </c>
    </row>
    <row r="482" spans="1:6">
      <c r="A482" s="669"/>
      <c r="B482" s="658"/>
      <c r="C482" s="719" t="s">
        <v>628</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629</v>
      </c>
      <c r="C493" s="719" t="s">
        <v>626</v>
      </c>
      <c r="D493" s="654" t="s">
        <v>630</v>
      </c>
      <c r="E493" s="655">
        <v>8080</v>
      </c>
      <c r="F493" s="656" t="s">
        <v>236</v>
      </c>
    </row>
    <row r="494" spans="1:6">
      <c r="A494" s="669"/>
      <c r="B494" s="749"/>
      <c r="C494" s="719" t="s">
        <v>628</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631</v>
      </c>
      <c r="C503" s="719" t="s">
        <v>626</v>
      </c>
      <c r="D503" s="654" t="s">
        <v>632</v>
      </c>
      <c r="E503" s="655">
        <v>8270</v>
      </c>
      <c r="F503" s="656" t="s">
        <v>236</v>
      </c>
    </row>
    <row r="504" spans="1:6">
      <c r="A504" s="669"/>
      <c r="B504" s="658"/>
      <c r="C504" s="719" t="s">
        <v>628</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402</v>
      </c>
      <c r="B518" s="629"/>
      <c r="C518" s="1491" t="s">
        <v>633</v>
      </c>
      <c r="D518" s="1493"/>
      <c r="E518" s="1497"/>
      <c r="F518" s="1498"/>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461</v>
      </c>
      <c r="B519" s="633"/>
      <c r="C519" s="1492"/>
      <c r="D519" s="1495"/>
      <c r="E519" s="1499"/>
      <c r="F519" s="1500"/>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405</v>
      </c>
      <c r="B520" s="637" t="s">
        <v>406</v>
      </c>
      <c r="C520" s="294" t="s">
        <v>407</v>
      </c>
      <c r="D520" s="638" t="s">
        <v>408</v>
      </c>
      <c r="E520" s="295" t="s">
        <v>409</v>
      </c>
      <c r="F520" s="639" t="s">
        <v>410</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634</v>
      </c>
      <c r="D521" s="647"/>
      <c r="E521" s="679"/>
      <c r="F521" s="668"/>
    </row>
    <row r="522" spans="1:61">
      <c r="A522" s="651"/>
      <c r="B522" s="658" t="s">
        <v>635</v>
      </c>
      <c r="C522" s="682" t="s">
        <v>636</v>
      </c>
      <c r="D522" s="723" t="s">
        <v>637</v>
      </c>
      <c r="E522" s="655">
        <v>16990</v>
      </c>
      <c r="F522" s="656" t="s">
        <v>236</v>
      </c>
    </row>
    <row r="523" spans="1:61">
      <c r="A523" s="651"/>
      <c r="B523" s="753"/>
      <c r="C523" s="682" t="s">
        <v>638</v>
      </c>
      <c r="D523" s="754"/>
      <c r="E523" s="755"/>
      <c r="F523" s="663"/>
    </row>
    <row r="524" spans="1:61">
      <c r="A524" s="651"/>
      <c r="B524" s="753"/>
      <c r="C524" s="682" t="s">
        <v>639</v>
      </c>
      <c r="D524" s="754"/>
      <c r="E524" s="755"/>
      <c r="F524" s="663"/>
    </row>
    <row r="525" spans="1:61">
      <c r="A525" s="651"/>
      <c r="B525" s="753"/>
      <c r="C525" s="756" t="s">
        <v>640</v>
      </c>
      <c r="D525" s="754"/>
      <c r="E525" s="755"/>
      <c r="F525" s="663"/>
    </row>
    <row r="526" spans="1:61">
      <c r="A526" s="651"/>
      <c r="B526" s="753"/>
      <c r="C526" s="682"/>
      <c r="D526" s="754"/>
      <c r="E526" s="755"/>
      <c r="F526" s="663"/>
    </row>
    <row r="527" spans="1:61">
      <c r="A527" s="757"/>
      <c r="B527" s="658" t="s">
        <v>641</v>
      </c>
      <c r="C527" s="682" t="s">
        <v>642</v>
      </c>
      <c r="D527" s="723" t="s">
        <v>643</v>
      </c>
      <c r="E527" s="655">
        <v>27630</v>
      </c>
      <c r="F527" s="656" t="s">
        <v>236</v>
      </c>
    </row>
    <row r="528" spans="1:61">
      <c r="A528" s="651"/>
      <c r="B528" s="658"/>
      <c r="C528" s="682" t="s">
        <v>638</v>
      </c>
      <c r="D528" s="723"/>
      <c r="E528" s="662"/>
      <c r="F528" s="663"/>
    </row>
    <row r="529" spans="1:6">
      <c r="A529" s="651"/>
      <c r="B529" s="658"/>
      <c r="C529" s="682" t="s">
        <v>639</v>
      </c>
      <c r="D529" s="723"/>
      <c r="E529" s="662"/>
      <c r="F529" s="663"/>
    </row>
    <row r="530" spans="1:6">
      <c r="A530" s="651"/>
      <c r="B530" s="658"/>
      <c r="C530" s="682" t="s">
        <v>640</v>
      </c>
      <c r="D530" s="723"/>
      <c r="E530" s="662"/>
      <c r="F530" s="663"/>
    </row>
    <row r="531" spans="1:6">
      <c r="A531" s="651"/>
      <c r="B531" s="753"/>
      <c r="C531" s="682"/>
      <c r="D531" s="723"/>
      <c r="E531" s="662"/>
      <c r="F531" s="663"/>
    </row>
    <row r="532" spans="1:6">
      <c r="A532" s="651"/>
      <c r="B532" s="658" t="s">
        <v>644</v>
      </c>
      <c r="C532" s="682" t="s">
        <v>645</v>
      </c>
      <c r="D532" s="723" t="s">
        <v>646</v>
      </c>
      <c r="E532" s="655">
        <v>27630</v>
      </c>
      <c r="F532" s="656" t="s">
        <v>236</v>
      </c>
    </row>
    <row r="533" spans="1:6">
      <c r="A533" s="651"/>
      <c r="B533" s="658"/>
      <c r="C533" s="682" t="s">
        <v>638</v>
      </c>
      <c r="D533" s="723"/>
      <c r="E533" s="662"/>
      <c r="F533" s="663"/>
    </row>
    <row r="534" spans="1:6">
      <c r="A534" s="651"/>
      <c r="B534" s="753"/>
      <c r="C534" s="682" t="s">
        <v>639</v>
      </c>
      <c r="D534" s="758"/>
      <c r="E534" s="759"/>
      <c r="F534" s="663"/>
    </row>
    <row r="535" spans="1:6">
      <c r="A535" s="651"/>
      <c r="B535" s="753"/>
      <c r="C535" s="682" t="s">
        <v>640</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647</v>
      </c>
      <c r="C539" s="682" t="s">
        <v>648</v>
      </c>
      <c r="D539" s="723" t="s">
        <v>649</v>
      </c>
      <c r="E539" s="655">
        <v>44880</v>
      </c>
      <c r="F539" s="656" t="s">
        <v>236</v>
      </c>
    </row>
    <row r="540" spans="1:6">
      <c r="A540" s="651"/>
      <c r="B540" s="753"/>
      <c r="C540" s="682" t="s">
        <v>638</v>
      </c>
      <c r="D540" s="754"/>
      <c r="E540" s="755"/>
      <c r="F540" s="663"/>
    </row>
    <row r="541" spans="1:6">
      <c r="A541" s="651"/>
      <c r="B541" s="753"/>
      <c r="C541" s="682" t="s">
        <v>639</v>
      </c>
      <c r="D541" s="758"/>
      <c r="E541" s="759"/>
      <c r="F541" s="663"/>
    </row>
    <row r="542" spans="1:6">
      <c r="A542" s="651"/>
      <c r="B542" s="753"/>
      <c r="C542" s="756" t="s">
        <v>640</v>
      </c>
      <c r="D542" s="723" t="s">
        <v>650</v>
      </c>
      <c r="E542" s="759">
        <v>30000</v>
      </c>
      <c r="F542" s="656" t="s">
        <v>236</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651</v>
      </c>
      <c r="C547" s="682" t="s">
        <v>652</v>
      </c>
      <c r="D547" s="723" t="s">
        <v>653</v>
      </c>
      <c r="E547" s="655">
        <v>9840</v>
      </c>
      <c r="F547" s="656" t="s">
        <v>236</v>
      </c>
    </row>
    <row r="548" spans="1:6">
      <c r="A548" s="651"/>
      <c r="B548" s="683"/>
      <c r="C548" s="682" t="s">
        <v>654</v>
      </c>
      <c r="D548" s="758"/>
      <c r="E548" s="759"/>
      <c r="F548" s="663"/>
    </row>
    <row r="549" spans="1:6">
      <c r="A549" s="651"/>
      <c r="B549" s="658"/>
      <c r="C549" s="682" t="s">
        <v>655</v>
      </c>
      <c r="D549" s="723"/>
      <c r="E549" s="662"/>
      <c r="F549" s="663"/>
    </row>
    <row r="550" spans="1:6">
      <c r="A550" s="651"/>
      <c r="B550" s="658"/>
      <c r="C550" s="756"/>
      <c r="D550" s="723"/>
      <c r="E550" s="662"/>
      <c r="F550" s="663"/>
    </row>
    <row r="551" spans="1:6">
      <c r="A551" s="651"/>
      <c r="B551" s="658" t="s">
        <v>656</v>
      </c>
      <c r="C551" s="682" t="s">
        <v>652</v>
      </c>
      <c r="D551" s="723" t="s">
        <v>657</v>
      </c>
      <c r="E551" s="655">
        <v>10800</v>
      </c>
      <c r="F551" s="656" t="s">
        <v>236</v>
      </c>
    </row>
    <row r="552" spans="1:6">
      <c r="A552" s="651"/>
      <c r="B552" s="683"/>
      <c r="C552" s="682" t="s">
        <v>654</v>
      </c>
      <c r="D552" s="758"/>
      <c r="E552" s="759"/>
      <c r="F552" s="663"/>
    </row>
    <row r="553" spans="1:6">
      <c r="A553" s="651"/>
      <c r="B553" s="658"/>
      <c r="C553" s="682" t="s">
        <v>655</v>
      </c>
      <c r="D553" s="723"/>
      <c r="E553" s="662"/>
      <c r="F553" s="663"/>
    </row>
    <row r="554" spans="1:6">
      <c r="A554" s="651"/>
      <c r="B554" s="658"/>
      <c r="C554" s="682"/>
      <c r="D554" s="723"/>
      <c r="E554" s="662"/>
      <c r="F554" s="663"/>
    </row>
    <row r="555" spans="1:6">
      <c r="A555" s="651"/>
      <c r="B555" s="658" t="s">
        <v>658</v>
      </c>
      <c r="C555" s="682" t="s">
        <v>652</v>
      </c>
      <c r="D555" s="723" t="s">
        <v>659</v>
      </c>
      <c r="E555" s="662">
        <v>17460</v>
      </c>
      <c r="F555" s="656" t="s">
        <v>236</v>
      </c>
    </row>
    <row r="556" spans="1:6">
      <c r="A556" s="651"/>
      <c r="B556" s="683"/>
      <c r="C556" s="682" t="s">
        <v>654</v>
      </c>
      <c r="D556" s="758"/>
      <c r="E556" s="662"/>
      <c r="F556" s="663"/>
    </row>
    <row r="557" spans="1:6">
      <c r="A557" s="651"/>
      <c r="B557" s="658"/>
      <c r="C557" s="682" t="s">
        <v>655</v>
      </c>
      <c r="D557" s="723"/>
      <c r="E557" s="662"/>
      <c r="F557" s="663"/>
    </row>
    <row r="558" spans="1:6">
      <c r="A558" s="651"/>
      <c r="B558" s="658"/>
      <c r="C558" s="1050" t="s">
        <v>660</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661</v>
      </c>
      <c r="D561" s="647"/>
      <c r="E561" s="737"/>
      <c r="F561" s="668"/>
    </row>
    <row r="562" spans="1:6">
      <c r="A562" s="669"/>
      <c r="B562" s="652" t="s">
        <v>662</v>
      </c>
      <c r="C562" s="653" t="s">
        <v>663</v>
      </c>
      <c r="D562" s="723" t="s">
        <v>664</v>
      </c>
      <c r="E562" s="655">
        <v>18170</v>
      </c>
      <c r="F562" s="656" t="s">
        <v>236</v>
      </c>
    </row>
    <row r="563" spans="1:6">
      <c r="A563" s="669"/>
      <c r="B563" s="761"/>
      <c r="C563" s="653" t="s">
        <v>665</v>
      </c>
      <c r="D563" s="758"/>
      <c r="E563" s="759"/>
      <c r="F563" s="663"/>
    </row>
    <row r="564" spans="1:6">
      <c r="A564" s="687"/>
      <c r="B564" s="762"/>
      <c r="C564" s="763" t="s">
        <v>666</v>
      </c>
      <c r="D564" s="758"/>
      <c r="E564" s="759"/>
      <c r="F564" s="663"/>
    </row>
    <row r="565" spans="1:6">
      <c r="A565" s="687"/>
      <c r="B565" s="652"/>
      <c r="C565" s="653" t="s">
        <v>667</v>
      </c>
      <c r="D565" s="723"/>
      <c r="E565" s="662"/>
      <c r="F565" s="663"/>
    </row>
    <row r="566" spans="1:6">
      <c r="A566" s="669"/>
      <c r="B566" s="652"/>
      <c r="C566" s="653"/>
      <c r="D566" s="723"/>
      <c r="E566" s="662"/>
      <c r="F566" s="663"/>
    </row>
    <row r="567" spans="1:6">
      <c r="A567" s="669"/>
      <c r="B567" s="652" t="s">
        <v>668</v>
      </c>
      <c r="C567" s="653" t="s">
        <v>669</v>
      </c>
      <c r="D567" s="723" t="s">
        <v>670</v>
      </c>
      <c r="E567" s="655">
        <v>24170</v>
      </c>
      <c r="F567" s="656" t="s">
        <v>236</v>
      </c>
    </row>
    <row r="568" spans="1:6">
      <c r="A568" s="669"/>
      <c r="B568" s="652"/>
      <c r="C568" s="653" t="s">
        <v>665</v>
      </c>
      <c r="D568" s="723"/>
      <c r="E568" s="662"/>
      <c r="F568" s="663"/>
    </row>
    <row r="569" spans="1:6">
      <c r="A569" s="669"/>
      <c r="B569" s="652"/>
      <c r="C569" s="653" t="s">
        <v>671</v>
      </c>
      <c r="D569" s="723"/>
      <c r="E569" s="662"/>
      <c r="F569" s="663"/>
    </row>
    <row r="570" spans="1:6">
      <c r="A570" s="669"/>
      <c r="B570" s="652"/>
      <c r="C570" s="653" t="s">
        <v>672</v>
      </c>
      <c r="D570" s="723"/>
      <c r="E570" s="739"/>
      <c r="F570" s="663"/>
    </row>
    <row r="571" spans="1:6">
      <c r="A571" s="678"/>
      <c r="B571" s="645"/>
      <c r="C571" s="646" t="s">
        <v>673</v>
      </c>
      <c r="D571" s="647"/>
      <c r="E571" s="737"/>
      <c r="F571" s="668"/>
    </row>
    <row r="572" spans="1:6">
      <c r="A572" s="669"/>
      <c r="B572" s="652" t="s">
        <v>674</v>
      </c>
      <c r="C572" s="653" t="s">
        <v>675</v>
      </c>
      <c r="D572" s="723" t="s">
        <v>676</v>
      </c>
      <c r="E572" s="655">
        <v>19400</v>
      </c>
      <c r="F572" s="656" t="s">
        <v>236</v>
      </c>
    </row>
    <row r="573" spans="1:6">
      <c r="A573" s="669"/>
      <c r="B573" s="761"/>
      <c r="C573" s="653" t="s">
        <v>665</v>
      </c>
      <c r="D573" s="758"/>
      <c r="E573" s="759"/>
      <c r="F573" s="663"/>
    </row>
    <row r="574" spans="1:6">
      <c r="A574" s="687"/>
      <c r="B574" s="762"/>
      <c r="C574" s="763" t="s">
        <v>666</v>
      </c>
      <c r="D574" s="758"/>
      <c r="E574" s="759"/>
      <c r="F574" s="663"/>
    </row>
    <row r="575" spans="1:6">
      <c r="A575" s="687"/>
      <c r="B575" s="652"/>
      <c r="C575" s="653" t="s">
        <v>667</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402</v>
      </c>
      <c r="B581" s="629"/>
      <c r="C581" s="1491" t="s">
        <v>677</v>
      </c>
      <c r="D581" s="1493"/>
      <c r="E581" s="1497"/>
      <c r="F581" s="1498"/>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461</v>
      </c>
      <c r="B582" s="633"/>
      <c r="C582" s="1492"/>
      <c r="D582" s="1495"/>
      <c r="E582" s="1499"/>
      <c r="F582" s="1500"/>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405</v>
      </c>
      <c r="B583" s="637" t="s">
        <v>406</v>
      </c>
      <c r="C583" s="294" t="s">
        <v>407</v>
      </c>
      <c r="D583" s="638" t="s">
        <v>408</v>
      </c>
      <c r="E583" s="295" t="s">
        <v>409</v>
      </c>
      <c r="F583" s="639" t="s">
        <v>410</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678</v>
      </c>
      <c r="D584" s="647"/>
      <c r="E584" s="679"/>
      <c r="F584" s="668"/>
    </row>
    <row r="585" spans="1:61">
      <c r="A585" s="669"/>
      <c r="B585" s="652" t="s">
        <v>679</v>
      </c>
      <c r="C585" s="653" t="s">
        <v>680</v>
      </c>
      <c r="D585" s="672" t="s">
        <v>681</v>
      </c>
      <c r="E585" s="655">
        <v>5060</v>
      </c>
      <c r="F585" s="656" t="s">
        <v>236</v>
      </c>
    </row>
    <row r="586" spans="1:61">
      <c r="A586" s="669"/>
      <c r="B586" s="652" t="s">
        <v>682</v>
      </c>
      <c r="C586" s="653" t="s">
        <v>683</v>
      </c>
      <c r="D586" s="672" t="s">
        <v>684</v>
      </c>
      <c r="E586" s="655">
        <v>5130</v>
      </c>
      <c r="F586" s="656" t="s">
        <v>236</v>
      </c>
    </row>
    <row r="587" spans="1:61">
      <c r="A587" s="669"/>
      <c r="B587" s="652" t="s">
        <v>685</v>
      </c>
      <c r="C587" s="653" t="s">
        <v>686</v>
      </c>
      <c r="D587" s="672" t="s">
        <v>687</v>
      </c>
      <c r="E587" s="655">
        <v>5880</v>
      </c>
      <c r="F587" s="656" t="s">
        <v>236</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688</v>
      </c>
      <c r="D592" s="647"/>
      <c r="E592" s="679"/>
      <c r="F592" s="668"/>
    </row>
    <row r="593" spans="1:61">
      <c r="A593" s="669"/>
      <c r="B593" s="652" t="s">
        <v>689</v>
      </c>
      <c r="C593" s="653" t="s">
        <v>690</v>
      </c>
      <c r="D593" s="672" t="s">
        <v>681</v>
      </c>
      <c r="E593" s="655">
        <v>3470</v>
      </c>
      <c r="F593" s="656" t="s">
        <v>236</v>
      </c>
    </row>
    <row r="594" spans="1:61">
      <c r="A594" s="669"/>
      <c r="B594" s="652" t="s">
        <v>691</v>
      </c>
      <c r="C594" s="653" t="s">
        <v>692</v>
      </c>
      <c r="D594" s="672" t="s">
        <v>684</v>
      </c>
      <c r="E594" s="655">
        <v>3690</v>
      </c>
      <c r="F594" s="656" t="s">
        <v>236</v>
      </c>
    </row>
    <row r="595" spans="1:61">
      <c r="A595" s="669"/>
      <c r="B595" s="652" t="s">
        <v>693</v>
      </c>
      <c r="C595" s="659"/>
      <c r="D595" s="672" t="s">
        <v>687</v>
      </c>
      <c r="E595" s="655">
        <v>4410</v>
      </c>
      <c r="F595" s="656" t="s">
        <v>236</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402</v>
      </c>
      <c r="B600" s="629"/>
      <c r="C600" s="1491" t="s">
        <v>694</v>
      </c>
      <c r="D600" s="1493"/>
      <c r="E600" s="1497"/>
      <c r="F600" s="1498"/>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461</v>
      </c>
      <c r="B601" s="633"/>
      <c r="C601" s="1492"/>
      <c r="D601" s="1495"/>
      <c r="E601" s="1499"/>
      <c r="F601" s="1500"/>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405</v>
      </c>
      <c r="B602" s="637" t="s">
        <v>406</v>
      </c>
      <c r="C602" s="294" t="s">
        <v>407</v>
      </c>
      <c r="D602" s="638" t="s">
        <v>408</v>
      </c>
      <c r="E602" s="295" t="s">
        <v>409</v>
      </c>
      <c r="F602" s="639" t="s">
        <v>410</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695</v>
      </c>
      <c r="D603" s="647"/>
      <c r="E603" s="679"/>
      <c r="F603" s="668"/>
    </row>
    <row r="604" spans="1:61">
      <c r="A604" s="669"/>
      <c r="B604" s="652" t="s">
        <v>696</v>
      </c>
      <c r="C604" s="653" t="s">
        <v>697</v>
      </c>
      <c r="D604" s="672" t="s">
        <v>698</v>
      </c>
      <c r="E604" s="655">
        <v>3850</v>
      </c>
      <c r="F604" s="656" t="s">
        <v>236</v>
      </c>
    </row>
    <row r="605" spans="1:61">
      <c r="A605" s="669"/>
      <c r="B605" s="652"/>
      <c r="C605" s="653" t="s">
        <v>699</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700</v>
      </c>
      <c r="C609" s="653" t="s">
        <v>697</v>
      </c>
      <c r="D609" s="672" t="s">
        <v>701</v>
      </c>
      <c r="E609" s="655">
        <v>4970</v>
      </c>
      <c r="F609" s="656" t="s">
        <v>236</v>
      </c>
    </row>
    <row r="610" spans="1:61">
      <c r="A610" s="669"/>
      <c r="B610" s="652"/>
      <c r="C610" s="653" t="s">
        <v>699</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702</v>
      </c>
      <c r="C614" s="653" t="s">
        <v>697</v>
      </c>
      <c r="D614" s="672" t="s">
        <v>703</v>
      </c>
      <c r="E614" s="655">
        <v>5430</v>
      </c>
      <c r="F614" s="656" t="s">
        <v>236</v>
      </c>
    </row>
    <row r="615" spans="1:61">
      <c r="A615" s="669"/>
      <c r="B615" s="652"/>
      <c r="C615" s="653" t="s">
        <v>699</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402</v>
      </c>
      <c r="B619" s="629"/>
      <c r="C619" s="1491" t="s">
        <v>704</v>
      </c>
      <c r="D619" s="1493"/>
      <c r="E619" s="1497"/>
      <c r="F619" s="1498"/>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461</v>
      </c>
      <c r="B620" s="633"/>
      <c r="C620" s="1492"/>
      <c r="D620" s="1495"/>
      <c r="E620" s="1499"/>
      <c r="F620" s="1500"/>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405</v>
      </c>
      <c r="B621" s="637" t="s">
        <v>406</v>
      </c>
      <c r="C621" s="294" t="s">
        <v>407</v>
      </c>
      <c r="D621" s="638" t="s">
        <v>408</v>
      </c>
      <c r="E621" s="295" t="s">
        <v>409</v>
      </c>
      <c r="F621" s="639" t="s">
        <v>410</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705</v>
      </c>
      <c r="D622" s="647"/>
      <c r="E622" s="679"/>
      <c r="F622" s="668"/>
    </row>
    <row r="623" spans="1:61">
      <c r="A623" s="669"/>
      <c r="B623" s="658" t="s">
        <v>706</v>
      </c>
      <c r="C623" s="719" t="s">
        <v>707</v>
      </c>
      <c r="D623" s="654" t="s">
        <v>708</v>
      </c>
      <c r="E623" s="655">
        <v>19640</v>
      </c>
      <c r="F623" s="656" t="s">
        <v>236</v>
      </c>
    </row>
    <row r="624" spans="1:61">
      <c r="A624" s="669"/>
      <c r="B624" s="658" t="s">
        <v>709</v>
      </c>
      <c r="C624" s="719" t="s">
        <v>710</v>
      </c>
      <c r="D624" s="654" t="s">
        <v>711</v>
      </c>
      <c r="E624" s="655">
        <v>20590</v>
      </c>
      <c r="F624" s="656" t="s">
        <v>236</v>
      </c>
    </row>
    <row r="625" spans="1:6">
      <c r="A625" s="669"/>
      <c r="B625" s="658"/>
      <c r="C625" s="719" t="s">
        <v>712</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713</v>
      </c>
      <c r="C636" s="719" t="s">
        <v>714</v>
      </c>
      <c r="D636" s="654" t="s">
        <v>715</v>
      </c>
      <c r="E636" s="655">
        <v>9080</v>
      </c>
      <c r="F636" s="656" t="s">
        <v>236</v>
      </c>
    </row>
    <row r="637" spans="1:6">
      <c r="A637" s="669"/>
      <c r="B637" s="658"/>
      <c r="C637" s="719" t="s">
        <v>716</v>
      </c>
      <c r="D637" s="654"/>
      <c r="E637" s="662"/>
      <c r="F637" s="663"/>
    </row>
    <row r="638" spans="1:6">
      <c r="A638" s="669"/>
      <c r="B638" s="658"/>
      <c r="C638" s="719" t="s">
        <v>717</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718</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402</v>
      </c>
      <c r="B669" s="629"/>
      <c r="C669" s="1491" t="s">
        <v>719</v>
      </c>
      <c r="D669" s="1493"/>
      <c r="E669" s="1497"/>
      <c r="F669" s="1498"/>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461</v>
      </c>
      <c r="B670" s="633"/>
      <c r="C670" s="1492"/>
      <c r="D670" s="1495"/>
      <c r="E670" s="1499"/>
      <c r="F670" s="1500"/>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405</v>
      </c>
      <c r="B671" s="637" t="s">
        <v>406</v>
      </c>
      <c r="C671" s="294" t="s">
        <v>407</v>
      </c>
      <c r="D671" s="638" t="s">
        <v>408</v>
      </c>
      <c r="E671" s="295" t="s">
        <v>409</v>
      </c>
      <c r="F671" s="639" t="s">
        <v>410</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720</v>
      </c>
      <c r="D672" s="647"/>
      <c r="E672" s="679"/>
      <c r="F672" s="690"/>
    </row>
    <row r="673" spans="1:6">
      <c r="A673" s="669"/>
      <c r="B673" s="652" t="s">
        <v>721</v>
      </c>
      <c r="C673" s="653" t="s">
        <v>722</v>
      </c>
      <c r="D673" s="776" t="s">
        <v>723</v>
      </c>
      <c r="E673" s="655">
        <v>3070</v>
      </c>
      <c r="F673" s="656" t="s">
        <v>236</v>
      </c>
    </row>
    <row r="674" spans="1:6">
      <c r="A674" s="669"/>
      <c r="B674" s="652"/>
      <c r="C674" s="653" t="s">
        <v>724</v>
      </c>
      <c r="D674" s="698"/>
      <c r="E674" s="689"/>
      <c r="F674" s="702"/>
    </row>
    <row r="675" spans="1:6">
      <c r="A675" s="669"/>
      <c r="B675" s="652"/>
      <c r="C675" s="653" t="s">
        <v>725</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726</v>
      </c>
      <c r="C680" s="653" t="s">
        <v>727</v>
      </c>
      <c r="D680" s="698" t="s">
        <v>728</v>
      </c>
      <c r="E680" s="655">
        <v>2800</v>
      </c>
      <c r="F680" s="656" t="s">
        <v>236</v>
      </c>
    </row>
    <row r="681" spans="1:6">
      <c r="A681" s="669"/>
      <c r="B681" s="652"/>
      <c r="C681" s="653" t="s">
        <v>729</v>
      </c>
      <c r="D681" s="698"/>
      <c r="E681" s="689"/>
      <c r="F681" s="777"/>
    </row>
    <row r="682" spans="1:6">
      <c r="A682" s="669"/>
      <c r="B682" s="652"/>
      <c r="C682" s="653" t="s">
        <v>730</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731</v>
      </c>
      <c r="C686" s="653" t="s">
        <v>732</v>
      </c>
      <c r="D686" s="698" t="s">
        <v>733</v>
      </c>
      <c r="E686" s="655">
        <v>3260</v>
      </c>
      <c r="F686" s="656" t="s">
        <v>236</v>
      </c>
    </row>
    <row r="687" spans="1:6">
      <c r="A687" s="669"/>
      <c r="B687" s="652"/>
      <c r="C687" s="653" t="s">
        <v>729</v>
      </c>
      <c r="D687" s="698"/>
      <c r="E687" s="689"/>
      <c r="F687" s="777"/>
    </row>
    <row r="688" spans="1:6">
      <c r="A688" s="669"/>
      <c r="B688" s="652"/>
      <c r="C688" s="653" t="s">
        <v>730</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734</v>
      </c>
      <c r="D692" s="647"/>
      <c r="E692" s="679"/>
      <c r="F692" s="690"/>
    </row>
    <row r="693" spans="1:6">
      <c r="A693" s="779"/>
      <c r="B693" s="652" t="s">
        <v>735</v>
      </c>
      <c r="C693" s="780" t="s">
        <v>736</v>
      </c>
      <c r="D693" s="781" t="s">
        <v>737</v>
      </c>
      <c r="E693" s="655">
        <v>4330</v>
      </c>
      <c r="F693" s="656" t="s">
        <v>236</v>
      </c>
    </row>
    <row r="694" spans="1:6">
      <c r="A694" s="669"/>
      <c r="B694" s="652" t="s">
        <v>738</v>
      </c>
      <c r="C694" s="653" t="s">
        <v>724</v>
      </c>
      <c r="D694" s="782" t="s">
        <v>739</v>
      </c>
      <c r="E694" s="655">
        <v>5430</v>
      </c>
      <c r="F694" s="656" t="s">
        <v>236</v>
      </c>
    </row>
    <row r="695" spans="1:6">
      <c r="A695" s="669"/>
      <c r="B695" s="652"/>
      <c r="C695" s="653" t="s">
        <v>725</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740</v>
      </c>
      <c r="C700" s="653" t="s">
        <v>741</v>
      </c>
      <c r="D700" s="782"/>
      <c r="E700" s="655">
        <v>4330</v>
      </c>
      <c r="F700" s="656" t="s">
        <v>236</v>
      </c>
    </row>
    <row r="701" spans="1:6">
      <c r="A701" s="669"/>
      <c r="B701" s="652"/>
      <c r="C701" s="653" t="s">
        <v>742</v>
      </c>
      <c r="D701" s="782" t="s">
        <v>743</v>
      </c>
      <c r="E701" s="655"/>
      <c r="F701" s="656"/>
    </row>
    <row r="702" spans="1:6">
      <c r="A702" s="669"/>
      <c r="B702" s="652"/>
      <c r="C702" s="653" t="s">
        <v>744</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745</v>
      </c>
      <c r="C707" s="653" t="s">
        <v>746</v>
      </c>
      <c r="D707" s="782"/>
      <c r="E707" s="655">
        <v>4330</v>
      </c>
      <c r="F707" s="656" t="s">
        <v>236</v>
      </c>
    </row>
    <row r="708" spans="1:6">
      <c r="A708" s="669"/>
      <c r="B708" s="652"/>
      <c r="C708" s="653" t="s">
        <v>747</v>
      </c>
      <c r="D708" s="782" t="s">
        <v>748</v>
      </c>
      <c r="E708" s="662"/>
      <c r="F708" s="777"/>
    </row>
    <row r="709" spans="1:6">
      <c r="A709" s="669"/>
      <c r="B709" s="652"/>
      <c r="C709" s="653" t="s">
        <v>744</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749</v>
      </c>
      <c r="D715" s="647"/>
      <c r="E715" s="679"/>
      <c r="F715" s="690"/>
    </row>
    <row r="716" spans="1:6">
      <c r="A716" s="669"/>
      <c r="B716" s="652" t="s">
        <v>750</v>
      </c>
      <c r="C716" s="653" t="s">
        <v>751</v>
      </c>
      <c r="D716" s="672"/>
      <c r="E716" s="655">
        <v>4230</v>
      </c>
      <c r="F716" s="656" t="s">
        <v>236</v>
      </c>
    </row>
    <row r="717" spans="1:6">
      <c r="A717" s="669"/>
      <c r="B717" s="652"/>
      <c r="C717" s="653" t="s">
        <v>752</v>
      </c>
      <c r="D717" s="672"/>
      <c r="E717" s="689"/>
      <c r="F717" s="777"/>
    </row>
    <row r="718" spans="1:6">
      <c r="A718" s="669"/>
      <c r="B718" s="652"/>
      <c r="C718" s="653" t="s">
        <v>753</v>
      </c>
      <c r="D718" s="672"/>
      <c r="E718" s="689"/>
      <c r="F718" s="777"/>
    </row>
    <row r="719" spans="1:6">
      <c r="A719" s="669"/>
      <c r="B719" s="652"/>
      <c r="C719" s="783" t="s">
        <v>754</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755</v>
      </c>
      <c r="C724" s="653" t="s">
        <v>756</v>
      </c>
      <c r="D724" s="672"/>
      <c r="E724" s="655">
        <v>5110</v>
      </c>
      <c r="F724" s="656" t="s">
        <v>236</v>
      </c>
    </row>
    <row r="725" spans="1:61">
      <c r="A725" s="669"/>
      <c r="B725" s="652"/>
      <c r="C725" s="653" t="s">
        <v>757</v>
      </c>
      <c r="D725" s="672"/>
      <c r="E725" s="759"/>
      <c r="F725" s="777"/>
    </row>
    <row r="726" spans="1:61">
      <c r="A726" s="669"/>
      <c r="B726" s="652"/>
      <c r="C726" s="653" t="s">
        <v>758</v>
      </c>
      <c r="D726" s="672"/>
      <c r="E726" s="759"/>
      <c r="F726" s="777"/>
    </row>
    <row r="727" spans="1:61">
      <c r="A727" s="669"/>
      <c r="B727" s="652"/>
      <c r="C727" s="783" t="s">
        <v>754</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402</v>
      </c>
      <c r="B733" s="629"/>
      <c r="C733" s="1491" t="s">
        <v>759</v>
      </c>
      <c r="D733" s="1493"/>
      <c r="E733" s="1497"/>
      <c r="F733" s="1498"/>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461</v>
      </c>
      <c r="B734" s="633"/>
      <c r="C734" s="1492"/>
      <c r="D734" s="1495"/>
      <c r="E734" s="1499"/>
      <c r="F734" s="1500"/>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405</v>
      </c>
      <c r="B735" s="637" t="s">
        <v>406</v>
      </c>
      <c r="C735" s="294" t="s">
        <v>407</v>
      </c>
      <c r="D735" s="638" t="s">
        <v>408</v>
      </c>
      <c r="E735" s="295" t="s">
        <v>409</v>
      </c>
      <c r="F735" s="639" t="s">
        <v>410</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760</v>
      </c>
      <c r="D736" s="647"/>
      <c r="E736" s="679"/>
      <c r="F736" s="668"/>
    </row>
    <row r="737" spans="1:61">
      <c r="A737" s="669"/>
      <c r="B737" s="652" t="s">
        <v>761</v>
      </c>
      <c r="C737" s="653" t="s">
        <v>762</v>
      </c>
      <c r="D737" s="672" t="s">
        <v>763</v>
      </c>
      <c r="E737" s="655">
        <v>5070</v>
      </c>
      <c r="F737" s="656" t="s">
        <v>236</v>
      </c>
    </row>
    <row r="738" spans="1:61">
      <c r="A738" s="669"/>
      <c r="B738" s="652" t="s">
        <v>764</v>
      </c>
      <c r="C738" s="653" t="s">
        <v>765</v>
      </c>
      <c r="D738" s="672" t="s">
        <v>766</v>
      </c>
      <c r="E738" s="655">
        <v>5340</v>
      </c>
      <c r="F738" s="656" t="s">
        <v>236</v>
      </c>
    </row>
    <row r="739" spans="1:61">
      <c r="A739" s="669"/>
      <c r="B739" s="652" t="s">
        <v>767</v>
      </c>
      <c r="C739" s="653" t="s">
        <v>768</v>
      </c>
      <c r="D739" s="672" t="s">
        <v>769</v>
      </c>
      <c r="E739" s="655">
        <v>5380</v>
      </c>
      <c r="F739" s="656" t="s">
        <v>236</v>
      </c>
    </row>
    <row r="740" spans="1:61">
      <c r="A740" s="669"/>
      <c r="B740" s="652" t="s">
        <v>770</v>
      </c>
      <c r="C740" s="653"/>
      <c r="D740" s="672" t="s">
        <v>771</v>
      </c>
      <c r="E740" s="655">
        <v>5780</v>
      </c>
      <c r="F740" s="656" t="s">
        <v>236</v>
      </c>
    </row>
    <row r="741" spans="1:61">
      <c r="A741" s="669"/>
      <c r="B741" s="652" t="s">
        <v>772</v>
      </c>
      <c r="C741" s="653"/>
      <c r="D741" s="672" t="s">
        <v>773</v>
      </c>
      <c r="E741" s="655">
        <v>5830</v>
      </c>
      <c r="F741" s="656" t="s">
        <v>236</v>
      </c>
    </row>
    <row r="742" spans="1:61">
      <c r="A742" s="669"/>
      <c r="B742" s="652" t="s">
        <v>774</v>
      </c>
      <c r="C742" s="653"/>
      <c r="D742" s="672" t="s">
        <v>775</v>
      </c>
      <c r="E742" s="655">
        <v>6240</v>
      </c>
      <c r="F742" s="656" t="s">
        <v>236</v>
      </c>
    </row>
    <row r="743" spans="1:61">
      <c r="A743" s="669"/>
      <c r="B743" s="652" t="s">
        <v>776</v>
      </c>
      <c r="C743" s="653"/>
      <c r="D743" s="672" t="s">
        <v>777</v>
      </c>
      <c r="E743" s="655">
        <v>6290</v>
      </c>
      <c r="F743" s="656" t="s">
        <v>236</v>
      </c>
    </row>
    <row r="744" spans="1:61">
      <c r="A744" s="669"/>
      <c r="B744" s="652" t="s">
        <v>778</v>
      </c>
      <c r="C744" s="653"/>
      <c r="D744" s="672" t="s">
        <v>779</v>
      </c>
      <c r="E744" s="655">
        <v>7100</v>
      </c>
      <c r="F744" s="656" t="s">
        <v>236</v>
      </c>
    </row>
    <row r="745" spans="1:61">
      <c r="A745" s="669"/>
      <c r="B745" s="652" t="s">
        <v>780</v>
      </c>
      <c r="C745" s="653"/>
      <c r="D745" s="672" t="s">
        <v>781</v>
      </c>
      <c r="E745" s="655">
        <v>7120</v>
      </c>
      <c r="F745" s="656" t="s">
        <v>236</v>
      </c>
    </row>
    <row r="746" spans="1:61">
      <c r="A746" s="669"/>
      <c r="B746" s="652" t="s">
        <v>782</v>
      </c>
      <c r="C746" s="653"/>
      <c r="D746" s="672" t="s">
        <v>783</v>
      </c>
      <c r="E746" s="655">
        <v>7200</v>
      </c>
      <c r="F746" s="656" t="s">
        <v>236</v>
      </c>
    </row>
    <row r="747" spans="1:61">
      <c r="A747" s="669"/>
      <c r="B747" s="652" t="s">
        <v>784</v>
      </c>
      <c r="C747" s="653"/>
      <c r="D747" s="672" t="s">
        <v>785</v>
      </c>
      <c r="E747" s="655">
        <v>7560</v>
      </c>
      <c r="F747" s="656" t="s">
        <v>236</v>
      </c>
    </row>
    <row r="748" spans="1:61">
      <c r="A748" s="669"/>
      <c r="B748" s="652" t="s">
        <v>786</v>
      </c>
      <c r="C748" s="653"/>
      <c r="D748" s="672" t="s">
        <v>787</v>
      </c>
      <c r="E748" s="655">
        <v>7560</v>
      </c>
      <c r="F748" s="656" t="s">
        <v>236</v>
      </c>
    </row>
    <row r="749" spans="1:61">
      <c r="A749" s="669"/>
      <c r="B749" s="652" t="s">
        <v>788</v>
      </c>
      <c r="C749" s="653"/>
      <c r="D749" s="672" t="s">
        <v>789</v>
      </c>
      <c r="E749" s="655">
        <v>7850</v>
      </c>
      <c r="F749" s="656" t="s">
        <v>236</v>
      </c>
    </row>
    <row r="750" spans="1:61" s="631" customFormat="1" ht="15" customHeight="1">
      <c r="A750" s="628" t="s">
        <v>402</v>
      </c>
      <c r="B750" s="629"/>
      <c r="C750" s="1491" t="s">
        <v>790</v>
      </c>
      <c r="D750" s="1493" t="s">
        <v>460</v>
      </c>
      <c r="E750" s="1497">
        <v>43252</v>
      </c>
      <c r="F750" s="1498"/>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461</v>
      </c>
      <c r="B751" s="633"/>
      <c r="C751" s="1492"/>
      <c r="D751" s="1495"/>
      <c r="E751" s="1499"/>
      <c r="F751" s="1500"/>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405</v>
      </c>
      <c r="B752" s="637" t="s">
        <v>406</v>
      </c>
      <c r="C752" s="294" t="s">
        <v>407</v>
      </c>
      <c r="D752" s="638" t="s">
        <v>408</v>
      </c>
      <c r="E752" s="295" t="s">
        <v>409</v>
      </c>
      <c r="F752" s="639" t="s">
        <v>410</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791</v>
      </c>
      <c r="D753" s="647"/>
      <c r="E753" s="679"/>
      <c r="F753" s="690"/>
    </row>
    <row r="754" spans="1:6">
      <c r="A754" s="669"/>
      <c r="B754" s="652" t="s">
        <v>792</v>
      </c>
      <c r="C754" s="653" t="s">
        <v>793</v>
      </c>
      <c r="D754" s="786" t="s">
        <v>794</v>
      </c>
      <c r="E754" s="655">
        <v>3800</v>
      </c>
      <c r="F754" s="656" t="s">
        <v>236</v>
      </c>
    </row>
    <row r="755" spans="1:6">
      <c r="A755" s="669"/>
      <c r="B755" s="652" t="s">
        <v>795</v>
      </c>
      <c r="C755" s="653" t="s">
        <v>796</v>
      </c>
      <c r="D755" s="786" t="s">
        <v>797</v>
      </c>
      <c r="E755" s="655">
        <v>3840</v>
      </c>
      <c r="F755" s="656" t="s">
        <v>236</v>
      </c>
    </row>
    <row r="756" spans="1:6">
      <c r="A756" s="669"/>
      <c r="B756" s="652" t="s">
        <v>798</v>
      </c>
      <c r="C756" s="653" t="s">
        <v>799</v>
      </c>
      <c r="D756" s="786" t="s">
        <v>800</v>
      </c>
      <c r="E756" s="655">
        <v>4310</v>
      </c>
      <c r="F756" s="656" t="s">
        <v>236</v>
      </c>
    </row>
    <row r="757" spans="1:6">
      <c r="A757" s="669"/>
      <c r="B757" s="652" t="s">
        <v>801</v>
      </c>
      <c r="C757" s="653" t="s">
        <v>802</v>
      </c>
      <c r="D757" s="786" t="s">
        <v>803</v>
      </c>
      <c r="E757" s="655">
        <v>4400</v>
      </c>
      <c r="F757" s="656" t="s">
        <v>236</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804</v>
      </c>
      <c r="D761" s="647"/>
      <c r="E761" s="679"/>
      <c r="F761" s="690"/>
    </row>
    <row r="762" spans="1:6">
      <c r="A762" s="669"/>
      <c r="B762" s="652" t="s">
        <v>805</v>
      </c>
      <c r="C762" s="787" t="s">
        <v>806</v>
      </c>
      <c r="D762" s="776" t="s">
        <v>773</v>
      </c>
      <c r="E762" s="655">
        <v>3240</v>
      </c>
      <c r="F762" s="656" t="s">
        <v>236</v>
      </c>
    </row>
    <row r="763" spans="1:6">
      <c r="A763" s="669"/>
      <c r="B763" s="652"/>
      <c r="C763" s="787" t="s">
        <v>807</v>
      </c>
      <c r="D763" s="698"/>
      <c r="E763" s="689"/>
      <c r="F763" s="663"/>
    </row>
    <row r="764" spans="1:6">
      <c r="A764" s="669"/>
      <c r="B764" s="652"/>
      <c r="C764" s="787" t="s">
        <v>808</v>
      </c>
      <c r="D764" s="698"/>
      <c r="E764" s="689"/>
      <c r="F764" s="663"/>
    </row>
    <row r="765" spans="1:6">
      <c r="A765" s="669"/>
      <c r="B765" s="652"/>
      <c r="C765" s="787"/>
      <c r="D765" s="698"/>
      <c r="E765" s="689"/>
      <c r="F765" s="663"/>
    </row>
    <row r="766" spans="1:6">
      <c r="A766" s="669"/>
      <c r="B766" s="652" t="s">
        <v>809</v>
      </c>
      <c r="C766" s="787" t="s">
        <v>806</v>
      </c>
      <c r="D766" s="698" t="s">
        <v>810</v>
      </c>
      <c r="E766" s="655">
        <v>3420</v>
      </c>
      <c r="F766" s="656" t="s">
        <v>236</v>
      </c>
    </row>
    <row r="767" spans="1:6">
      <c r="A767" s="669"/>
      <c r="B767" s="658"/>
      <c r="C767" s="719" t="s">
        <v>807</v>
      </c>
      <c r="D767" s="698"/>
      <c r="E767" s="689"/>
      <c r="F767" s="663"/>
    </row>
    <row r="768" spans="1:6">
      <c r="A768" s="669"/>
      <c r="B768" s="658"/>
      <c r="C768" s="719" t="s">
        <v>808</v>
      </c>
      <c r="D768" s="698"/>
      <c r="E768" s="689"/>
      <c r="F768" s="663"/>
    </row>
    <row r="769" spans="1:6">
      <c r="A769" s="651"/>
      <c r="B769" s="788"/>
      <c r="C769" s="719"/>
      <c r="D769" s="789"/>
      <c r="E769" s="689"/>
      <c r="F769" s="663"/>
    </row>
    <row r="770" spans="1:6">
      <c r="A770" s="678"/>
      <c r="B770" s="645"/>
      <c r="C770" s="646" t="s">
        <v>811</v>
      </c>
      <c r="D770" s="647"/>
      <c r="E770" s="679"/>
      <c r="F770" s="690"/>
    </row>
    <row r="771" spans="1:6">
      <c r="A771" s="669"/>
      <c r="B771" s="652" t="s">
        <v>812</v>
      </c>
      <c r="C771" s="653" t="s">
        <v>813</v>
      </c>
      <c r="D771" s="786" t="s">
        <v>814</v>
      </c>
      <c r="E771" s="655">
        <v>1990</v>
      </c>
      <c r="F771" s="656" t="s">
        <v>236</v>
      </c>
    </row>
    <row r="772" spans="1:6">
      <c r="A772" s="669"/>
      <c r="B772" s="652" t="s">
        <v>815</v>
      </c>
      <c r="C772" s="653" t="s">
        <v>816</v>
      </c>
      <c r="D772" s="786" t="s">
        <v>817</v>
      </c>
      <c r="E772" s="655">
        <v>2030</v>
      </c>
      <c r="F772" s="656" t="s">
        <v>236</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818</v>
      </c>
      <c r="D776" s="647"/>
      <c r="E776" s="679"/>
      <c r="F776" s="690"/>
    </row>
    <row r="777" spans="1:6">
      <c r="A777" s="790"/>
      <c r="B777" s="791" t="s">
        <v>819</v>
      </c>
      <c r="C777" s="774" t="s">
        <v>820</v>
      </c>
      <c r="D777" s="792" t="s">
        <v>821</v>
      </c>
      <c r="E777" s="655">
        <v>1400</v>
      </c>
      <c r="F777" s="656" t="s">
        <v>236</v>
      </c>
    </row>
    <row r="778" spans="1:6">
      <c r="A778" s="772"/>
      <c r="B778" s="658" t="s">
        <v>822</v>
      </c>
      <c r="C778" s="774" t="s">
        <v>823</v>
      </c>
      <c r="D778" s="782" t="s">
        <v>824</v>
      </c>
      <c r="E778" s="655">
        <v>1528.5714285714287</v>
      </c>
      <c r="F778" s="656" t="s">
        <v>236</v>
      </c>
    </row>
    <row r="779" spans="1:6">
      <c r="A779" s="772"/>
      <c r="B779" s="658" t="s">
        <v>825</v>
      </c>
      <c r="C779" s="793" t="s">
        <v>826</v>
      </c>
      <c r="D779" s="782" t="s">
        <v>827</v>
      </c>
      <c r="E779" s="655">
        <v>1664.2857142857144</v>
      </c>
      <c r="F779" s="656" t="s">
        <v>236</v>
      </c>
    </row>
    <row r="780" spans="1:6">
      <c r="A780" s="772"/>
      <c r="B780" s="658" t="s">
        <v>828</v>
      </c>
      <c r="C780" s="794" t="s">
        <v>829</v>
      </c>
      <c r="D780" s="782" t="s">
        <v>830</v>
      </c>
      <c r="E780" s="655">
        <v>1807.1428571428573</v>
      </c>
      <c r="F780" s="656" t="s">
        <v>236</v>
      </c>
    </row>
    <row r="781" spans="1:6">
      <c r="A781" s="772"/>
      <c r="B781" s="658" t="s">
        <v>831</v>
      </c>
      <c r="C781" s="794" t="s">
        <v>832</v>
      </c>
      <c r="D781" s="782" t="s">
        <v>833</v>
      </c>
      <c r="E781" s="655">
        <v>1942.8571428571429</v>
      </c>
      <c r="F781" s="656" t="s">
        <v>236</v>
      </c>
    </row>
    <row r="782" spans="1:6">
      <c r="A782" s="772"/>
      <c r="B782" s="658" t="s">
        <v>834</v>
      </c>
      <c r="C782" s="793"/>
      <c r="D782" s="782" t="s">
        <v>835</v>
      </c>
      <c r="E782" s="655">
        <v>2092.8571428571431</v>
      </c>
      <c r="F782" s="656" t="s">
        <v>236</v>
      </c>
    </row>
    <row r="783" spans="1:6">
      <c r="A783" s="772"/>
      <c r="B783" s="658" t="s">
        <v>836</v>
      </c>
      <c r="C783" s="794"/>
      <c r="D783" s="782" t="s">
        <v>837</v>
      </c>
      <c r="E783" s="655">
        <v>2228.5714285714289</v>
      </c>
      <c r="F783" s="656" t="s">
        <v>236</v>
      </c>
    </row>
    <row r="784" spans="1:6">
      <c r="A784" s="772"/>
      <c r="B784" s="658" t="s">
        <v>838</v>
      </c>
      <c r="C784" s="774"/>
      <c r="D784" s="782" t="s">
        <v>839</v>
      </c>
      <c r="E784" s="655">
        <v>2371.4285714285716</v>
      </c>
      <c r="F784" s="656" t="s">
        <v>236</v>
      </c>
    </row>
    <row r="785" spans="1:6">
      <c r="A785" s="772"/>
      <c r="B785" s="658" t="s">
        <v>840</v>
      </c>
      <c r="C785" s="774"/>
      <c r="D785" s="782" t="s">
        <v>841</v>
      </c>
      <c r="E785" s="655">
        <v>2514.2857142857142</v>
      </c>
      <c r="F785" s="656" t="s">
        <v>236</v>
      </c>
    </row>
    <row r="786" spans="1:6">
      <c r="A786" s="795"/>
      <c r="B786" s="658" t="s">
        <v>842</v>
      </c>
      <c r="C786" s="774"/>
      <c r="D786" s="782" t="s">
        <v>843</v>
      </c>
      <c r="E786" s="655">
        <v>2571.4285714285716</v>
      </c>
      <c r="F786" s="656" t="s">
        <v>236</v>
      </c>
    </row>
    <row r="787" spans="1:6">
      <c r="A787" s="795"/>
      <c r="B787" s="658" t="s">
        <v>844</v>
      </c>
      <c r="C787" s="774"/>
      <c r="D787" s="796" t="s">
        <v>845</v>
      </c>
      <c r="E787" s="655">
        <v>2635.7142857142858</v>
      </c>
      <c r="F787" s="656" t="s">
        <v>236</v>
      </c>
    </row>
    <row r="788" spans="1:6">
      <c r="A788" s="678"/>
      <c r="B788" s="645"/>
      <c r="C788" s="646" t="s">
        <v>846</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402</v>
      </c>
      <c r="B805" s="629"/>
      <c r="C805" s="1491" t="s">
        <v>847</v>
      </c>
      <c r="D805" s="1501"/>
      <c r="E805" s="1497"/>
      <c r="F805" s="1498"/>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461</v>
      </c>
      <c r="B806" s="633"/>
      <c r="C806" s="1492"/>
      <c r="D806" s="1502"/>
      <c r="E806" s="1499"/>
      <c r="F806" s="1500"/>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405</v>
      </c>
      <c r="B807" s="637" t="s">
        <v>406</v>
      </c>
      <c r="C807" s="294" t="s">
        <v>407</v>
      </c>
      <c r="D807" s="638" t="s">
        <v>408</v>
      </c>
      <c r="E807" s="295" t="s">
        <v>409</v>
      </c>
      <c r="F807" s="639" t="s">
        <v>410</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848</v>
      </c>
      <c r="D808" s="798"/>
      <c r="E808" s="799"/>
      <c r="F808" s="668"/>
    </row>
    <row r="809" spans="1:61">
      <c r="A809" s="651"/>
      <c r="B809" s="658" t="s">
        <v>849</v>
      </c>
      <c r="C809" s="682" t="s">
        <v>850</v>
      </c>
      <c r="D809" s="786" t="s">
        <v>763</v>
      </c>
      <c r="E809" s="655">
        <v>3621.4285714285716</v>
      </c>
      <c r="F809" s="656" t="s">
        <v>236</v>
      </c>
    </row>
    <row r="810" spans="1:61">
      <c r="A810" s="651"/>
      <c r="B810" s="658" t="s">
        <v>851</v>
      </c>
      <c r="C810" s="682" t="s">
        <v>852</v>
      </c>
      <c r="D810" s="786" t="s">
        <v>766</v>
      </c>
      <c r="E810" s="655">
        <v>3814.2857142857147</v>
      </c>
      <c r="F810" s="656" t="s">
        <v>236</v>
      </c>
    </row>
    <row r="811" spans="1:61">
      <c r="A811" s="651"/>
      <c r="B811" s="658" t="s">
        <v>853</v>
      </c>
      <c r="C811" s="682" t="s">
        <v>854</v>
      </c>
      <c r="D811" s="786" t="s">
        <v>769</v>
      </c>
      <c r="E811" s="655">
        <v>3842.8571428571431</v>
      </c>
      <c r="F811" s="656" t="s">
        <v>236</v>
      </c>
    </row>
    <row r="812" spans="1:61">
      <c r="A812" s="651"/>
      <c r="B812" s="658" t="s">
        <v>855</v>
      </c>
      <c r="C812" s="682" t="s">
        <v>856</v>
      </c>
      <c r="D812" s="786" t="s">
        <v>771</v>
      </c>
      <c r="E812" s="655">
        <v>4128.5714285714284</v>
      </c>
      <c r="F812" s="656" t="s">
        <v>236</v>
      </c>
    </row>
    <row r="813" spans="1:61">
      <c r="A813" s="651"/>
      <c r="B813" s="658" t="s">
        <v>857</v>
      </c>
      <c r="C813" s="800" t="s">
        <v>858</v>
      </c>
      <c r="D813" s="786" t="s">
        <v>773</v>
      </c>
      <c r="E813" s="655">
        <v>4164.2857142857147</v>
      </c>
      <c r="F813" s="656" t="s">
        <v>236</v>
      </c>
    </row>
    <row r="814" spans="1:61">
      <c r="A814" s="651"/>
      <c r="B814" s="658" t="s">
        <v>859</v>
      </c>
      <c r="C814" s="682"/>
      <c r="D814" s="786" t="s">
        <v>775</v>
      </c>
      <c r="E814" s="655">
        <v>4457.1428571428578</v>
      </c>
      <c r="F814" s="656" t="s">
        <v>236</v>
      </c>
    </row>
    <row r="815" spans="1:61">
      <c r="A815" s="651"/>
      <c r="B815" s="658" t="s">
        <v>860</v>
      </c>
      <c r="C815" s="682"/>
      <c r="D815" s="786" t="s">
        <v>777</v>
      </c>
      <c r="E815" s="655">
        <v>4492.8571428571431</v>
      </c>
      <c r="F815" s="656" t="s">
        <v>236</v>
      </c>
    </row>
    <row r="816" spans="1:61">
      <c r="A816" s="651"/>
      <c r="B816" s="658" t="s">
        <v>861</v>
      </c>
      <c r="C816" s="682"/>
      <c r="D816" s="786" t="s">
        <v>779</v>
      </c>
      <c r="E816" s="655">
        <v>5071.4285714285716</v>
      </c>
      <c r="F816" s="656" t="s">
        <v>236</v>
      </c>
    </row>
    <row r="817" spans="1:6">
      <c r="A817" s="651"/>
      <c r="B817" s="658" t="s">
        <v>862</v>
      </c>
      <c r="C817" s="682"/>
      <c r="D817" s="786" t="s">
        <v>781</v>
      </c>
      <c r="E817" s="655">
        <v>5114.2857142857147</v>
      </c>
      <c r="F817" s="656" t="s">
        <v>236</v>
      </c>
    </row>
    <row r="818" spans="1:6">
      <c r="A818" s="651"/>
      <c r="B818" s="658" t="s">
        <v>863</v>
      </c>
      <c r="C818" s="682"/>
      <c r="D818" s="786" t="s">
        <v>783</v>
      </c>
      <c r="E818" s="655">
        <v>5142.8571428571431</v>
      </c>
      <c r="F818" s="656" t="s">
        <v>236</v>
      </c>
    </row>
    <row r="819" spans="1:6">
      <c r="A819" s="651"/>
      <c r="B819" s="658" t="s">
        <v>864</v>
      </c>
      <c r="C819" s="682"/>
      <c r="D819" s="786" t="s">
        <v>785</v>
      </c>
      <c r="E819" s="655">
        <v>5428.5714285714294</v>
      </c>
      <c r="F819" s="656" t="s">
        <v>236</v>
      </c>
    </row>
    <row r="820" spans="1:6">
      <c r="A820" s="651"/>
      <c r="B820" s="658" t="s">
        <v>865</v>
      </c>
      <c r="C820" s="682"/>
      <c r="D820" s="786" t="s">
        <v>787</v>
      </c>
      <c r="E820" s="655">
        <v>5428.5714285714294</v>
      </c>
      <c r="F820" s="656" t="s">
        <v>236</v>
      </c>
    </row>
    <row r="821" spans="1:6">
      <c r="A821" s="651"/>
      <c r="B821" s="658" t="s">
        <v>866</v>
      </c>
      <c r="C821" s="682"/>
      <c r="D821" s="786" t="s">
        <v>789</v>
      </c>
      <c r="E821" s="655">
        <v>5642.8571428571431</v>
      </c>
      <c r="F821" s="656" t="s">
        <v>236</v>
      </c>
    </row>
    <row r="822" spans="1:6">
      <c r="A822" s="651"/>
      <c r="B822" s="658"/>
      <c r="C822" s="682"/>
      <c r="D822" s="786"/>
      <c r="E822" s="655"/>
      <c r="F822" s="656"/>
    </row>
    <row r="823" spans="1:6">
      <c r="A823" s="651"/>
      <c r="B823" s="658" t="s">
        <v>867</v>
      </c>
      <c r="C823" s="682" t="s">
        <v>868</v>
      </c>
      <c r="D823" s="786" t="s">
        <v>869</v>
      </c>
      <c r="E823" s="655">
        <v>10721.428571428572</v>
      </c>
      <c r="F823" s="656" t="s">
        <v>236</v>
      </c>
    </row>
    <row r="824" spans="1:6">
      <c r="A824" s="651"/>
      <c r="B824" s="658" t="s">
        <v>870</v>
      </c>
      <c r="C824" s="682" t="s">
        <v>871</v>
      </c>
      <c r="D824" s="786" t="s">
        <v>872</v>
      </c>
      <c r="E824" s="655">
        <v>11014.285714285716</v>
      </c>
      <c r="F824" s="656" t="s">
        <v>236</v>
      </c>
    </row>
    <row r="825" spans="1:6">
      <c r="A825" s="651"/>
      <c r="B825" s="658" t="s">
        <v>873</v>
      </c>
      <c r="C825" s="682" t="s">
        <v>854</v>
      </c>
      <c r="D825" s="786" t="s">
        <v>874</v>
      </c>
      <c r="E825" s="655">
        <v>11828.571428571429</v>
      </c>
      <c r="F825" s="656" t="s">
        <v>236</v>
      </c>
    </row>
    <row r="826" spans="1:6">
      <c r="A826" s="651"/>
      <c r="B826" s="658" t="s">
        <v>875</v>
      </c>
      <c r="C826" s="682" t="s">
        <v>802</v>
      </c>
      <c r="D826" s="786" t="s">
        <v>876</v>
      </c>
      <c r="E826" s="655">
        <v>13685.714285714286</v>
      </c>
      <c r="F826" s="656" t="s">
        <v>236</v>
      </c>
    </row>
    <row r="827" spans="1:6">
      <c r="A827" s="651"/>
      <c r="B827" s="658" t="s">
        <v>877</v>
      </c>
      <c r="C827" s="800" t="s">
        <v>858</v>
      </c>
      <c r="D827" s="786" t="s">
        <v>878</v>
      </c>
      <c r="E827" s="655">
        <v>14142.857142857143</v>
      </c>
      <c r="F827" s="656" t="s">
        <v>236</v>
      </c>
    </row>
    <row r="828" spans="1:6">
      <c r="A828" s="651"/>
      <c r="B828" s="658" t="s">
        <v>879</v>
      </c>
      <c r="C828" s="682"/>
      <c r="D828" s="786" t="s">
        <v>880</v>
      </c>
      <c r="E828" s="655">
        <v>16042.857142857143</v>
      </c>
      <c r="F828" s="656" t="s">
        <v>236</v>
      </c>
    </row>
    <row r="829" spans="1:6">
      <c r="A829" s="651"/>
      <c r="B829" s="658" t="s">
        <v>881</v>
      </c>
      <c r="C829" s="682"/>
      <c r="D829" s="786" t="s">
        <v>882</v>
      </c>
      <c r="E829" s="655">
        <v>16064.285714285716</v>
      </c>
      <c r="F829" s="656" t="s">
        <v>236</v>
      </c>
    </row>
    <row r="830" spans="1:6">
      <c r="A830" s="651"/>
      <c r="B830" s="658"/>
      <c r="C830" s="682"/>
      <c r="D830" s="786"/>
      <c r="E830" s="655"/>
      <c r="F830" s="656"/>
    </row>
    <row r="831" spans="1:6">
      <c r="A831" s="651"/>
      <c r="B831" s="658" t="s">
        <v>883</v>
      </c>
      <c r="C831" s="682" t="s">
        <v>868</v>
      </c>
      <c r="D831" s="786" t="s">
        <v>884</v>
      </c>
      <c r="E831" s="655">
        <v>10785.714285714286</v>
      </c>
      <c r="F831" s="656" t="s">
        <v>236</v>
      </c>
    </row>
    <row r="832" spans="1:6">
      <c r="A832" s="651"/>
      <c r="B832" s="658" t="s">
        <v>885</v>
      </c>
      <c r="C832" s="682" t="s">
        <v>871</v>
      </c>
      <c r="D832" s="786" t="s">
        <v>886</v>
      </c>
      <c r="E832" s="655">
        <v>11100</v>
      </c>
      <c r="F832" s="656" t="s">
        <v>236</v>
      </c>
    </row>
    <row r="833" spans="1:6">
      <c r="A833" s="651"/>
      <c r="B833" s="658" t="s">
        <v>887</v>
      </c>
      <c r="C833" s="682" t="s">
        <v>888</v>
      </c>
      <c r="D833" s="786" t="s">
        <v>889</v>
      </c>
      <c r="E833" s="655">
        <v>11900</v>
      </c>
      <c r="F833" s="656" t="s">
        <v>236</v>
      </c>
    </row>
    <row r="834" spans="1:6">
      <c r="A834" s="651"/>
      <c r="B834" s="658" t="s">
        <v>890</v>
      </c>
      <c r="C834" s="682" t="s">
        <v>802</v>
      </c>
      <c r="D834" s="786" t="s">
        <v>891</v>
      </c>
      <c r="E834" s="655">
        <v>13807.142857142859</v>
      </c>
      <c r="F834" s="656" t="s">
        <v>236</v>
      </c>
    </row>
    <row r="835" spans="1:6">
      <c r="A835" s="651"/>
      <c r="B835" s="658" t="s">
        <v>892</v>
      </c>
      <c r="C835" s="800" t="s">
        <v>858</v>
      </c>
      <c r="D835" s="786" t="s">
        <v>893</v>
      </c>
      <c r="E835" s="655">
        <v>14214.285714285716</v>
      </c>
      <c r="F835" s="656" t="s">
        <v>236</v>
      </c>
    </row>
    <row r="836" spans="1:6">
      <c r="A836" s="651"/>
      <c r="B836" s="658" t="s">
        <v>894</v>
      </c>
      <c r="C836" s="682"/>
      <c r="D836" s="786" t="s">
        <v>895</v>
      </c>
      <c r="E836" s="655">
        <v>16114.285714285716</v>
      </c>
      <c r="F836" s="656" t="s">
        <v>236</v>
      </c>
    </row>
    <row r="837" spans="1:6">
      <c r="A837" s="651"/>
      <c r="B837" s="658" t="s">
        <v>896</v>
      </c>
      <c r="C837" s="682"/>
      <c r="D837" s="786" t="s">
        <v>897</v>
      </c>
      <c r="E837" s="655"/>
      <c r="F837" s="801"/>
    </row>
    <row r="838" spans="1:6">
      <c r="A838" s="651"/>
      <c r="B838" s="658"/>
      <c r="C838" s="682"/>
      <c r="D838" s="786"/>
      <c r="E838" s="662"/>
      <c r="F838" s="663"/>
    </row>
    <row r="839" spans="1:6">
      <c r="A839" s="678"/>
      <c r="B839" s="645"/>
      <c r="C839" s="646" t="s">
        <v>898</v>
      </c>
      <c r="D839" s="647"/>
      <c r="E839" s="737"/>
      <c r="F839" s="668"/>
    </row>
    <row r="840" spans="1:6">
      <c r="A840" s="669"/>
      <c r="B840" s="652" t="s">
        <v>899</v>
      </c>
      <c r="C840" s="653" t="s">
        <v>900</v>
      </c>
      <c r="D840" s="786" t="s">
        <v>901</v>
      </c>
      <c r="E840" s="655">
        <v>2971.4285714285716</v>
      </c>
      <c r="F840" s="656" t="s">
        <v>236</v>
      </c>
    </row>
    <row r="841" spans="1:6">
      <c r="A841" s="669"/>
      <c r="B841" s="652" t="s">
        <v>902</v>
      </c>
      <c r="C841" s="653" t="s">
        <v>903</v>
      </c>
      <c r="D841" s="786" t="s">
        <v>904</v>
      </c>
      <c r="E841" s="655">
        <v>3000</v>
      </c>
      <c r="F841" s="656" t="s">
        <v>236</v>
      </c>
    </row>
    <row r="842" spans="1:6">
      <c r="A842" s="669"/>
      <c r="B842" s="652" t="s">
        <v>905</v>
      </c>
      <c r="C842" s="653" t="s">
        <v>906</v>
      </c>
      <c r="D842" s="786" t="s">
        <v>907</v>
      </c>
      <c r="E842" s="655">
        <v>3342.8571428571431</v>
      </c>
      <c r="F842" s="656" t="s">
        <v>236</v>
      </c>
    </row>
    <row r="843" spans="1:6">
      <c r="A843" s="669"/>
      <c r="B843" s="652" t="s">
        <v>908</v>
      </c>
      <c r="C843" s="653" t="s">
        <v>802</v>
      </c>
      <c r="D843" s="786" t="s">
        <v>909</v>
      </c>
      <c r="E843" s="655">
        <v>3592.8571428571431</v>
      </c>
      <c r="F843" s="656" t="s">
        <v>236</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910</v>
      </c>
      <c r="D849" s="647"/>
      <c r="E849" s="737"/>
      <c r="F849" s="668"/>
    </row>
    <row r="850" spans="1:6">
      <c r="A850" s="669"/>
      <c r="B850" s="652" t="s">
        <v>911</v>
      </c>
      <c r="C850" s="653" t="s">
        <v>912</v>
      </c>
      <c r="D850" s="786" t="s">
        <v>907</v>
      </c>
      <c r="E850" s="655">
        <v>3100</v>
      </c>
      <c r="F850" s="656" t="s">
        <v>236</v>
      </c>
    </row>
    <row r="851" spans="1:6">
      <c r="A851" s="669"/>
      <c r="B851" s="652" t="s">
        <v>913</v>
      </c>
      <c r="C851" s="653" t="s">
        <v>914</v>
      </c>
      <c r="D851" s="786" t="s">
        <v>909</v>
      </c>
      <c r="E851" s="655">
        <v>3164.2857142857147</v>
      </c>
      <c r="F851" s="656" t="s">
        <v>236</v>
      </c>
    </row>
    <row r="852" spans="1:6">
      <c r="A852" s="669"/>
      <c r="B852" s="652"/>
      <c r="C852" s="653" t="s">
        <v>915</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916</v>
      </c>
      <c r="D858" s="647"/>
      <c r="E858" s="737"/>
      <c r="F858" s="668"/>
    </row>
    <row r="859" spans="1:6">
      <c r="A859" s="669"/>
      <c r="B859" s="652" t="s">
        <v>917</v>
      </c>
      <c r="C859" s="653" t="s">
        <v>918</v>
      </c>
      <c r="D859" s="786" t="s">
        <v>919</v>
      </c>
      <c r="E859" s="655">
        <v>5128.5714285714294</v>
      </c>
      <c r="F859" s="656" t="s">
        <v>236</v>
      </c>
    </row>
    <row r="860" spans="1:6">
      <c r="A860" s="669"/>
      <c r="B860" s="652" t="s">
        <v>920</v>
      </c>
      <c r="C860" s="653" t="s">
        <v>921</v>
      </c>
      <c r="D860" s="786" t="s">
        <v>922</v>
      </c>
      <c r="E860" s="655">
        <v>5221.4285714285716</v>
      </c>
      <c r="F860" s="656" t="s">
        <v>236</v>
      </c>
    </row>
    <row r="861" spans="1:6">
      <c r="A861" s="669"/>
      <c r="B861" s="652" t="s">
        <v>923</v>
      </c>
      <c r="C861" s="653" t="s">
        <v>924</v>
      </c>
      <c r="D861" s="786" t="s">
        <v>925</v>
      </c>
      <c r="E861" s="655">
        <v>6021.4285714285716</v>
      </c>
      <c r="F861" s="656" t="s">
        <v>236</v>
      </c>
    </row>
    <row r="862" spans="1:6">
      <c r="A862" s="669"/>
      <c r="B862" s="652" t="s">
        <v>926</v>
      </c>
      <c r="C862" s="653"/>
      <c r="D862" s="786" t="s">
        <v>927</v>
      </c>
      <c r="E862" s="655">
        <v>6350</v>
      </c>
      <c r="F862" s="656" t="s">
        <v>236</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928</v>
      </c>
      <c r="D867" s="647"/>
      <c r="E867" s="737"/>
      <c r="F867" s="668"/>
    </row>
    <row r="868" spans="1:6">
      <c r="A868" s="669"/>
      <c r="B868" s="652" t="s">
        <v>929</v>
      </c>
      <c r="C868" s="653" t="s">
        <v>930</v>
      </c>
      <c r="D868" s="786" t="s">
        <v>931</v>
      </c>
      <c r="E868" s="655">
        <v>7721.4285714285716</v>
      </c>
      <c r="F868" s="656" t="s">
        <v>236</v>
      </c>
    </row>
    <row r="869" spans="1:6">
      <c r="A869" s="669"/>
      <c r="B869" s="652"/>
      <c r="C869" s="653" t="s">
        <v>932</v>
      </c>
      <c r="D869" s="786"/>
      <c r="E869" s="662"/>
      <c r="F869" s="663"/>
    </row>
    <row r="870" spans="1:6">
      <c r="A870" s="669"/>
      <c r="B870" s="652"/>
      <c r="C870" s="653" t="s">
        <v>933</v>
      </c>
      <c r="D870" s="786"/>
      <c r="E870" s="662"/>
      <c r="F870" s="663"/>
    </row>
    <row r="871" spans="1:6">
      <c r="A871" s="687"/>
      <c r="B871" s="652"/>
      <c r="C871" s="653" t="s">
        <v>934</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935</v>
      </c>
      <c r="C877" s="653" t="s">
        <v>936</v>
      </c>
      <c r="D877" s="786" t="s">
        <v>937</v>
      </c>
      <c r="E877" s="655">
        <v>8271.4285714285725</v>
      </c>
      <c r="F877" s="656" t="s">
        <v>236</v>
      </c>
    </row>
    <row r="878" spans="1:6">
      <c r="A878" s="669"/>
      <c r="B878" s="652" t="s">
        <v>938</v>
      </c>
      <c r="C878" s="653" t="s">
        <v>932</v>
      </c>
      <c r="D878" s="786" t="s">
        <v>939</v>
      </c>
      <c r="E878" s="655">
        <v>8485.7142857142862</v>
      </c>
      <c r="F878" s="656" t="s">
        <v>236</v>
      </c>
    </row>
    <row r="879" spans="1:6">
      <c r="A879" s="669"/>
      <c r="B879" s="652" t="s">
        <v>940</v>
      </c>
      <c r="C879" s="653" t="s">
        <v>933</v>
      </c>
      <c r="D879" s="786" t="s">
        <v>941</v>
      </c>
      <c r="E879" s="655">
        <v>9764.2857142857156</v>
      </c>
      <c r="F879" s="656" t="s">
        <v>236</v>
      </c>
    </row>
    <row r="880" spans="1:6">
      <c r="A880" s="669"/>
      <c r="B880" s="652"/>
      <c r="C880" s="653" t="s">
        <v>934</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846</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402</v>
      </c>
      <c r="B900" s="629"/>
      <c r="C900" s="1491" t="s">
        <v>942</v>
      </c>
      <c r="D900" s="1501"/>
      <c r="E900" s="1497"/>
      <c r="F900" s="1498"/>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461</v>
      </c>
      <c r="B901" s="633"/>
      <c r="C901" s="1492"/>
      <c r="D901" s="1502"/>
      <c r="E901" s="1499"/>
      <c r="F901" s="1500"/>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405</v>
      </c>
      <c r="B902" s="637" t="s">
        <v>406</v>
      </c>
      <c r="C902" s="294" t="s">
        <v>407</v>
      </c>
      <c r="D902" s="638" t="s">
        <v>408</v>
      </c>
      <c r="E902" s="295" t="s">
        <v>409</v>
      </c>
      <c r="F902" s="639" t="s">
        <v>410</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943</v>
      </c>
      <c r="D903" s="805"/>
      <c r="E903" s="806"/>
      <c r="F903" s="807"/>
    </row>
    <row r="904" spans="1:61">
      <c r="A904" s="651"/>
      <c r="B904" s="652" t="s">
        <v>944</v>
      </c>
      <c r="C904" s="653" t="s">
        <v>945</v>
      </c>
      <c r="D904" s="672" t="s">
        <v>946</v>
      </c>
      <c r="E904" s="655">
        <v>9585.7142857142862</v>
      </c>
      <c r="F904" s="656" t="s">
        <v>236</v>
      </c>
    </row>
    <row r="905" spans="1:61">
      <c r="A905" s="651"/>
      <c r="B905" s="652"/>
      <c r="C905" s="653" t="s">
        <v>947</v>
      </c>
      <c r="D905" s="672"/>
      <c r="E905" s="689"/>
      <c r="F905" s="663"/>
    </row>
    <row r="906" spans="1:61">
      <c r="A906" s="651"/>
      <c r="B906" s="652"/>
      <c r="C906" s="653" t="s">
        <v>948</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949</v>
      </c>
      <c r="C918" s="653" t="s">
        <v>950</v>
      </c>
      <c r="D918" s="672" t="s">
        <v>951</v>
      </c>
      <c r="E918" s="655">
        <v>10064.285714285716</v>
      </c>
      <c r="F918" s="656" t="s">
        <v>236</v>
      </c>
    </row>
    <row r="919" spans="1:6">
      <c r="A919" s="651"/>
      <c r="B919" s="652"/>
      <c r="C919" s="653" t="s">
        <v>947</v>
      </c>
      <c r="D919" s="672"/>
      <c r="E919" s="689"/>
      <c r="F919" s="663"/>
    </row>
    <row r="920" spans="1:6">
      <c r="A920" s="651"/>
      <c r="B920" s="652"/>
      <c r="C920" s="653" t="s">
        <v>948</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402</v>
      </c>
      <c r="B934" s="629"/>
      <c r="C934" s="1491" t="s">
        <v>952</v>
      </c>
      <c r="D934" s="1493"/>
      <c r="E934" s="1497"/>
      <c r="F934" s="1498"/>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461</v>
      </c>
      <c r="B935" s="633"/>
      <c r="C935" s="1492"/>
      <c r="D935" s="1495"/>
      <c r="E935" s="1499"/>
      <c r="F935" s="1500"/>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405</v>
      </c>
      <c r="B936" s="637" t="s">
        <v>406</v>
      </c>
      <c r="C936" s="294" t="s">
        <v>407</v>
      </c>
      <c r="D936" s="638" t="s">
        <v>408</v>
      </c>
      <c r="E936" s="295" t="s">
        <v>409</v>
      </c>
      <c r="F936" s="639" t="s">
        <v>410</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953</v>
      </c>
      <c r="D937" s="805"/>
      <c r="E937" s="806"/>
      <c r="F937" s="807"/>
    </row>
    <row r="938" spans="1:61">
      <c r="A938" s="669"/>
      <c r="B938" s="652" t="s">
        <v>954</v>
      </c>
      <c r="C938" s="653" t="s">
        <v>955</v>
      </c>
      <c r="D938" s="672" t="s">
        <v>956</v>
      </c>
      <c r="E938" s="655">
        <v>785.71428571428578</v>
      </c>
      <c r="F938" s="656" t="s">
        <v>236</v>
      </c>
    </row>
    <row r="939" spans="1:61">
      <c r="A939" s="669"/>
      <c r="B939" s="652" t="s">
        <v>957</v>
      </c>
      <c r="C939" s="653" t="s">
        <v>958</v>
      </c>
      <c r="D939" s="672" t="s">
        <v>959</v>
      </c>
      <c r="E939" s="655">
        <v>857.14285714285722</v>
      </c>
      <c r="F939" s="656" t="s">
        <v>236</v>
      </c>
    </row>
    <row r="940" spans="1:61">
      <c r="A940" s="669"/>
      <c r="B940" s="652" t="s">
        <v>960</v>
      </c>
      <c r="C940" s="653"/>
      <c r="D940" s="672" t="s">
        <v>961</v>
      </c>
      <c r="E940" s="655">
        <v>1300</v>
      </c>
      <c r="F940" s="656" t="s">
        <v>236</v>
      </c>
    </row>
    <row r="941" spans="1:61">
      <c r="A941" s="669"/>
      <c r="B941" s="652" t="s">
        <v>962</v>
      </c>
      <c r="C941" s="653"/>
      <c r="D941" s="672" t="s">
        <v>963</v>
      </c>
      <c r="E941" s="655">
        <v>1307.1428571428573</v>
      </c>
      <c r="F941" s="656" t="s">
        <v>236</v>
      </c>
    </row>
    <row r="942" spans="1:61">
      <c r="A942" s="669"/>
      <c r="B942" s="652" t="s">
        <v>964</v>
      </c>
      <c r="C942" s="653"/>
      <c r="D942" s="672" t="s">
        <v>965</v>
      </c>
      <c r="E942" s="655">
        <v>1357.1428571428573</v>
      </c>
      <c r="F942" s="656" t="s">
        <v>236</v>
      </c>
    </row>
    <row r="943" spans="1:61">
      <c r="A943" s="669"/>
      <c r="B943" s="652" t="s">
        <v>966</v>
      </c>
      <c r="C943" s="653"/>
      <c r="D943" s="672" t="s">
        <v>967</v>
      </c>
      <c r="E943" s="655">
        <v>1357.1428571428573</v>
      </c>
      <c r="F943" s="656" t="s">
        <v>236</v>
      </c>
    </row>
    <row r="944" spans="1:61">
      <c r="A944" s="669"/>
      <c r="B944" s="652" t="s">
        <v>968</v>
      </c>
      <c r="C944" s="653"/>
      <c r="D944" s="672" t="s">
        <v>969</v>
      </c>
      <c r="E944" s="655">
        <v>1371.4285714285716</v>
      </c>
      <c r="F944" s="656" t="s">
        <v>236</v>
      </c>
    </row>
    <row r="945" spans="1:6">
      <c r="A945" s="669"/>
      <c r="B945" s="652"/>
      <c r="C945" s="653"/>
      <c r="D945" s="672"/>
      <c r="E945" s="689"/>
      <c r="F945" s="801"/>
    </row>
    <row r="946" spans="1:6">
      <c r="A946" s="669"/>
      <c r="B946" s="652" t="s">
        <v>970</v>
      </c>
      <c r="C946" s="653" t="s">
        <v>955</v>
      </c>
      <c r="D946" s="672" t="s">
        <v>814</v>
      </c>
      <c r="E946" s="655">
        <v>814.28571428571433</v>
      </c>
      <c r="F946" s="656" t="s">
        <v>236</v>
      </c>
    </row>
    <row r="947" spans="1:6">
      <c r="A947" s="669"/>
      <c r="B947" s="652" t="s">
        <v>971</v>
      </c>
      <c r="C947" s="653" t="s">
        <v>958</v>
      </c>
      <c r="D947" s="672" t="s">
        <v>972</v>
      </c>
      <c r="E947" s="655">
        <v>914.28571428571433</v>
      </c>
      <c r="F947" s="656" t="s">
        <v>236</v>
      </c>
    </row>
    <row r="948" spans="1:6">
      <c r="A948" s="669"/>
      <c r="B948" s="652" t="s">
        <v>973</v>
      </c>
      <c r="C948" s="653"/>
      <c r="D948" s="672" t="s">
        <v>974</v>
      </c>
      <c r="E948" s="655">
        <v>1314.2857142857144</v>
      </c>
      <c r="F948" s="656" t="s">
        <v>236</v>
      </c>
    </row>
    <row r="949" spans="1:6">
      <c r="A949" s="669"/>
      <c r="B949" s="652" t="s">
        <v>975</v>
      </c>
      <c r="C949" s="653"/>
      <c r="D949" s="672" t="s">
        <v>976</v>
      </c>
      <c r="E949" s="655">
        <v>1342.8571428571429</v>
      </c>
      <c r="F949" s="656" t="s">
        <v>236</v>
      </c>
    </row>
    <row r="950" spans="1:6">
      <c r="A950" s="669"/>
      <c r="B950" s="652" t="s">
        <v>977</v>
      </c>
      <c r="C950" s="653"/>
      <c r="D950" s="672" t="s">
        <v>978</v>
      </c>
      <c r="E950" s="655">
        <v>1357.1428571428573</v>
      </c>
      <c r="F950" s="656" t="s">
        <v>236</v>
      </c>
    </row>
    <row r="951" spans="1:6">
      <c r="A951" s="669"/>
      <c r="B951" s="652" t="s">
        <v>979</v>
      </c>
      <c r="C951" s="653"/>
      <c r="D951" s="672" t="s">
        <v>980</v>
      </c>
      <c r="E951" s="655">
        <v>1371.4285714285716</v>
      </c>
      <c r="F951" s="656" t="s">
        <v>236</v>
      </c>
    </row>
    <row r="952" spans="1:6">
      <c r="A952" s="651"/>
      <c r="B952" s="652"/>
      <c r="C952" s="653"/>
      <c r="D952" s="672"/>
      <c r="E952" s="655"/>
      <c r="F952" s="656"/>
    </row>
    <row r="953" spans="1:6">
      <c r="A953" s="772"/>
      <c r="B953" s="652" t="s">
        <v>981</v>
      </c>
      <c r="C953" s="653" t="s">
        <v>982</v>
      </c>
      <c r="D953" s="672" t="s">
        <v>983</v>
      </c>
      <c r="E953" s="655">
        <v>1378.5714285714287</v>
      </c>
      <c r="F953" s="656" t="s">
        <v>236</v>
      </c>
    </row>
    <row r="954" spans="1:6">
      <c r="A954" s="669"/>
      <c r="B954" s="652" t="s">
        <v>984</v>
      </c>
      <c r="C954" s="653" t="s">
        <v>985</v>
      </c>
      <c r="D954" s="672" t="s">
        <v>986</v>
      </c>
      <c r="E954" s="655">
        <v>1485.7142857142858</v>
      </c>
      <c r="F954" s="656" t="s">
        <v>236</v>
      </c>
    </row>
    <row r="955" spans="1:6">
      <c r="A955" s="669"/>
      <c r="B955" s="652" t="s">
        <v>987</v>
      </c>
      <c r="C955" s="808"/>
      <c r="D955" s="672" t="s">
        <v>988</v>
      </c>
      <c r="E955" s="655">
        <v>1578.5714285714287</v>
      </c>
      <c r="F955" s="656" t="s">
        <v>236</v>
      </c>
    </row>
    <row r="956" spans="1:6">
      <c r="A956" s="669"/>
      <c r="B956" s="652" t="s">
        <v>989</v>
      </c>
      <c r="C956" s="653"/>
      <c r="D956" s="672" t="s">
        <v>990</v>
      </c>
      <c r="E956" s="655">
        <v>1692.8571428571429</v>
      </c>
      <c r="F956" s="656" t="s">
        <v>236</v>
      </c>
    </row>
    <row r="957" spans="1:6">
      <c r="A957" s="669"/>
      <c r="B957" s="652" t="s">
        <v>991</v>
      </c>
      <c r="C957" s="653"/>
      <c r="D957" s="672" t="s">
        <v>992</v>
      </c>
      <c r="E957" s="655">
        <v>1792.8571428571429</v>
      </c>
      <c r="F957" s="656" t="s">
        <v>236</v>
      </c>
    </row>
    <row r="958" spans="1:6">
      <c r="A958" s="669"/>
      <c r="B958" s="652" t="s">
        <v>993</v>
      </c>
      <c r="C958" s="653"/>
      <c r="D958" s="672" t="s">
        <v>994</v>
      </c>
      <c r="E958" s="655">
        <v>2135.7142857142858</v>
      </c>
      <c r="F958" s="656" t="s">
        <v>236</v>
      </c>
    </row>
    <row r="959" spans="1:6">
      <c r="A959" s="669"/>
      <c r="B959" s="652" t="s">
        <v>995</v>
      </c>
      <c r="C959" s="653"/>
      <c r="D959" s="672" t="s">
        <v>996</v>
      </c>
      <c r="E959" s="655">
        <v>2264.2857142857142</v>
      </c>
      <c r="F959" s="656" t="s">
        <v>236</v>
      </c>
    </row>
    <row r="960" spans="1:6">
      <c r="A960" s="669"/>
      <c r="B960" s="652" t="s">
        <v>997</v>
      </c>
      <c r="C960" s="653"/>
      <c r="D960" s="672" t="s">
        <v>998</v>
      </c>
      <c r="E960" s="655">
        <v>2364.2857142857142</v>
      </c>
      <c r="F960" s="656" t="s">
        <v>236</v>
      </c>
    </row>
    <row r="961" spans="1:6">
      <c r="A961" s="669"/>
      <c r="B961" s="652" t="s">
        <v>999</v>
      </c>
      <c r="C961" s="653"/>
      <c r="D961" s="672" t="s">
        <v>1000</v>
      </c>
      <c r="E961" s="655">
        <v>2514.2857142857142</v>
      </c>
      <c r="F961" s="656" t="s">
        <v>236</v>
      </c>
    </row>
    <row r="962" spans="1:6">
      <c r="A962" s="669"/>
      <c r="B962" s="652"/>
      <c r="C962" s="808"/>
      <c r="D962" s="672"/>
      <c r="E962" s="689"/>
      <c r="F962" s="801"/>
    </row>
    <row r="963" spans="1:6">
      <c r="A963" s="669"/>
      <c r="B963" s="652" t="s">
        <v>1001</v>
      </c>
      <c r="C963" s="653" t="s">
        <v>982</v>
      </c>
      <c r="D963" s="672" t="s">
        <v>1002</v>
      </c>
      <c r="E963" s="655">
        <v>1928.5714285714287</v>
      </c>
      <c r="F963" s="656" t="s">
        <v>236</v>
      </c>
    </row>
    <row r="964" spans="1:6">
      <c r="A964" s="669"/>
      <c r="B964" s="652" t="s">
        <v>1003</v>
      </c>
      <c r="C964" s="653" t="s">
        <v>985</v>
      </c>
      <c r="D964" s="672" t="s">
        <v>1004</v>
      </c>
      <c r="E964" s="655">
        <v>2071.4285714285716</v>
      </c>
      <c r="F964" s="656" t="s">
        <v>236</v>
      </c>
    </row>
    <row r="965" spans="1:6">
      <c r="A965" s="669"/>
      <c r="B965" s="652" t="s">
        <v>1005</v>
      </c>
      <c r="C965" s="653"/>
      <c r="D965" s="672" t="s">
        <v>1006</v>
      </c>
      <c r="E965" s="655">
        <v>2200</v>
      </c>
      <c r="F965" s="656" t="s">
        <v>236</v>
      </c>
    </row>
    <row r="966" spans="1:6">
      <c r="A966" s="669"/>
      <c r="B966" s="652" t="s">
        <v>1007</v>
      </c>
      <c r="C966" s="653"/>
      <c r="D966" s="672" t="s">
        <v>1008</v>
      </c>
      <c r="E966" s="655">
        <v>2350</v>
      </c>
      <c r="F966" s="656" t="s">
        <v>236</v>
      </c>
    </row>
    <row r="967" spans="1:6">
      <c r="A967" s="669"/>
      <c r="B967" s="652" t="s">
        <v>1009</v>
      </c>
      <c r="C967" s="653"/>
      <c r="D967" s="672" t="s">
        <v>1010</v>
      </c>
      <c r="E967" s="655">
        <v>2514.2857142857142</v>
      </c>
      <c r="F967" s="656" t="s">
        <v>236</v>
      </c>
    </row>
    <row r="968" spans="1:6">
      <c r="A968" s="669"/>
      <c r="B968" s="652" t="s">
        <v>1011</v>
      </c>
      <c r="C968" s="653"/>
      <c r="D968" s="672" t="s">
        <v>1012</v>
      </c>
      <c r="E968" s="655">
        <v>2700</v>
      </c>
      <c r="F968" s="656" t="s">
        <v>236</v>
      </c>
    </row>
    <row r="969" spans="1:6">
      <c r="A969" s="669"/>
      <c r="B969" s="652" t="s">
        <v>1013</v>
      </c>
      <c r="C969" s="653"/>
      <c r="D969" s="672" t="s">
        <v>1014</v>
      </c>
      <c r="E969" s="655">
        <v>2785.7142857142858</v>
      </c>
      <c r="F969" s="656" t="s">
        <v>236</v>
      </c>
    </row>
    <row r="970" spans="1:6">
      <c r="A970" s="669"/>
      <c r="B970" s="652" t="s">
        <v>1015</v>
      </c>
      <c r="C970" s="653"/>
      <c r="D970" s="672" t="s">
        <v>1016</v>
      </c>
      <c r="E970" s="655">
        <v>3100</v>
      </c>
      <c r="F970" s="656" t="s">
        <v>236</v>
      </c>
    </row>
    <row r="971" spans="1:6">
      <c r="A971" s="669"/>
      <c r="B971" s="652" t="s">
        <v>1017</v>
      </c>
      <c r="C971" s="653"/>
      <c r="D971" s="672" t="s">
        <v>1018</v>
      </c>
      <c r="E971" s="655">
        <v>3185.7142857142858</v>
      </c>
      <c r="F971" s="656" t="s">
        <v>236</v>
      </c>
    </row>
    <row r="972" spans="1:6">
      <c r="A972" s="669"/>
      <c r="B972" s="652"/>
      <c r="C972" s="808"/>
      <c r="D972" s="672"/>
      <c r="E972" s="689"/>
      <c r="F972" s="801"/>
    </row>
    <row r="973" spans="1:6">
      <c r="A973" s="669"/>
      <c r="B973" s="652" t="s">
        <v>1019</v>
      </c>
      <c r="C973" s="653" t="s">
        <v>1020</v>
      </c>
      <c r="D973" s="672" t="s">
        <v>1021</v>
      </c>
      <c r="E973" s="655">
        <v>2000.0000000000002</v>
      </c>
      <c r="F973" s="656" t="s">
        <v>236</v>
      </c>
    </row>
    <row r="974" spans="1:6">
      <c r="A974" s="669"/>
      <c r="B974" s="652" t="s">
        <v>1022</v>
      </c>
      <c r="C974" s="653" t="s">
        <v>985</v>
      </c>
      <c r="D974" s="672" t="s">
        <v>1023</v>
      </c>
      <c r="E974" s="655">
        <v>2221.4285714285716</v>
      </c>
      <c r="F974" s="656" t="s">
        <v>236</v>
      </c>
    </row>
    <row r="975" spans="1:6">
      <c r="A975" s="669"/>
      <c r="B975" s="652" t="s">
        <v>1024</v>
      </c>
      <c r="C975" s="653"/>
      <c r="D975" s="672" t="s">
        <v>1025</v>
      </c>
      <c r="E975" s="655">
        <v>2307.1428571428573</v>
      </c>
      <c r="F975" s="656" t="s">
        <v>236</v>
      </c>
    </row>
    <row r="976" spans="1:6">
      <c r="A976" s="669"/>
      <c r="B976" s="652" t="s">
        <v>1026</v>
      </c>
      <c r="C976" s="653"/>
      <c r="D976" s="672" t="s">
        <v>1027</v>
      </c>
      <c r="E976" s="655">
        <v>2800</v>
      </c>
      <c r="F976" s="656" t="s">
        <v>236</v>
      </c>
    </row>
    <row r="977" spans="1:6">
      <c r="A977" s="669"/>
      <c r="B977" s="652" t="s">
        <v>1028</v>
      </c>
      <c r="C977" s="653"/>
      <c r="D977" s="672" t="s">
        <v>1029</v>
      </c>
      <c r="E977" s="655">
        <v>2842.8571428571431</v>
      </c>
      <c r="F977" s="656" t="s">
        <v>236</v>
      </c>
    </row>
    <row r="978" spans="1:6">
      <c r="A978" s="669"/>
      <c r="B978" s="652" t="s">
        <v>1030</v>
      </c>
      <c r="C978" s="653"/>
      <c r="D978" s="672" t="s">
        <v>1031</v>
      </c>
      <c r="E978" s="655">
        <v>3492.8571428571431</v>
      </c>
      <c r="F978" s="656" t="s">
        <v>236</v>
      </c>
    </row>
    <row r="979" spans="1:6">
      <c r="A979" s="669"/>
      <c r="B979" s="652" t="s">
        <v>1032</v>
      </c>
      <c r="C979" s="653"/>
      <c r="D979" s="672" t="s">
        <v>1033</v>
      </c>
      <c r="E979" s="655">
        <v>3871.4285714285716</v>
      </c>
      <c r="F979" s="656" t="s">
        <v>236</v>
      </c>
    </row>
    <row r="980" spans="1:6">
      <c r="A980" s="669"/>
      <c r="B980" s="652" t="s">
        <v>1034</v>
      </c>
      <c r="C980" s="653"/>
      <c r="D980" s="672" t="s">
        <v>1035</v>
      </c>
      <c r="E980" s="655">
        <v>3878.5714285714289</v>
      </c>
      <c r="F980" s="656" t="s">
        <v>236</v>
      </c>
    </row>
    <row r="981" spans="1:6">
      <c r="A981" s="669"/>
      <c r="B981" s="652" t="s">
        <v>1036</v>
      </c>
      <c r="C981" s="653"/>
      <c r="D981" s="672" t="s">
        <v>1037</v>
      </c>
      <c r="E981" s="655">
        <v>3892.8571428571431</v>
      </c>
      <c r="F981" s="656" t="s">
        <v>236</v>
      </c>
    </row>
    <row r="982" spans="1:6">
      <c r="A982" s="669"/>
      <c r="B982" s="652"/>
      <c r="C982" s="808"/>
      <c r="D982" s="672"/>
      <c r="E982" s="689"/>
      <c r="F982" s="801"/>
    </row>
    <row r="983" spans="1:6">
      <c r="A983" s="669"/>
      <c r="B983" s="652" t="s">
        <v>1038</v>
      </c>
      <c r="C983" s="653" t="s">
        <v>982</v>
      </c>
      <c r="D983" s="672" t="s">
        <v>1039</v>
      </c>
      <c r="E983" s="655">
        <v>2778.5714285714289</v>
      </c>
      <c r="F983" s="656" t="s">
        <v>236</v>
      </c>
    </row>
    <row r="984" spans="1:6">
      <c r="A984" s="669"/>
      <c r="B984" s="652" t="s">
        <v>1040</v>
      </c>
      <c r="C984" s="653" t="s">
        <v>985</v>
      </c>
      <c r="D984" s="672" t="s">
        <v>1041</v>
      </c>
      <c r="E984" s="655">
        <v>2785.7142857142858</v>
      </c>
      <c r="F984" s="656" t="s">
        <v>236</v>
      </c>
    </row>
    <row r="985" spans="1:6" ht="15.75" customHeight="1">
      <c r="A985" s="669"/>
      <c r="B985" s="652" t="s">
        <v>1042</v>
      </c>
      <c r="C985" s="653"/>
      <c r="D985" s="672" t="s">
        <v>1043</v>
      </c>
      <c r="E985" s="655">
        <v>2857.1428571428573</v>
      </c>
      <c r="F985" s="656" t="s">
        <v>236</v>
      </c>
    </row>
    <row r="986" spans="1:6" ht="14.25" customHeight="1">
      <c r="A986" s="669"/>
      <c r="B986" s="652" t="s">
        <v>1044</v>
      </c>
      <c r="C986" s="653"/>
      <c r="D986" s="672" t="s">
        <v>1045</v>
      </c>
      <c r="E986" s="655">
        <v>2921.4285714285716</v>
      </c>
      <c r="F986" s="656" t="s">
        <v>236</v>
      </c>
    </row>
    <row r="987" spans="1:6">
      <c r="A987" s="669"/>
      <c r="B987" s="652" t="s">
        <v>1046</v>
      </c>
      <c r="C987" s="653"/>
      <c r="D987" s="672" t="s">
        <v>1047</v>
      </c>
      <c r="E987" s="655">
        <v>3650.0000000000005</v>
      </c>
      <c r="F987" s="656" t="s">
        <v>236</v>
      </c>
    </row>
    <row r="988" spans="1:6">
      <c r="A988" s="669"/>
      <c r="B988" s="652" t="s">
        <v>1048</v>
      </c>
      <c r="C988" s="653"/>
      <c r="D988" s="672" t="s">
        <v>1049</v>
      </c>
      <c r="E988" s="655">
        <v>3671.4285714285716</v>
      </c>
      <c r="F988" s="656" t="s">
        <v>236</v>
      </c>
    </row>
    <row r="989" spans="1:6">
      <c r="A989" s="669"/>
      <c r="B989" s="652" t="s">
        <v>1050</v>
      </c>
      <c r="C989" s="653"/>
      <c r="D989" s="672" t="s">
        <v>1051</v>
      </c>
      <c r="E989" s="655">
        <v>3957.1428571428573</v>
      </c>
      <c r="F989" s="656" t="s">
        <v>236</v>
      </c>
    </row>
    <row r="990" spans="1:6">
      <c r="A990" s="669"/>
      <c r="B990" s="652" t="s">
        <v>1052</v>
      </c>
      <c r="C990" s="653"/>
      <c r="D990" s="672" t="s">
        <v>1053</v>
      </c>
      <c r="E990" s="655">
        <v>3971.4285714285716</v>
      </c>
      <c r="F990" s="656" t="s">
        <v>236</v>
      </c>
    </row>
    <row r="991" spans="1:6">
      <c r="A991" s="669"/>
      <c r="B991" s="652" t="s">
        <v>1054</v>
      </c>
      <c r="C991" s="653"/>
      <c r="D991" s="672" t="s">
        <v>1055</v>
      </c>
      <c r="E991" s="655">
        <v>3985.7142857142858</v>
      </c>
      <c r="F991" s="656" t="s">
        <v>236</v>
      </c>
    </row>
    <row r="992" spans="1:6">
      <c r="A992" s="669"/>
      <c r="B992" s="652"/>
      <c r="C992" s="808"/>
      <c r="D992" s="672"/>
      <c r="E992" s="689"/>
      <c r="F992" s="801"/>
    </row>
    <row r="993" spans="1:6">
      <c r="A993" s="669"/>
      <c r="B993" s="652" t="s">
        <v>1056</v>
      </c>
      <c r="C993" s="809" t="s">
        <v>982</v>
      </c>
      <c r="D993" s="672" t="s">
        <v>1057</v>
      </c>
      <c r="E993" s="655">
        <v>3771.4285714285716</v>
      </c>
      <c r="F993" s="656" t="s">
        <v>236</v>
      </c>
    </row>
    <row r="994" spans="1:6">
      <c r="A994" s="669"/>
      <c r="B994" s="652" t="s">
        <v>1058</v>
      </c>
      <c r="C994" s="653" t="s">
        <v>985</v>
      </c>
      <c r="D994" s="672" t="s">
        <v>1059</v>
      </c>
      <c r="E994" s="655">
        <v>4207.1428571428578</v>
      </c>
      <c r="F994" s="656" t="s">
        <v>236</v>
      </c>
    </row>
    <row r="995" spans="1:6" ht="15.75" customHeight="1">
      <c r="A995" s="669"/>
      <c r="B995" s="652" t="s">
        <v>1060</v>
      </c>
      <c r="C995" s="653"/>
      <c r="D995" s="672" t="s">
        <v>1061</v>
      </c>
      <c r="E995" s="655">
        <v>4214.2857142857147</v>
      </c>
      <c r="F995" s="656" t="s">
        <v>236</v>
      </c>
    </row>
    <row r="996" spans="1:6" ht="14.25" customHeight="1">
      <c r="A996" s="669"/>
      <c r="B996" s="652" t="s">
        <v>1062</v>
      </c>
      <c r="C996" s="653"/>
      <c r="D996" s="672" t="s">
        <v>1063</v>
      </c>
      <c r="E996" s="655">
        <v>4235.7142857142862</v>
      </c>
      <c r="F996" s="656" t="s">
        <v>236</v>
      </c>
    </row>
    <row r="997" spans="1:6">
      <c r="A997" s="669"/>
      <c r="B997" s="652" t="s">
        <v>1064</v>
      </c>
      <c r="C997" s="653"/>
      <c r="D997" s="672" t="s">
        <v>1065</v>
      </c>
      <c r="E997" s="655">
        <v>4242.8571428571431</v>
      </c>
      <c r="F997" s="656" t="s">
        <v>236</v>
      </c>
    </row>
    <row r="998" spans="1:6">
      <c r="A998" s="669"/>
      <c r="B998" s="652" t="s">
        <v>1066</v>
      </c>
      <c r="C998" s="653"/>
      <c r="D998" s="672" t="s">
        <v>1067</v>
      </c>
      <c r="E998" s="655">
        <v>4250</v>
      </c>
      <c r="F998" s="656" t="s">
        <v>236</v>
      </c>
    </row>
    <row r="999" spans="1:6">
      <c r="A999" s="669"/>
      <c r="B999" s="652" t="s">
        <v>1068</v>
      </c>
      <c r="C999" s="653"/>
      <c r="D999" s="672" t="s">
        <v>1069</v>
      </c>
      <c r="E999" s="655">
        <v>4264.2857142857147</v>
      </c>
      <c r="F999" s="656" t="s">
        <v>236</v>
      </c>
    </row>
    <row r="1000" spans="1:6">
      <c r="A1000" s="669"/>
      <c r="B1000" s="652" t="s">
        <v>1070</v>
      </c>
      <c r="C1000" s="653"/>
      <c r="D1000" s="672" t="s">
        <v>1071</v>
      </c>
      <c r="E1000" s="655">
        <v>4278.5714285714284</v>
      </c>
      <c r="F1000" s="656" t="s">
        <v>236</v>
      </c>
    </row>
    <row r="1001" spans="1:6">
      <c r="A1001" s="669"/>
      <c r="B1001" s="652" t="s">
        <v>1072</v>
      </c>
      <c r="C1001" s="653"/>
      <c r="D1001" s="672" t="s">
        <v>1073</v>
      </c>
      <c r="E1001" s="655">
        <v>4285.7142857142862</v>
      </c>
      <c r="F1001" s="656" t="s">
        <v>236</v>
      </c>
    </row>
    <row r="1002" spans="1:6">
      <c r="A1002" s="651"/>
      <c r="B1002" s="652"/>
      <c r="C1002" s="653"/>
      <c r="D1002" s="672"/>
      <c r="E1002" s="689"/>
      <c r="F1002" s="801"/>
    </row>
    <row r="1003" spans="1:6">
      <c r="A1003" s="651"/>
      <c r="B1003" s="652" t="s">
        <v>1074</v>
      </c>
      <c r="C1003" s="809" t="s">
        <v>1075</v>
      </c>
      <c r="D1003" s="672" t="s">
        <v>1076</v>
      </c>
      <c r="E1003" s="655">
        <v>2000.0000000000002</v>
      </c>
      <c r="F1003" s="656" t="s">
        <v>236</v>
      </c>
    </row>
    <row r="1004" spans="1:6">
      <c r="A1004" s="651"/>
      <c r="B1004" s="652" t="s">
        <v>1077</v>
      </c>
      <c r="C1004" s="653" t="s">
        <v>1078</v>
      </c>
      <c r="D1004" s="672" t="s">
        <v>1079</v>
      </c>
      <c r="E1004" s="655">
        <v>2778.5714285714289</v>
      </c>
      <c r="F1004" s="656" t="s">
        <v>236</v>
      </c>
    </row>
    <row r="1005" spans="1:6" ht="15.75" customHeight="1">
      <c r="A1005" s="651"/>
      <c r="B1005" s="652" t="s">
        <v>1080</v>
      </c>
      <c r="C1005" s="653"/>
      <c r="D1005" s="672" t="s">
        <v>1081</v>
      </c>
      <c r="E1005" s="655">
        <v>3771.4285714285716</v>
      </c>
      <c r="F1005" s="656" t="s">
        <v>236</v>
      </c>
    </row>
    <row r="1006" spans="1:6" ht="14.25" customHeight="1">
      <c r="A1006" s="651"/>
      <c r="B1006" s="652" t="s">
        <v>1082</v>
      </c>
      <c r="C1006" s="653"/>
      <c r="D1006" s="672" t="s">
        <v>1083</v>
      </c>
      <c r="E1006" s="655">
        <v>3778.5714285714289</v>
      </c>
      <c r="F1006" s="656" t="s">
        <v>236</v>
      </c>
    </row>
    <row r="1007" spans="1:6">
      <c r="A1007" s="669"/>
      <c r="B1007" s="652" t="s">
        <v>1084</v>
      </c>
      <c r="C1007" s="653"/>
      <c r="D1007" s="672" t="s">
        <v>1085</v>
      </c>
      <c r="E1007" s="655">
        <v>3792.8571428571431</v>
      </c>
      <c r="F1007" s="656" t="s">
        <v>236</v>
      </c>
    </row>
    <row r="1008" spans="1:6">
      <c r="A1008" s="669"/>
      <c r="B1008" s="652" t="s">
        <v>1086</v>
      </c>
      <c r="C1008" s="653"/>
      <c r="D1008" s="672" t="s">
        <v>1087</v>
      </c>
      <c r="E1008" s="655">
        <v>4242.8571428571431</v>
      </c>
      <c r="F1008" s="656" t="s">
        <v>236</v>
      </c>
    </row>
    <row r="1009" spans="1:6">
      <c r="A1009" s="669"/>
      <c r="B1009" s="652" t="s">
        <v>1088</v>
      </c>
      <c r="C1009" s="653"/>
      <c r="D1009" s="672" t="s">
        <v>1089</v>
      </c>
      <c r="E1009" s="655">
        <v>4271.4285714285716</v>
      </c>
      <c r="F1009" s="656" t="s">
        <v>236</v>
      </c>
    </row>
    <row r="1010" spans="1:6">
      <c r="A1010" s="669"/>
      <c r="B1010" s="652" t="s">
        <v>1090</v>
      </c>
      <c r="C1010" s="653"/>
      <c r="D1010" s="672" t="s">
        <v>1091</v>
      </c>
      <c r="E1010" s="655">
        <v>4292.8571428571431</v>
      </c>
      <c r="F1010" s="656" t="s">
        <v>236</v>
      </c>
    </row>
    <row r="1011" spans="1:6">
      <c r="A1011" s="669"/>
      <c r="B1011" s="652" t="s">
        <v>1092</v>
      </c>
      <c r="C1011" s="763"/>
      <c r="D1011" s="672" t="s">
        <v>1093</v>
      </c>
      <c r="E1011" s="655">
        <v>4292.8571428571431</v>
      </c>
      <c r="F1011" s="656" t="s">
        <v>236</v>
      </c>
    </row>
    <row r="1012" spans="1:6">
      <c r="A1012" s="669"/>
      <c r="B1012" s="652" t="s">
        <v>1094</v>
      </c>
      <c r="C1012" s="763"/>
      <c r="D1012" s="672" t="s">
        <v>1095</v>
      </c>
      <c r="E1012" s="655">
        <v>4300</v>
      </c>
      <c r="F1012" s="656" t="s">
        <v>236</v>
      </c>
    </row>
    <row r="1013" spans="1:6">
      <c r="A1013" s="669"/>
      <c r="B1013" s="652" t="s">
        <v>1096</v>
      </c>
      <c r="C1013" s="653"/>
      <c r="D1013" s="672" t="s">
        <v>1097</v>
      </c>
      <c r="E1013" s="655">
        <v>4314.2857142857147</v>
      </c>
      <c r="F1013" s="656" t="s">
        <v>236</v>
      </c>
    </row>
    <row r="1014" spans="1:6">
      <c r="A1014" s="669"/>
      <c r="B1014" s="652" t="s">
        <v>1098</v>
      </c>
      <c r="C1014" s="787"/>
      <c r="D1014" s="654" t="s">
        <v>1099</v>
      </c>
      <c r="E1014" s="655">
        <v>4457.1428571428578</v>
      </c>
      <c r="F1014" s="656" t="s">
        <v>236</v>
      </c>
    </row>
    <row r="1015" spans="1:6" ht="15.75" customHeight="1">
      <c r="A1015" s="669"/>
      <c r="B1015" s="652" t="s">
        <v>1100</v>
      </c>
      <c r="C1015" s="787"/>
      <c r="D1015" s="654" t="s">
        <v>1101</v>
      </c>
      <c r="E1015" s="655">
        <v>4642.8571428571431</v>
      </c>
      <c r="F1015" s="656" t="s">
        <v>236</v>
      </c>
    </row>
    <row r="1016" spans="1:6" ht="14.25" customHeight="1">
      <c r="A1016" s="669"/>
      <c r="B1016" s="652" t="s">
        <v>1102</v>
      </c>
      <c r="C1016" s="787"/>
      <c r="D1016" s="654" t="s">
        <v>1103</v>
      </c>
      <c r="E1016" s="655">
        <v>4928.5714285714284</v>
      </c>
      <c r="F1016" s="656" t="s">
        <v>236</v>
      </c>
    </row>
    <row r="1017" spans="1:6">
      <c r="A1017" s="669"/>
      <c r="B1017" s="658" t="s">
        <v>1104</v>
      </c>
      <c r="C1017" s="719"/>
      <c r="D1017" s="654" t="s">
        <v>1105</v>
      </c>
      <c r="E1017" s="655">
        <v>4928.5714285714284</v>
      </c>
      <c r="F1017" s="656" t="s">
        <v>236</v>
      </c>
    </row>
    <row r="1018" spans="1:6">
      <c r="A1018" s="669"/>
      <c r="B1018" s="658" t="s">
        <v>1106</v>
      </c>
      <c r="C1018" s="719"/>
      <c r="D1018" s="654" t="s">
        <v>1107</v>
      </c>
      <c r="E1018" s="655">
        <v>5014.2857142857147</v>
      </c>
      <c r="F1018" s="656" t="s">
        <v>236</v>
      </c>
    </row>
    <row r="1019" spans="1:6">
      <c r="A1019" s="803"/>
      <c r="B1019" s="804"/>
      <c r="C1019" s="708" t="s">
        <v>1108</v>
      </c>
      <c r="D1019" s="805"/>
      <c r="E1019" s="806"/>
      <c r="F1019" s="807"/>
    </row>
    <row r="1020" spans="1:6" ht="28">
      <c r="A1020" s="669"/>
      <c r="B1020" s="652" t="s">
        <v>1109</v>
      </c>
      <c r="C1020" s="693" t="s">
        <v>1110</v>
      </c>
      <c r="D1020" s="672" t="s">
        <v>1111</v>
      </c>
      <c r="E1020" s="655">
        <v>1330.0529100529097</v>
      </c>
      <c r="F1020" s="656" t="s">
        <v>236</v>
      </c>
    </row>
    <row r="1021" spans="1:6">
      <c r="A1021" s="669"/>
      <c r="B1021" s="652" t="s">
        <v>1112</v>
      </c>
      <c r="C1021" s="696"/>
      <c r="D1021" s="672" t="s">
        <v>1113</v>
      </c>
      <c r="E1021" s="655">
        <v>1434.1798941798936</v>
      </c>
      <c r="F1021" s="656" t="s">
        <v>236</v>
      </c>
    </row>
    <row r="1022" spans="1:6">
      <c r="A1022" s="669"/>
      <c r="B1022" s="652" t="s">
        <v>1114</v>
      </c>
      <c r="C1022" s="696"/>
      <c r="D1022" s="672" t="s">
        <v>1115</v>
      </c>
      <c r="E1022" s="655">
        <v>1526.5255731922396</v>
      </c>
      <c r="F1022" s="656" t="s">
        <v>236</v>
      </c>
    </row>
    <row r="1023" spans="1:6">
      <c r="A1023" s="669"/>
      <c r="B1023" s="652" t="s">
        <v>1116</v>
      </c>
      <c r="C1023" s="696"/>
      <c r="D1023" s="672" t="s">
        <v>1117</v>
      </c>
      <c r="E1023" s="655">
        <v>1630.6349206349205</v>
      </c>
      <c r="F1023" s="656" t="s">
        <v>236</v>
      </c>
    </row>
    <row r="1024" spans="1:6" ht="15.75" customHeight="1">
      <c r="A1024" s="669"/>
      <c r="B1024" s="652" t="s">
        <v>1118</v>
      </c>
      <c r="C1024" s="696"/>
      <c r="D1024" s="672" t="s">
        <v>1119</v>
      </c>
      <c r="E1024" s="655">
        <v>1730.8465608465553</v>
      </c>
      <c r="F1024" s="656" t="s">
        <v>236</v>
      </c>
    </row>
    <row r="1025" spans="1:6" ht="14.25" customHeight="1">
      <c r="A1025" s="669"/>
      <c r="B1025" s="652" t="s">
        <v>1120</v>
      </c>
      <c r="C1025" s="696"/>
      <c r="D1025" s="672" t="s">
        <v>1121</v>
      </c>
      <c r="E1025" s="655">
        <v>1834.9559082892383</v>
      </c>
      <c r="F1025" s="656" t="s">
        <v>236</v>
      </c>
    </row>
    <row r="1026" spans="1:6">
      <c r="A1026" s="669"/>
      <c r="B1026" s="652" t="s">
        <v>1122</v>
      </c>
      <c r="C1026" s="696"/>
      <c r="D1026" s="672" t="s">
        <v>1123</v>
      </c>
      <c r="E1026" s="655">
        <v>1941.0582010582064</v>
      </c>
      <c r="F1026" s="656" t="s">
        <v>236</v>
      </c>
    </row>
    <row r="1027" spans="1:6">
      <c r="A1027" s="669"/>
      <c r="B1027" s="652"/>
      <c r="C1027" s="653"/>
      <c r="D1027" s="672"/>
      <c r="E1027" s="689"/>
      <c r="F1027" s="663"/>
    </row>
    <row r="1028" spans="1:6">
      <c r="A1028" s="803"/>
      <c r="B1028" s="804"/>
      <c r="C1028" s="708" t="s">
        <v>1124</v>
      </c>
      <c r="D1028" s="805"/>
      <c r="E1028" s="806"/>
      <c r="F1028" s="807"/>
    </row>
    <row r="1029" spans="1:6" ht="28">
      <c r="A1029" s="669"/>
      <c r="B1029" s="652" t="s">
        <v>1125</v>
      </c>
      <c r="C1029" s="696" t="s">
        <v>1110</v>
      </c>
      <c r="D1029" s="672" t="s">
        <v>1126</v>
      </c>
      <c r="E1029" s="655">
        <v>1654.2151675485081</v>
      </c>
      <c r="F1029" s="656" t="s">
        <v>236</v>
      </c>
    </row>
    <row r="1030" spans="1:6">
      <c r="A1030" s="669"/>
      <c r="B1030" s="652" t="s">
        <v>1127</v>
      </c>
      <c r="C1030" s="696"/>
      <c r="D1030" s="672" t="s">
        <v>1128</v>
      </c>
      <c r="E1030" s="655">
        <v>2292.7160493827141</v>
      </c>
      <c r="F1030" s="656" t="s">
        <v>236</v>
      </c>
    </row>
    <row r="1031" spans="1:6">
      <c r="A1031" s="669"/>
      <c r="B1031" s="652" t="s">
        <v>1129</v>
      </c>
      <c r="C1031" s="696"/>
      <c r="D1031" s="672" t="s">
        <v>1130</v>
      </c>
      <c r="E1031" s="655">
        <v>2375.0793650793648</v>
      </c>
      <c r="F1031" s="656" t="s">
        <v>236</v>
      </c>
    </row>
    <row r="1032" spans="1:6">
      <c r="A1032" s="669"/>
      <c r="B1032" s="652" t="s">
        <v>1131</v>
      </c>
      <c r="C1032" s="696"/>
      <c r="D1032" s="672" t="s">
        <v>1132</v>
      </c>
      <c r="E1032" s="655">
        <v>2459.7178130511429</v>
      </c>
      <c r="F1032" s="656" t="s">
        <v>236</v>
      </c>
    </row>
    <row r="1033" spans="1:6" ht="15.75" customHeight="1">
      <c r="A1033" s="669"/>
      <c r="B1033" s="652" t="s">
        <v>1133</v>
      </c>
      <c r="C1033" s="696"/>
      <c r="D1033" s="672" t="s">
        <v>1134</v>
      </c>
      <c r="E1033" s="655">
        <v>2540.2645502645555</v>
      </c>
      <c r="F1033" s="656" t="s">
        <v>236</v>
      </c>
    </row>
    <row r="1034" spans="1:6" ht="14.25" customHeight="1">
      <c r="A1034" s="669"/>
      <c r="B1034" s="652" t="s">
        <v>1135</v>
      </c>
      <c r="C1034" s="696"/>
      <c r="D1034" s="672" t="s">
        <v>1136</v>
      </c>
      <c r="E1034" s="655">
        <v>2620.8112874779522</v>
      </c>
      <c r="F1034" s="656" t="s">
        <v>236</v>
      </c>
    </row>
    <row r="1035" spans="1:6">
      <c r="A1035" s="669"/>
      <c r="B1035" s="652" t="s">
        <v>1137</v>
      </c>
      <c r="C1035" s="696"/>
      <c r="D1035" s="672" t="s">
        <v>1138</v>
      </c>
      <c r="E1035" s="655">
        <v>2707.2663139329843</v>
      </c>
      <c r="F1035" s="656" t="s">
        <v>236</v>
      </c>
    </row>
    <row r="1036" spans="1:6">
      <c r="A1036" s="669"/>
      <c r="B1036" s="652"/>
      <c r="C1036" s="653"/>
      <c r="D1036" s="672"/>
      <c r="E1036" s="689"/>
      <c r="F1036" s="663"/>
    </row>
    <row r="1037" spans="1:6">
      <c r="A1037" s="803"/>
      <c r="B1037" s="804"/>
      <c r="C1037" s="708" t="s">
        <v>1139</v>
      </c>
      <c r="D1037" s="805"/>
      <c r="E1037" s="806"/>
      <c r="F1037" s="807"/>
    </row>
    <row r="1038" spans="1:6" ht="28">
      <c r="A1038" s="669"/>
      <c r="B1038" s="652" t="s">
        <v>1140</v>
      </c>
      <c r="C1038" s="696" t="s">
        <v>1110</v>
      </c>
      <c r="D1038" s="672" t="s">
        <v>1002</v>
      </c>
      <c r="E1038" s="655">
        <v>1654.2151675485081</v>
      </c>
      <c r="F1038" s="656" t="s">
        <v>236</v>
      </c>
    </row>
    <row r="1039" spans="1:6">
      <c r="A1039" s="669"/>
      <c r="B1039" s="652" t="s">
        <v>1141</v>
      </c>
      <c r="C1039" s="696"/>
      <c r="D1039" s="672" t="s">
        <v>1142</v>
      </c>
      <c r="E1039" s="655">
        <v>1777.9894179894129</v>
      </c>
      <c r="F1039" s="656" t="s">
        <v>236</v>
      </c>
    </row>
    <row r="1040" spans="1:6">
      <c r="A1040" s="669"/>
      <c r="B1040" s="652" t="s">
        <v>1143</v>
      </c>
      <c r="C1040" s="696"/>
      <c r="D1040" s="672" t="s">
        <v>1144</v>
      </c>
      <c r="E1040" s="655">
        <v>1886.0493827160481</v>
      </c>
      <c r="F1040" s="656" t="s">
        <v>236</v>
      </c>
    </row>
    <row r="1041" spans="1:6">
      <c r="A1041" s="669"/>
      <c r="B1041" s="652" t="s">
        <v>1145</v>
      </c>
      <c r="C1041" s="696"/>
      <c r="D1041" s="672" t="s">
        <v>1146</v>
      </c>
      <c r="E1041" s="655">
        <v>2015.7142857142858</v>
      </c>
      <c r="F1041" s="656" t="s">
        <v>236</v>
      </c>
    </row>
    <row r="1042" spans="1:6" ht="15.75" customHeight="1">
      <c r="A1042" s="669"/>
      <c r="B1042" s="652" t="s">
        <v>1147</v>
      </c>
      <c r="C1042" s="696"/>
      <c r="D1042" s="672" t="s">
        <v>1148</v>
      </c>
      <c r="E1042" s="655">
        <v>2161.0934744268093</v>
      </c>
      <c r="F1042" s="656" t="s">
        <v>236</v>
      </c>
    </row>
    <row r="1043" spans="1:6" ht="14.25" customHeight="1">
      <c r="A1043" s="669"/>
      <c r="B1043" s="652" t="s">
        <v>1149</v>
      </c>
      <c r="C1043" s="696"/>
      <c r="D1043" s="672" t="s">
        <v>1150</v>
      </c>
      <c r="E1043" s="655">
        <v>2316.2962962963015</v>
      </c>
      <c r="F1043" s="656" t="s">
        <v>236</v>
      </c>
    </row>
    <row r="1044" spans="1:6">
      <c r="A1044" s="669"/>
      <c r="B1044" s="652" t="s">
        <v>1151</v>
      </c>
      <c r="C1044" s="696"/>
      <c r="D1044" s="672" t="s">
        <v>1152</v>
      </c>
      <c r="E1044" s="655">
        <v>2390.9523809523807</v>
      </c>
      <c r="F1044" s="656" t="s">
        <v>236</v>
      </c>
    </row>
    <row r="1045" spans="1:6">
      <c r="A1045" s="669"/>
      <c r="B1045" s="652"/>
      <c r="C1045" s="653"/>
      <c r="D1045" s="672"/>
      <c r="E1045" s="689"/>
      <c r="F1045" s="663"/>
    </row>
    <row r="1046" spans="1:6">
      <c r="A1046" s="803"/>
      <c r="B1046" s="804"/>
      <c r="C1046" s="708" t="s">
        <v>1153</v>
      </c>
      <c r="D1046" s="805"/>
      <c r="E1046" s="806"/>
      <c r="F1046" s="807"/>
    </row>
    <row r="1047" spans="1:6" ht="28">
      <c r="A1047" s="669"/>
      <c r="B1047" s="652" t="s">
        <v>1154</v>
      </c>
      <c r="C1047" s="696" t="s">
        <v>1110</v>
      </c>
      <c r="D1047" s="672" t="s">
        <v>1155</v>
      </c>
      <c r="E1047" s="655">
        <v>1715.1146384478575</v>
      </c>
      <c r="F1047" s="656" t="s">
        <v>236</v>
      </c>
    </row>
    <row r="1048" spans="1:6">
      <c r="A1048" s="669"/>
      <c r="B1048" s="652" t="s">
        <v>1156</v>
      </c>
      <c r="C1048" s="696"/>
      <c r="D1048" s="672" t="s">
        <v>1157</v>
      </c>
      <c r="E1048" s="655">
        <v>1909.6119929453332</v>
      </c>
      <c r="F1048" s="656" t="s">
        <v>236</v>
      </c>
    </row>
    <row r="1049" spans="1:6">
      <c r="A1049" s="669"/>
      <c r="B1049" s="652" t="s">
        <v>1158</v>
      </c>
      <c r="C1049" s="696"/>
      <c r="D1049" s="672" t="s">
        <v>1159</v>
      </c>
      <c r="E1049" s="655">
        <v>1978.3774250440954</v>
      </c>
      <c r="F1049" s="656" t="s">
        <v>236</v>
      </c>
    </row>
    <row r="1050" spans="1:6">
      <c r="A1050" s="669"/>
      <c r="B1050" s="652" t="s">
        <v>1160</v>
      </c>
      <c r="C1050" s="696"/>
      <c r="D1050" s="672" t="s">
        <v>1161</v>
      </c>
      <c r="E1050" s="655">
        <v>2404.7089947090003</v>
      </c>
      <c r="F1050" s="656" t="s">
        <v>236</v>
      </c>
    </row>
    <row r="1051" spans="1:6" ht="15.75" customHeight="1">
      <c r="A1051" s="669"/>
      <c r="B1051" s="652" t="s">
        <v>1162</v>
      </c>
      <c r="C1051" s="696"/>
      <c r="D1051" s="672" t="s">
        <v>1163</v>
      </c>
      <c r="E1051" s="655">
        <v>2440.0705467372063</v>
      </c>
      <c r="F1051" s="656" t="s">
        <v>236</v>
      </c>
    </row>
    <row r="1052" spans="1:6" ht="14.25" customHeight="1">
      <c r="A1052" s="669"/>
      <c r="B1052" s="652" t="s">
        <v>1164</v>
      </c>
      <c r="C1052" s="696"/>
      <c r="D1052" s="672" t="s">
        <v>1165</v>
      </c>
      <c r="E1052" s="655">
        <v>2998.0246913580318</v>
      </c>
      <c r="F1052" s="656" t="s">
        <v>236</v>
      </c>
    </row>
    <row r="1053" spans="1:6">
      <c r="A1053" s="669"/>
      <c r="B1053" s="652" t="s">
        <v>1166</v>
      </c>
      <c r="C1053" s="696"/>
      <c r="D1053" s="672" t="s">
        <v>1167</v>
      </c>
      <c r="E1053" s="655">
        <v>3326.1199294532698</v>
      </c>
      <c r="F1053" s="656" t="s">
        <v>236</v>
      </c>
    </row>
    <row r="1054" spans="1:6">
      <c r="A1054" s="669"/>
      <c r="B1054" s="652"/>
      <c r="C1054" s="653"/>
      <c r="D1054" s="672"/>
      <c r="E1054" s="689"/>
      <c r="F1054" s="663"/>
    </row>
    <row r="1055" spans="1:6">
      <c r="A1055" s="803"/>
      <c r="B1055" s="804"/>
      <c r="C1055" s="708" t="s">
        <v>1168</v>
      </c>
      <c r="D1055" s="805"/>
      <c r="E1055" s="806"/>
      <c r="F1055" s="807"/>
    </row>
    <row r="1056" spans="1:6" ht="28">
      <c r="A1056" s="669"/>
      <c r="B1056" s="652" t="s">
        <v>1169</v>
      </c>
      <c r="C1056" s="696" t="s">
        <v>1110</v>
      </c>
      <c r="D1056" s="672" t="s">
        <v>1170</v>
      </c>
      <c r="E1056" s="655">
        <v>1322.1869488536158</v>
      </c>
      <c r="F1056" s="656" t="s">
        <v>236</v>
      </c>
    </row>
    <row r="1057" spans="1:6">
      <c r="A1057" s="669"/>
      <c r="B1057" s="652" t="s">
        <v>1171</v>
      </c>
      <c r="C1057" s="696"/>
      <c r="D1057" s="672" t="s">
        <v>1172</v>
      </c>
      <c r="E1057" s="655">
        <v>1434.1798941798936</v>
      </c>
      <c r="F1057" s="656" t="s">
        <v>236</v>
      </c>
    </row>
    <row r="1058" spans="1:6">
      <c r="A1058" s="669"/>
      <c r="B1058" s="652" t="s">
        <v>1173</v>
      </c>
      <c r="C1058" s="696"/>
      <c r="D1058" s="672" t="s">
        <v>1174</v>
      </c>
      <c r="E1058" s="655">
        <v>1526.7019400352729</v>
      </c>
      <c r="F1058" s="656" t="s">
        <v>236</v>
      </c>
    </row>
    <row r="1059" spans="1:6">
      <c r="A1059" s="669"/>
      <c r="B1059" s="652" t="s">
        <v>1175</v>
      </c>
      <c r="C1059" s="696"/>
      <c r="D1059" s="672" t="s">
        <v>1176</v>
      </c>
      <c r="E1059" s="655">
        <v>1630.6349206349205</v>
      </c>
      <c r="F1059" s="656" t="s">
        <v>236</v>
      </c>
    </row>
    <row r="1060" spans="1:6">
      <c r="A1060" s="669"/>
      <c r="B1060" s="652" t="s">
        <v>1177</v>
      </c>
      <c r="C1060" s="696"/>
      <c r="D1060" s="672" t="s">
        <v>1178</v>
      </c>
      <c r="E1060" s="655">
        <v>1730.8465608465553</v>
      </c>
      <c r="F1060" s="656" t="s">
        <v>236</v>
      </c>
    </row>
    <row r="1061" spans="1:6">
      <c r="A1061" s="669"/>
      <c r="B1061" s="652" t="s">
        <v>1179</v>
      </c>
      <c r="C1061" s="696"/>
      <c r="D1061" s="672" t="s">
        <v>1180</v>
      </c>
      <c r="E1061" s="655">
        <v>1834.9559082892383</v>
      </c>
      <c r="F1061" s="656" t="s">
        <v>236</v>
      </c>
    </row>
    <row r="1062" spans="1:6">
      <c r="A1062" s="669"/>
      <c r="B1062" s="652" t="s">
        <v>1181</v>
      </c>
      <c r="C1062" s="696"/>
      <c r="D1062" s="672" t="s">
        <v>1182</v>
      </c>
      <c r="E1062" s="655">
        <v>1941.0582010582064</v>
      </c>
      <c r="F1062" s="656" t="s">
        <v>236</v>
      </c>
    </row>
    <row r="1063" spans="1:6">
      <c r="A1063" s="669"/>
      <c r="B1063" s="652"/>
      <c r="C1063" s="653"/>
      <c r="D1063" s="672"/>
      <c r="E1063" s="689"/>
      <c r="F1063" s="663"/>
    </row>
    <row r="1064" spans="1:6">
      <c r="A1064" s="803"/>
      <c r="B1064" s="804"/>
      <c r="C1064" s="708" t="s">
        <v>1183</v>
      </c>
      <c r="D1064" s="805"/>
      <c r="E1064" s="806"/>
      <c r="F1064" s="807"/>
    </row>
    <row r="1065" spans="1:6" ht="28">
      <c r="A1065" s="669"/>
      <c r="B1065" s="652" t="s">
        <v>1184</v>
      </c>
      <c r="C1065" s="696" t="s">
        <v>1110</v>
      </c>
      <c r="D1065" s="672" t="s">
        <v>1185</v>
      </c>
      <c r="E1065" s="655">
        <v>1330.0529100529097</v>
      </c>
      <c r="F1065" s="656" t="s">
        <v>236</v>
      </c>
    </row>
    <row r="1066" spans="1:6">
      <c r="A1066" s="669"/>
      <c r="B1066" s="652" t="s">
        <v>1186</v>
      </c>
      <c r="C1066" s="696"/>
      <c r="D1066" s="672" t="s">
        <v>1187</v>
      </c>
      <c r="E1066" s="655">
        <v>1434.1798941798936</v>
      </c>
      <c r="F1066" s="656" t="s">
        <v>236</v>
      </c>
    </row>
    <row r="1067" spans="1:6">
      <c r="A1067" s="669"/>
      <c r="B1067" s="652" t="s">
        <v>1188</v>
      </c>
      <c r="C1067" s="696"/>
      <c r="D1067" s="672" t="s">
        <v>1189</v>
      </c>
      <c r="E1067" s="655">
        <v>1526.7019400352729</v>
      </c>
      <c r="F1067" s="656" t="s">
        <v>236</v>
      </c>
    </row>
    <row r="1068" spans="1:6">
      <c r="A1068" s="669"/>
      <c r="B1068" s="652" t="s">
        <v>1190</v>
      </c>
      <c r="C1068" s="696"/>
      <c r="D1068" s="672" t="s">
        <v>1191</v>
      </c>
      <c r="E1068" s="655">
        <v>1630.6349206349205</v>
      </c>
      <c r="F1068" s="656" t="s">
        <v>236</v>
      </c>
    </row>
    <row r="1069" spans="1:6">
      <c r="A1069" s="669"/>
      <c r="B1069" s="652" t="s">
        <v>1192</v>
      </c>
      <c r="C1069" s="696"/>
      <c r="D1069" s="672" t="s">
        <v>1193</v>
      </c>
      <c r="E1069" s="655">
        <v>1730.8465608465553</v>
      </c>
      <c r="F1069" s="656" t="s">
        <v>236</v>
      </c>
    </row>
    <row r="1070" spans="1:6">
      <c r="A1070" s="669"/>
      <c r="B1070" s="652" t="s">
        <v>1194</v>
      </c>
      <c r="C1070" s="696"/>
      <c r="D1070" s="672" t="s">
        <v>1195</v>
      </c>
      <c r="E1070" s="655">
        <v>1834.9559082892383</v>
      </c>
      <c r="F1070" s="656" t="s">
        <v>236</v>
      </c>
    </row>
    <row r="1071" spans="1:6">
      <c r="A1071" s="669"/>
      <c r="B1071" s="652" t="s">
        <v>1196</v>
      </c>
      <c r="C1071" s="696"/>
      <c r="D1071" s="672" t="s">
        <v>1197</v>
      </c>
      <c r="E1071" s="655">
        <v>1941.0582010582064</v>
      </c>
      <c r="F1071" s="656" t="s">
        <v>236</v>
      </c>
    </row>
    <row r="1072" spans="1:6">
      <c r="A1072" s="669"/>
      <c r="B1072" s="652"/>
      <c r="C1072" s="653"/>
      <c r="D1072" s="672"/>
      <c r="E1072" s="689"/>
      <c r="F1072" s="663"/>
    </row>
    <row r="1073" spans="1:6">
      <c r="A1073" s="803"/>
      <c r="B1073" s="804"/>
      <c r="C1073" s="708" t="s">
        <v>1198</v>
      </c>
      <c r="D1073" s="805"/>
      <c r="E1073" s="806"/>
      <c r="F1073" s="807"/>
    </row>
    <row r="1074" spans="1:6" ht="28">
      <c r="A1074" s="669"/>
      <c r="B1074" s="652" t="s">
        <v>1199</v>
      </c>
      <c r="C1074" s="693" t="s">
        <v>1110</v>
      </c>
      <c r="D1074" s="672" t="s">
        <v>983</v>
      </c>
      <c r="E1074" s="655">
        <v>1330.0529100529097</v>
      </c>
      <c r="F1074" s="656" t="s">
        <v>236</v>
      </c>
    </row>
    <row r="1075" spans="1:6">
      <c r="A1075" s="669"/>
      <c r="B1075" s="652" t="s">
        <v>1200</v>
      </c>
      <c r="C1075" s="696"/>
      <c r="D1075" s="672" t="s">
        <v>1201</v>
      </c>
      <c r="E1075" s="655">
        <v>1434.1798941798936</v>
      </c>
      <c r="F1075" s="656" t="s">
        <v>236</v>
      </c>
    </row>
    <row r="1076" spans="1:6">
      <c r="A1076" s="669"/>
      <c r="B1076" s="652" t="s">
        <v>1202</v>
      </c>
      <c r="C1076" s="696"/>
      <c r="D1076" s="672" t="s">
        <v>1203</v>
      </c>
      <c r="E1076" s="655">
        <v>1526.7019400352729</v>
      </c>
      <c r="F1076" s="656" t="s">
        <v>236</v>
      </c>
    </row>
    <row r="1077" spans="1:6">
      <c r="A1077" s="669"/>
      <c r="B1077" s="652" t="s">
        <v>1204</v>
      </c>
      <c r="C1077" s="696"/>
      <c r="D1077" s="672" t="s">
        <v>1205</v>
      </c>
      <c r="E1077" s="655">
        <v>1630.6349206349205</v>
      </c>
      <c r="F1077" s="656" t="s">
        <v>236</v>
      </c>
    </row>
    <row r="1078" spans="1:6">
      <c r="A1078" s="669"/>
      <c r="B1078" s="652" t="s">
        <v>1206</v>
      </c>
      <c r="C1078" s="696"/>
      <c r="D1078" s="672" t="s">
        <v>1207</v>
      </c>
      <c r="E1078" s="655">
        <v>1730.8465608465553</v>
      </c>
      <c r="F1078" s="656" t="s">
        <v>236</v>
      </c>
    </row>
    <row r="1079" spans="1:6">
      <c r="A1079" s="669"/>
      <c r="B1079" s="652" t="s">
        <v>1208</v>
      </c>
      <c r="C1079" s="696"/>
      <c r="D1079" s="672" t="s">
        <v>1209</v>
      </c>
      <c r="E1079" s="655">
        <v>1834.9559082892383</v>
      </c>
      <c r="F1079" s="656" t="s">
        <v>236</v>
      </c>
    </row>
    <row r="1080" spans="1:6">
      <c r="A1080" s="669"/>
      <c r="B1080" s="652" t="s">
        <v>1210</v>
      </c>
      <c r="C1080" s="696"/>
      <c r="D1080" s="672" t="s">
        <v>1211</v>
      </c>
      <c r="E1080" s="655">
        <v>1941.0582010582064</v>
      </c>
      <c r="F1080" s="656" t="s">
        <v>236</v>
      </c>
    </row>
    <row r="1081" spans="1:6">
      <c r="A1081" s="669"/>
      <c r="B1081" s="652"/>
      <c r="C1081" s="653"/>
      <c r="D1081" s="672"/>
      <c r="E1081" s="689"/>
      <c r="F1081" s="663"/>
    </row>
    <row r="1082" spans="1:6">
      <c r="A1082" s="803"/>
      <c r="B1082" s="804"/>
      <c r="C1082" s="708" t="s">
        <v>1212</v>
      </c>
      <c r="D1082" s="805"/>
      <c r="E1082" s="806"/>
      <c r="F1082" s="807"/>
    </row>
    <row r="1083" spans="1:6" ht="28">
      <c r="A1083" s="669"/>
      <c r="B1083" s="652" t="s">
        <v>1213</v>
      </c>
      <c r="C1083" s="693" t="s">
        <v>1110</v>
      </c>
      <c r="D1083" s="672" t="s">
        <v>1214</v>
      </c>
      <c r="E1083" s="655">
        <v>1654.2151675485081</v>
      </c>
      <c r="F1083" s="656" t="s">
        <v>236</v>
      </c>
    </row>
    <row r="1084" spans="1:6">
      <c r="A1084" s="669"/>
      <c r="B1084" s="652" t="s">
        <v>1215</v>
      </c>
      <c r="C1084" s="696"/>
      <c r="D1084" s="672" t="s">
        <v>1216</v>
      </c>
      <c r="E1084" s="655">
        <v>1777.9894179894129</v>
      </c>
      <c r="F1084" s="656" t="s">
        <v>236</v>
      </c>
    </row>
    <row r="1085" spans="1:6">
      <c r="A1085" s="669"/>
      <c r="B1085" s="652" t="s">
        <v>1217</v>
      </c>
      <c r="C1085" s="696"/>
      <c r="D1085" s="672" t="s">
        <v>1218</v>
      </c>
      <c r="E1085" s="655">
        <v>1886.0493827160481</v>
      </c>
      <c r="F1085" s="656" t="s">
        <v>236</v>
      </c>
    </row>
    <row r="1086" spans="1:6">
      <c r="A1086" s="669"/>
      <c r="B1086" s="652" t="s">
        <v>1219</v>
      </c>
      <c r="C1086" s="696"/>
      <c r="D1086" s="672" t="s">
        <v>1220</v>
      </c>
      <c r="E1086" s="655">
        <v>2015.7142857142858</v>
      </c>
      <c r="F1086" s="656" t="s">
        <v>236</v>
      </c>
    </row>
    <row r="1087" spans="1:6">
      <c r="A1087" s="669"/>
      <c r="B1087" s="652" t="s">
        <v>1221</v>
      </c>
      <c r="C1087" s="696"/>
      <c r="D1087" s="672" t="s">
        <v>1222</v>
      </c>
      <c r="E1087" s="655">
        <v>2161.0934744268093</v>
      </c>
      <c r="F1087" s="656" t="s">
        <v>236</v>
      </c>
    </row>
    <row r="1088" spans="1:6">
      <c r="A1088" s="669"/>
      <c r="B1088" s="652" t="s">
        <v>1223</v>
      </c>
      <c r="C1088" s="696"/>
      <c r="D1088" s="672" t="s">
        <v>1224</v>
      </c>
      <c r="E1088" s="655">
        <v>2316.2962962963015</v>
      </c>
      <c r="F1088" s="656" t="s">
        <v>236</v>
      </c>
    </row>
    <row r="1089" spans="1:6">
      <c r="A1089" s="669"/>
      <c r="B1089" s="652" t="s">
        <v>1225</v>
      </c>
      <c r="C1089" s="696"/>
      <c r="D1089" s="672" t="s">
        <v>1226</v>
      </c>
      <c r="E1089" s="655">
        <v>2390.9523809523807</v>
      </c>
      <c r="F1089" s="656" t="s">
        <v>236</v>
      </c>
    </row>
    <row r="1090" spans="1:6">
      <c r="A1090" s="669"/>
      <c r="B1090" s="652"/>
      <c r="C1090" s="653"/>
      <c r="D1090" s="672"/>
      <c r="E1090" s="689"/>
      <c r="F1090" s="663"/>
    </row>
    <row r="1091" spans="1:6">
      <c r="A1091" s="765"/>
      <c r="B1091" s="766"/>
      <c r="C1091" s="646" t="s">
        <v>953</v>
      </c>
      <c r="D1091" s="768"/>
      <c r="E1091" s="769"/>
      <c r="F1091" s="668"/>
    </row>
    <row r="1092" spans="1:6">
      <c r="A1092" s="651"/>
      <c r="B1092" s="658" t="s">
        <v>1227</v>
      </c>
      <c r="C1092" s="810" t="s">
        <v>1228</v>
      </c>
      <c r="D1092" s="654" t="s">
        <v>1097</v>
      </c>
      <c r="E1092" s="655">
        <v>4142.8571428571431</v>
      </c>
      <c r="F1092" s="656" t="s">
        <v>236</v>
      </c>
    </row>
    <row r="1093" spans="1:6">
      <c r="A1093" s="651"/>
      <c r="B1093" s="658" t="s">
        <v>1229</v>
      </c>
      <c r="C1093" s="719" t="s">
        <v>1230</v>
      </c>
      <c r="D1093" s="654" t="s">
        <v>1107</v>
      </c>
      <c r="E1093" s="655">
        <v>4871.4285714285716</v>
      </c>
      <c r="F1093" s="656" t="s">
        <v>236</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1231</v>
      </c>
      <c r="C1100" s="810" t="s">
        <v>1228</v>
      </c>
      <c r="D1100" s="654" t="s">
        <v>1232</v>
      </c>
      <c r="E1100" s="655">
        <v>8300</v>
      </c>
      <c r="F1100" s="656" t="s">
        <v>236</v>
      </c>
    </row>
    <row r="1101" spans="1:6">
      <c r="A1101" s="651"/>
      <c r="B1101" s="658"/>
      <c r="C1101" s="719" t="s">
        <v>1230</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1233</v>
      </c>
      <c r="C1107" s="810" t="s">
        <v>1228</v>
      </c>
      <c r="D1107" s="654" t="s">
        <v>1234</v>
      </c>
      <c r="E1107" s="655">
        <v>16442.857142857145</v>
      </c>
      <c r="F1107" s="656" t="s">
        <v>236</v>
      </c>
    </row>
    <row r="1108" spans="1:6">
      <c r="A1108" s="651"/>
      <c r="B1108" s="658"/>
      <c r="C1108" s="719" t="s">
        <v>1230</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953</v>
      </c>
      <c r="D1114" s="768"/>
      <c r="E1114" s="769"/>
      <c r="F1114" s="668"/>
    </row>
    <row r="1115" spans="1:6">
      <c r="A1115" s="669"/>
      <c r="B1115" s="658" t="s">
        <v>1235</v>
      </c>
      <c r="C1115" s="811" t="s">
        <v>1228</v>
      </c>
      <c r="D1115" s="654" t="s">
        <v>1097</v>
      </c>
      <c r="E1115" s="655">
        <v>4142.8571428571431</v>
      </c>
      <c r="F1115" s="656" t="s">
        <v>236</v>
      </c>
    </row>
    <row r="1116" spans="1:6">
      <c r="A1116" s="669"/>
      <c r="B1116" s="658" t="s">
        <v>1236</v>
      </c>
      <c r="C1116" s="787" t="s">
        <v>1237</v>
      </c>
      <c r="D1116" s="654" t="s">
        <v>1107</v>
      </c>
      <c r="E1116" s="655">
        <v>4871.4285714285716</v>
      </c>
      <c r="F1116" s="656" t="s">
        <v>236</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1238</v>
      </c>
      <c r="C1123" s="811" t="s">
        <v>1228</v>
      </c>
      <c r="D1123" s="654" t="s">
        <v>1232</v>
      </c>
      <c r="E1123" s="655">
        <v>8300</v>
      </c>
      <c r="F1123" s="656" t="s">
        <v>236</v>
      </c>
    </row>
    <row r="1124" spans="1:6">
      <c r="A1124" s="669"/>
      <c r="B1124" s="658"/>
      <c r="C1124" s="787" t="s">
        <v>1237</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1239</v>
      </c>
      <c r="C1130" s="811" t="s">
        <v>1228</v>
      </c>
      <c r="D1130" s="654" t="s">
        <v>1234</v>
      </c>
      <c r="E1130" s="655">
        <v>16442.857142857145</v>
      </c>
      <c r="F1130" s="656" t="s">
        <v>236</v>
      </c>
    </row>
    <row r="1131" spans="1:6">
      <c r="A1131" s="651"/>
      <c r="B1131" s="658"/>
      <c r="C1131" s="787" t="s">
        <v>1237</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953</v>
      </c>
      <c r="D1146" s="768"/>
      <c r="E1146" s="769"/>
      <c r="F1146" s="668"/>
    </row>
    <row r="1147" spans="1:6">
      <c r="A1147" s="651"/>
      <c r="B1147" s="658" t="s">
        <v>1240</v>
      </c>
      <c r="C1147" s="810" t="s">
        <v>1228</v>
      </c>
      <c r="D1147" s="654" t="s">
        <v>1097</v>
      </c>
      <c r="E1147" s="655">
        <v>4142.8571428571431</v>
      </c>
      <c r="F1147" s="656" t="s">
        <v>236</v>
      </c>
    </row>
    <row r="1148" spans="1:6">
      <c r="A1148" s="651"/>
      <c r="B1148" s="658" t="s">
        <v>1241</v>
      </c>
      <c r="C1148" s="719" t="s">
        <v>1242</v>
      </c>
      <c r="D1148" s="654" t="s">
        <v>1107</v>
      </c>
      <c r="E1148" s="655">
        <v>4871.4285714285716</v>
      </c>
      <c r="F1148" s="656" t="s">
        <v>236</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1243</v>
      </c>
      <c r="C1154" s="810" t="s">
        <v>1228</v>
      </c>
      <c r="D1154" s="654" t="s">
        <v>1232</v>
      </c>
      <c r="E1154" s="655">
        <v>8300</v>
      </c>
      <c r="F1154" s="656" t="s">
        <v>236</v>
      </c>
    </row>
    <row r="1155" spans="1:6">
      <c r="A1155" s="651"/>
      <c r="B1155" s="658"/>
      <c r="C1155" s="719" t="s">
        <v>1242</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1244</v>
      </c>
      <c r="C1161" s="810" t="s">
        <v>1228</v>
      </c>
      <c r="D1161" s="654" t="s">
        <v>1234</v>
      </c>
      <c r="E1161" s="655">
        <v>16442.857142857145</v>
      </c>
      <c r="F1161" s="656" t="s">
        <v>236</v>
      </c>
    </row>
    <row r="1162" spans="1:6">
      <c r="A1162" s="651"/>
      <c r="B1162" s="658"/>
      <c r="C1162" s="719" t="s">
        <v>1242</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1245</v>
      </c>
      <c r="D1168" s="768"/>
      <c r="E1168" s="769"/>
      <c r="F1168" s="668"/>
    </row>
    <row r="1169" spans="1:6">
      <c r="A1169" s="669"/>
      <c r="B1169" s="652" t="s">
        <v>1246</v>
      </c>
      <c r="C1169" s="787" t="s">
        <v>1247</v>
      </c>
      <c r="D1169" s="654" t="s">
        <v>814</v>
      </c>
      <c r="E1169" s="655">
        <v>921.42857142857144</v>
      </c>
      <c r="F1169" s="656" t="s">
        <v>236</v>
      </c>
    </row>
    <row r="1170" spans="1:6">
      <c r="A1170" s="669"/>
      <c r="B1170" s="652" t="s">
        <v>1248</v>
      </c>
      <c r="C1170" s="787" t="s">
        <v>1249</v>
      </c>
      <c r="D1170" s="654" t="s">
        <v>1250</v>
      </c>
      <c r="E1170" s="655">
        <v>1485.7142857142858</v>
      </c>
      <c r="F1170" s="656" t="s">
        <v>236</v>
      </c>
    </row>
    <row r="1171" spans="1:6">
      <c r="A1171" s="669"/>
      <c r="B1171" s="652" t="s">
        <v>1251</v>
      </c>
      <c r="C1171" s="787"/>
      <c r="D1171" s="654" t="s">
        <v>817</v>
      </c>
      <c r="E1171" s="655">
        <v>1571.4285714285716</v>
      </c>
      <c r="F1171" s="656" t="s">
        <v>236</v>
      </c>
    </row>
    <row r="1172" spans="1:6">
      <c r="A1172" s="669"/>
      <c r="B1172" s="652" t="s">
        <v>1252</v>
      </c>
      <c r="C1172" s="787"/>
      <c r="D1172" s="654" t="s">
        <v>1253</v>
      </c>
      <c r="E1172" s="655">
        <v>2385.7142857142858</v>
      </c>
      <c r="F1172" s="656" t="s">
        <v>236</v>
      </c>
    </row>
    <row r="1173" spans="1:6">
      <c r="A1173" s="669"/>
      <c r="B1173" s="652" t="s">
        <v>1254</v>
      </c>
      <c r="C1173" s="787"/>
      <c r="D1173" s="654" t="s">
        <v>1255</v>
      </c>
      <c r="E1173" s="655">
        <v>3492.8571428571431</v>
      </c>
      <c r="F1173" s="656" t="s">
        <v>236</v>
      </c>
    </row>
    <row r="1174" spans="1:6">
      <c r="A1174" s="669"/>
      <c r="B1174" s="652" t="s">
        <v>1256</v>
      </c>
      <c r="C1174" s="787"/>
      <c r="D1174" s="654" t="s">
        <v>1085</v>
      </c>
      <c r="E1174" s="655">
        <v>3771.4285714285716</v>
      </c>
      <c r="F1174" s="656" t="s">
        <v>236</v>
      </c>
    </row>
    <row r="1175" spans="1:6">
      <c r="A1175" s="669"/>
      <c r="B1175" s="652"/>
      <c r="C1175" s="787"/>
      <c r="D1175" s="654"/>
      <c r="E1175" s="655"/>
      <c r="F1175" s="656"/>
    </row>
    <row r="1176" spans="1:6">
      <c r="A1176" s="669"/>
      <c r="B1176" s="652"/>
      <c r="C1176" s="787"/>
      <c r="D1176" s="654"/>
      <c r="E1176" s="662"/>
      <c r="F1176" s="801"/>
    </row>
    <row r="1177" spans="1:6">
      <c r="A1177" s="669"/>
      <c r="B1177" s="652" t="s">
        <v>1257</v>
      </c>
      <c r="C1177" s="787" t="s">
        <v>1258</v>
      </c>
      <c r="D1177" s="654" t="s">
        <v>814</v>
      </c>
      <c r="E1177" s="655">
        <v>950.00000000000011</v>
      </c>
      <c r="F1177" s="656" t="s">
        <v>236</v>
      </c>
    </row>
    <row r="1178" spans="1:6">
      <c r="A1178" s="669"/>
      <c r="B1178" s="652" t="s">
        <v>1259</v>
      </c>
      <c r="C1178" s="787" t="s">
        <v>1249</v>
      </c>
      <c r="D1178" s="654" t="s">
        <v>1250</v>
      </c>
      <c r="E1178" s="655">
        <v>1528.5714285714287</v>
      </c>
      <c r="F1178" s="656" t="s">
        <v>236</v>
      </c>
    </row>
    <row r="1179" spans="1:6">
      <c r="A1179" s="669"/>
      <c r="B1179" s="652" t="s">
        <v>1260</v>
      </c>
      <c r="C1179" s="787"/>
      <c r="D1179" s="654" t="s">
        <v>817</v>
      </c>
      <c r="E1179" s="655">
        <v>1642.8571428571429</v>
      </c>
      <c r="F1179" s="656" t="s">
        <v>236</v>
      </c>
    </row>
    <row r="1180" spans="1:6">
      <c r="A1180" s="669"/>
      <c r="B1180" s="652" t="s">
        <v>1261</v>
      </c>
      <c r="C1180" s="787"/>
      <c r="D1180" s="654" t="s">
        <v>1253</v>
      </c>
      <c r="E1180" s="655">
        <v>2450</v>
      </c>
      <c r="F1180" s="656" t="s">
        <v>236</v>
      </c>
    </row>
    <row r="1181" spans="1:6">
      <c r="A1181" s="669"/>
      <c r="B1181" s="652" t="s">
        <v>1262</v>
      </c>
      <c r="C1181" s="787"/>
      <c r="D1181" s="654" t="s">
        <v>1255</v>
      </c>
      <c r="E1181" s="655">
        <v>3600.0000000000005</v>
      </c>
      <c r="F1181" s="656" t="s">
        <v>236</v>
      </c>
    </row>
    <row r="1182" spans="1:6">
      <c r="A1182" s="669"/>
      <c r="B1182" s="652" t="s">
        <v>1263</v>
      </c>
      <c r="C1182" s="787"/>
      <c r="D1182" s="654" t="s">
        <v>1085</v>
      </c>
      <c r="E1182" s="655">
        <v>3892.8571428571431</v>
      </c>
      <c r="F1182" s="656" t="s">
        <v>236</v>
      </c>
    </row>
    <row r="1183" spans="1:6">
      <c r="A1183" s="669"/>
      <c r="B1183" s="652"/>
      <c r="C1183" s="787"/>
      <c r="D1183" s="654"/>
      <c r="E1183" s="662"/>
      <c r="F1183" s="801"/>
    </row>
    <row r="1184" spans="1:6">
      <c r="A1184" s="669"/>
      <c r="B1184" s="652"/>
      <c r="C1184" s="787"/>
      <c r="D1184" s="654"/>
      <c r="E1184" s="662"/>
      <c r="F1184" s="801"/>
    </row>
    <row r="1185" spans="1:6">
      <c r="A1185" s="669"/>
      <c r="B1185" s="652" t="s">
        <v>1264</v>
      </c>
      <c r="C1185" s="787" t="s">
        <v>1265</v>
      </c>
      <c r="D1185" s="654" t="s">
        <v>1266</v>
      </c>
      <c r="E1185" s="655">
        <v>992.85714285714289</v>
      </c>
      <c r="F1185" s="656" t="s">
        <v>236</v>
      </c>
    </row>
    <row r="1186" spans="1:6">
      <c r="A1186" s="669"/>
      <c r="B1186" s="652" t="s">
        <v>1267</v>
      </c>
      <c r="C1186" s="787" t="s">
        <v>1249</v>
      </c>
      <c r="D1186" s="654" t="s">
        <v>1268</v>
      </c>
      <c r="E1186" s="655">
        <v>1571.4285714285716</v>
      </c>
      <c r="F1186" s="656" t="s">
        <v>236</v>
      </c>
    </row>
    <row r="1187" spans="1:6">
      <c r="A1187" s="669"/>
      <c r="B1187" s="652" t="s">
        <v>1269</v>
      </c>
      <c r="C1187" s="787"/>
      <c r="D1187" s="654" t="s">
        <v>1270</v>
      </c>
      <c r="E1187" s="655">
        <v>1592.8571428571429</v>
      </c>
      <c r="F1187" s="656" t="s">
        <v>236</v>
      </c>
    </row>
    <row r="1188" spans="1:6">
      <c r="A1188" s="669"/>
      <c r="B1188" s="652" t="s">
        <v>1271</v>
      </c>
      <c r="C1188" s="787"/>
      <c r="D1188" s="654" t="s">
        <v>1272</v>
      </c>
      <c r="E1188" s="655">
        <v>2514.2857142857142</v>
      </c>
      <c r="F1188" s="656" t="s">
        <v>236</v>
      </c>
    </row>
    <row r="1189" spans="1:6">
      <c r="A1189" s="669"/>
      <c r="B1189" s="652" t="s">
        <v>1273</v>
      </c>
      <c r="C1189" s="787"/>
      <c r="D1189" s="654" t="s">
        <v>1274</v>
      </c>
      <c r="E1189" s="655">
        <v>3492.8571428571431</v>
      </c>
      <c r="F1189" s="656" t="s">
        <v>236</v>
      </c>
    </row>
    <row r="1190" spans="1:6">
      <c r="A1190" s="669"/>
      <c r="B1190" s="652" t="s">
        <v>1275</v>
      </c>
      <c r="C1190" s="787"/>
      <c r="D1190" s="654" t="s">
        <v>1276</v>
      </c>
      <c r="E1190" s="655">
        <v>3785.7142857142858</v>
      </c>
      <c r="F1190" s="656" t="s">
        <v>236</v>
      </c>
    </row>
    <row r="1191" spans="1:6">
      <c r="A1191" s="765"/>
      <c r="B1191" s="766"/>
      <c r="C1191" s="646" t="s">
        <v>1277</v>
      </c>
      <c r="D1191" s="768"/>
      <c r="E1191" s="769"/>
      <c r="F1191" s="668"/>
    </row>
    <row r="1192" spans="1:6">
      <c r="A1192" s="669"/>
      <c r="B1192" s="652" t="s">
        <v>1278</v>
      </c>
      <c r="C1192" s="787" t="s">
        <v>1279</v>
      </c>
      <c r="D1192" s="654" t="s">
        <v>1280</v>
      </c>
      <c r="E1192" s="655">
        <v>3878.5714285714289</v>
      </c>
      <c r="F1192" s="656" t="s">
        <v>236</v>
      </c>
    </row>
    <row r="1193" spans="1:6">
      <c r="A1193" s="669"/>
      <c r="B1193" s="652" t="s">
        <v>1281</v>
      </c>
      <c r="C1193" s="787" t="s">
        <v>1282</v>
      </c>
      <c r="D1193" s="654" t="s">
        <v>1283</v>
      </c>
      <c r="E1193" s="655">
        <v>3914.2857142857147</v>
      </c>
      <c r="F1193" s="656" t="s">
        <v>236</v>
      </c>
    </row>
    <row r="1194" spans="1:6">
      <c r="A1194" s="669"/>
      <c r="B1194" s="652" t="s">
        <v>1284</v>
      </c>
      <c r="C1194" s="787"/>
      <c r="D1194" s="654" t="s">
        <v>1285</v>
      </c>
      <c r="E1194" s="655">
        <v>3935.7142857142858</v>
      </c>
      <c r="F1194" s="656" t="s">
        <v>236</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1286</v>
      </c>
      <c r="D1199" s="647"/>
      <c r="E1199" s="679"/>
      <c r="F1199" s="668"/>
    </row>
    <row r="1200" spans="1:6">
      <c r="A1200" s="669"/>
      <c r="B1200" s="652" t="s">
        <v>1287</v>
      </c>
      <c r="C1200" s="787" t="s">
        <v>1288</v>
      </c>
      <c r="D1200" s="654" t="s">
        <v>983</v>
      </c>
      <c r="E1200" s="655">
        <v>2014.2857142857144</v>
      </c>
      <c r="F1200" s="656" t="s">
        <v>236</v>
      </c>
    </row>
    <row r="1201" spans="1:6">
      <c r="A1201" s="669"/>
      <c r="B1201" s="652" t="s">
        <v>1289</v>
      </c>
      <c r="C1201" s="787" t="s">
        <v>1282</v>
      </c>
      <c r="D1201" s="654" t="s">
        <v>1008</v>
      </c>
      <c r="E1201" s="655">
        <v>3828.5714285714289</v>
      </c>
      <c r="F1201" s="656" t="s">
        <v>236</v>
      </c>
    </row>
    <row r="1202" spans="1:6">
      <c r="A1202" s="669"/>
      <c r="B1202" s="652" t="s">
        <v>1290</v>
      </c>
      <c r="C1202" s="787"/>
      <c r="D1202" s="654" t="s">
        <v>1033</v>
      </c>
      <c r="E1202" s="655">
        <v>3957.1428571428573</v>
      </c>
      <c r="F1202" s="656" t="s">
        <v>236</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1291</v>
      </c>
      <c r="C1206" s="787" t="s">
        <v>1292</v>
      </c>
      <c r="D1206" s="654" t="s">
        <v>1051</v>
      </c>
      <c r="E1206" s="655">
        <v>4142.8571428571431</v>
      </c>
      <c r="F1206" s="656" t="s">
        <v>236</v>
      </c>
    </row>
    <row r="1207" spans="1:6">
      <c r="A1207" s="669"/>
      <c r="B1207" s="652"/>
      <c r="C1207" s="787" t="s">
        <v>1293</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1294</v>
      </c>
      <c r="C1213" s="787" t="s">
        <v>1295</v>
      </c>
      <c r="D1213" s="654" t="s">
        <v>1051</v>
      </c>
      <c r="E1213" s="655">
        <v>4142.8571428571431</v>
      </c>
      <c r="F1213" s="656" t="s">
        <v>236</v>
      </c>
    </row>
    <row r="1214" spans="1:6">
      <c r="A1214" s="669"/>
      <c r="B1214" s="652"/>
      <c r="C1214" s="787" t="s">
        <v>1296</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1297</v>
      </c>
      <c r="C1219" s="787" t="s">
        <v>1298</v>
      </c>
      <c r="D1219" s="654" t="s">
        <v>1299</v>
      </c>
      <c r="E1219" s="655">
        <v>1042.8571428571429</v>
      </c>
      <c r="F1219" s="656" t="s">
        <v>236</v>
      </c>
    </row>
    <row r="1220" spans="1:6">
      <c r="A1220" s="669"/>
      <c r="B1220" s="652"/>
      <c r="C1220" s="787" t="s">
        <v>1300</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1301</v>
      </c>
      <c r="D1225" s="647"/>
      <c r="E1225" s="679"/>
      <c r="F1225" s="668"/>
    </row>
    <row r="1226" spans="1:6">
      <c r="A1226" s="669"/>
      <c r="B1226" s="652" t="s">
        <v>1302</v>
      </c>
      <c r="C1226" s="787" t="s">
        <v>1303</v>
      </c>
      <c r="D1226" s="654" t="s">
        <v>1304</v>
      </c>
      <c r="E1226" s="655">
        <v>4542.8571428571431</v>
      </c>
      <c r="F1226" s="656" t="s">
        <v>236</v>
      </c>
    </row>
    <row r="1227" spans="1:6">
      <c r="A1227" s="669"/>
      <c r="B1227" s="652" t="s">
        <v>1305</v>
      </c>
      <c r="C1227" s="787" t="s">
        <v>1296</v>
      </c>
      <c r="D1227" s="654" t="s">
        <v>1306</v>
      </c>
      <c r="E1227" s="655">
        <v>4542.8571428571431</v>
      </c>
      <c r="F1227" s="656" t="s">
        <v>236</v>
      </c>
    </row>
    <row r="1228" spans="1:6">
      <c r="A1228" s="669"/>
      <c r="B1228" s="652" t="s">
        <v>1307</v>
      </c>
      <c r="C1228" s="787"/>
      <c r="D1228" s="654" t="s">
        <v>1308</v>
      </c>
      <c r="E1228" s="655">
        <v>5064.2857142857147</v>
      </c>
      <c r="F1228" s="656" t="s">
        <v>236</v>
      </c>
    </row>
    <row r="1229" spans="1:6">
      <c r="A1229" s="669"/>
      <c r="B1229" s="652" t="s">
        <v>1309</v>
      </c>
      <c r="C1229" s="787"/>
      <c r="D1229" s="654" t="s">
        <v>1310</v>
      </c>
      <c r="E1229" s="655">
        <v>5907.1428571428578</v>
      </c>
      <c r="F1229" s="656" t="s">
        <v>236</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1311</v>
      </c>
      <c r="C1235" s="787" t="s">
        <v>1312</v>
      </c>
      <c r="D1235" s="654" t="s">
        <v>1085</v>
      </c>
      <c r="E1235" s="655">
        <v>3778.5714285714289</v>
      </c>
      <c r="F1235" s="656" t="s">
        <v>236</v>
      </c>
    </row>
    <row r="1236" spans="1:6">
      <c r="A1236" s="669"/>
      <c r="B1236" s="652" t="s">
        <v>1313</v>
      </c>
      <c r="C1236" s="787" t="s">
        <v>1314</v>
      </c>
      <c r="D1236" s="654" t="s">
        <v>1089</v>
      </c>
      <c r="E1236" s="655">
        <v>3878.5714285714289</v>
      </c>
      <c r="F1236" s="656" t="s">
        <v>236</v>
      </c>
    </row>
    <row r="1237" spans="1:6">
      <c r="A1237" s="669"/>
      <c r="B1237" s="652" t="s">
        <v>1315</v>
      </c>
      <c r="C1237" s="787"/>
      <c r="D1237" s="654" t="s">
        <v>1093</v>
      </c>
      <c r="E1237" s="655">
        <v>3907.1428571428573</v>
      </c>
      <c r="F1237" s="656" t="s">
        <v>236</v>
      </c>
    </row>
    <row r="1238" spans="1:6">
      <c r="A1238" s="669"/>
      <c r="B1238" s="652" t="s">
        <v>1316</v>
      </c>
      <c r="C1238" s="787"/>
      <c r="D1238" s="654" t="s">
        <v>1097</v>
      </c>
      <c r="E1238" s="655">
        <v>4142.8571428571431</v>
      </c>
      <c r="F1238" s="656" t="s">
        <v>236</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1317</v>
      </c>
      <c r="C1245" s="787" t="s">
        <v>1312</v>
      </c>
      <c r="D1245" s="654" t="s">
        <v>1085</v>
      </c>
      <c r="E1245" s="655">
        <v>3964.2857142857147</v>
      </c>
      <c r="F1245" s="656" t="s">
        <v>236</v>
      </c>
    </row>
    <row r="1246" spans="1:6">
      <c r="A1246" s="669"/>
      <c r="B1246" s="652" t="s">
        <v>1318</v>
      </c>
      <c r="C1246" s="787" t="s">
        <v>1319</v>
      </c>
      <c r="D1246" s="654" t="s">
        <v>1089</v>
      </c>
      <c r="E1246" s="655">
        <v>4214.2857142857147</v>
      </c>
      <c r="F1246" s="656" t="s">
        <v>236</v>
      </c>
    </row>
    <row r="1247" spans="1:6">
      <c r="A1247" s="669"/>
      <c r="B1247" s="652" t="s">
        <v>1320</v>
      </c>
      <c r="C1247" s="787"/>
      <c r="D1247" s="654" t="s">
        <v>1093</v>
      </c>
      <c r="E1247" s="655">
        <v>4242.8571428571431</v>
      </c>
      <c r="F1247" s="656" t="s">
        <v>236</v>
      </c>
    </row>
    <row r="1248" spans="1:6">
      <c r="A1248" s="669"/>
      <c r="B1248" s="652" t="s">
        <v>1321</v>
      </c>
      <c r="C1248" s="787"/>
      <c r="D1248" s="654" t="s">
        <v>1097</v>
      </c>
      <c r="E1248" s="655">
        <v>4364.2857142857147</v>
      </c>
      <c r="F1248" s="656" t="s">
        <v>236</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1322</v>
      </c>
      <c r="D1254" s="647"/>
      <c r="E1254" s="679"/>
      <c r="F1254" s="679"/>
    </row>
    <row r="1255" spans="1:6">
      <c r="A1255" s="669"/>
      <c r="B1255" s="652" t="s">
        <v>1323</v>
      </c>
      <c r="C1255" s="653" t="s">
        <v>1324</v>
      </c>
      <c r="D1255" s="654" t="s">
        <v>1325</v>
      </c>
      <c r="E1255" s="655">
        <v>5735.7142857142862</v>
      </c>
      <c r="F1255" s="656" t="s">
        <v>236</v>
      </c>
    </row>
    <row r="1256" spans="1:6">
      <c r="A1256" s="669"/>
      <c r="B1256" s="652" t="s">
        <v>1326</v>
      </c>
      <c r="C1256" s="653" t="s">
        <v>1327</v>
      </c>
      <c r="D1256" s="654" t="s">
        <v>1328</v>
      </c>
      <c r="E1256" s="655">
        <v>5735.7142857142862</v>
      </c>
      <c r="F1256" s="656" t="s">
        <v>236</v>
      </c>
    </row>
    <row r="1257" spans="1:6">
      <c r="A1257" s="669"/>
      <c r="B1257" s="652"/>
      <c r="C1257" s="813" t="s">
        <v>1329</v>
      </c>
      <c r="D1257" s="654"/>
      <c r="E1257" s="662"/>
      <c r="F1257" s="663"/>
    </row>
    <row r="1258" spans="1:6">
      <c r="A1258" s="669"/>
      <c r="B1258" s="652"/>
      <c r="C1258" s="813" t="s">
        <v>1330</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1331</v>
      </c>
      <c r="D1264" s="647"/>
      <c r="E1264" s="679"/>
      <c r="F1264" s="668"/>
    </row>
    <row r="1265" spans="1:6">
      <c r="A1265" s="669"/>
      <c r="B1265" s="652" t="s">
        <v>1332</v>
      </c>
      <c r="C1265" s="653" t="s">
        <v>1333</v>
      </c>
      <c r="D1265" s="654" t="s">
        <v>1334</v>
      </c>
      <c r="E1265" s="655">
        <v>1446.176758769351</v>
      </c>
      <c r="F1265" s="656" t="s">
        <v>236</v>
      </c>
    </row>
    <row r="1266" spans="1:6">
      <c r="A1266" s="669"/>
      <c r="B1266" s="652" t="s">
        <v>1335</v>
      </c>
      <c r="C1266" s="653" t="s">
        <v>1296</v>
      </c>
      <c r="D1266" s="654" t="s">
        <v>1336</v>
      </c>
      <c r="E1266" s="655">
        <v>1457.9463060944286</v>
      </c>
      <c r="F1266" s="656" t="s">
        <v>236</v>
      </c>
    </row>
    <row r="1267" spans="1:6">
      <c r="A1267" s="669"/>
      <c r="B1267" s="652" t="s">
        <v>1337</v>
      </c>
      <c r="C1267" s="653"/>
      <c r="D1267" s="654" t="s">
        <v>1338</v>
      </c>
      <c r="E1267" s="655">
        <v>1481.4854007446604</v>
      </c>
      <c r="F1267" s="656" t="s">
        <v>236</v>
      </c>
    </row>
    <row r="1268" spans="1:6">
      <c r="A1268" s="669"/>
      <c r="B1268" s="652" t="s">
        <v>1339</v>
      </c>
      <c r="C1268" s="653"/>
      <c r="D1268" s="654" t="s">
        <v>1340</v>
      </c>
      <c r="E1268" s="655">
        <v>1493.2549480697635</v>
      </c>
      <c r="F1268" s="656" t="s">
        <v>236</v>
      </c>
    </row>
    <row r="1269" spans="1:6">
      <c r="A1269" s="669"/>
      <c r="B1269" s="652" t="s">
        <v>1341</v>
      </c>
      <c r="C1269" s="653"/>
      <c r="D1269" s="654" t="s">
        <v>1342</v>
      </c>
      <c r="E1269" s="655">
        <v>2042.3774413743495</v>
      </c>
      <c r="F1269" s="656" t="s">
        <v>236</v>
      </c>
    </row>
    <row r="1270" spans="1:6">
      <c r="A1270" s="669"/>
      <c r="B1270" s="652" t="s">
        <v>1343</v>
      </c>
      <c r="C1270" s="653"/>
      <c r="D1270" s="654" t="s">
        <v>1344</v>
      </c>
      <c r="E1270" s="655">
        <v>2124.091547455746</v>
      </c>
      <c r="F1270" s="656" t="s">
        <v>236</v>
      </c>
    </row>
    <row r="1271" spans="1:6">
      <c r="A1271" s="669"/>
      <c r="B1271" s="652" t="s">
        <v>1345</v>
      </c>
      <c r="C1271" s="653"/>
      <c r="D1271" s="654" t="s">
        <v>1346</v>
      </c>
      <c r="E1271" s="655">
        <v>2287.5197596185239</v>
      </c>
      <c r="F1271" s="656" t="s">
        <v>236</v>
      </c>
    </row>
    <row r="1272" spans="1:6">
      <c r="A1272" s="669"/>
      <c r="B1272" s="652" t="s">
        <v>1347</v>
      </c>
      <c r="C1272" s="653"/>
      <c r="D1272" s="654" t="s">
        <v>1348</v>
      </c>
      <c r="E1272" s="655">
        <v>2369.233865699905</v>
      </c>
      <c r="F1272" s="656" t="s">
        <v>236</v>
      </c>
    </row>
    <row r="1273" spans="1:6">
      <c r="A1273" s="669"/>
      <c r="B1273" s="652" t="s">
        <v>1349</v>
      </c>
      <c r="C1273" s="653"/>
      <c r="D1273" s="654" t="s">
        <v>1350</v>
      </c>
      <c r="E1273" s="655">
        <v>2662.2398589065242</v>
      </c>
      <c r="F1273" s="656" t="s">
        <v>236</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ns1="http://schemas.openxmlformats.org/markup-compatibility/2006" xmlns:ns2="http://schemas.microsoft.com/office/spreadsheetml/2014/revision" xmlns:r="http://schemas.openxmlformats.org/officeDocument/2006/relationships" ns1:Ignorable="x14ac xr xr2 xr3" ns2: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843" customWidth="1"/>
    <col min="2" max="2" width="17.36328125" style="912" bestFit="1" customWidth="1"/>
    <col min="3" max="3" width="98.81640625" style="893" customWidth="1"/>
    <col min="4" max="4" width="17.81640625" style="843" customWidth="1"/>
    <col min="5" max="5" width="15.453125" style="423" customWidth="1"/>
    <col min="6" max="6" width="15.6328125" style="913" customWidth="1"/>
    <col min="7" max="8" width="12" style="843" bestFit="1" customWidth="1"/>
    <col min="9" max="9" width="11.453125" style="843" bestFit="1" customWidth="1"/>
    <col min="10" max="13" width="10.81640625" style="843"/>
    <col min="14" max="60" width="10.81640625" style="845"/>
    <col min="61" max="16384" width="10.81640625" style="843"/>
  </cols>
  <sheetData>
    <row r="1" spans="1:60" ht="15" customHeight="1">
      <c r="A1" s="840"/>
      <c r="B1" s="841"/>
      <c r="C1" s="842"/>
      <c r="F1" s="914" t="s">
        <v>1351</v>
      </c>
      <c r="G1" s="844"/>
      <c r="H1" s="844"/>
      <c r="I1" s="844"/>
    </row>
    <row r="2" spans="1:60" s="850" customFormat="1" ht="27.75" customHeight="1">
      <c r="A2" s="846"/>
      <c r="B2" s="847"/>
      <c r="C2" s="848"/>
      <c r="D2" s="849" t="s">
        <v>1352</v>
      </c>
      <c r="F2" s="915"/>
      <c r="G2" s="849"/>
      <c r="H2" s="849"/>
      <c r="I2" s="849"/>
    </row>
    <row r="3" spans="1:60" s="850" customFormat="1" ht="15" customHeight="1">
      <c r="A3" s="846"/>
      <c r="B3" s="847"/>
      <c r="C3" s="851"/>
      <c r="F3" s="916" t="s">
        <v>1353</v>
      </c>
      <c r="G3" s="852"/>
      <c r="H3" s="852"/>
      <c r="I3" s="852"/>
    </row>
    <row r="4" spans="1:60" s="850" customFormat="1" ht="14.5">
      <c r="A4" s="853"/>
      <c r="B4" s="854"/>
      <c r="C4" s="855"/>
      <c r="F4" s="917" t="s">
        <v>399</v>
      </c>
      <c r="G4" s="856"/>
      <c r="H4" s="856"/>
      <c r="I4" s="856"/>
    </row>
    <row r="5" spans="1:60" s="861" customFormat="1" ht="15" customHeight="1">
      <c r="A5" s="1505"/>
      <c r="B5" s="1506"/>
      <c r="C5" s="857" t="s">
        <v>400</v>
      </c>
      <c r="D5" s="858" t="s">
        <v>401</v>
      </c>
      <c r="E5" s="1507">
        <f ca="1">(TODAY())</f>
        <v>46181</v>
      </c>
      <c r="F5" s="1508"/>
      <c r="G5" s="859"/>
      <c r="H5" s="860"/>
      <c r="I5" s="860"/>
      <c r="J5" s="860"/>
      <c r="K5" s="860"/>
      <c r="L5" s="860"/>
      <c r="M5" s="860"/>
      <c r="N5" s="860"/>
      <c r="O5" s="860"/>
      <c r="P5" s="860"/>
      <c r="Q5" s="860"/>
      <c r="R5" s="860"/>
      <c r="S5" s="860"/>
      <c r="T5" s="860"/>
      <c r="U5" s="860"/>
    </row>
    <row r="6" spans="1:60" s="861" customFormat="1" ht="15" customHeight="1">
      <c r="A6" s="862" t="s">
        <v>1354</v>
      </c>
      <c r="B6" s="863"/>
      <c r="C6" s="1509" t="s">
        <v>1355</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 customHeight="1">
      <c r="A7" s="868" t="s">
        <v>1356</v>
      </c>
      <c r="B7" s="869"/>
      <c r="C7" s="1510"/>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405</v>
      </c>
      <c r="B8" s="877" t="s">
        <v>406</v>
      </c>
      <c r="C8" s="294" t="s">
        <v>407</v>
      </c>
      <c r="D8" s="876" t="s">
        <v>408</v>
      </c>
      <c r="E8" s="295" t="s">
        <v>409</v>
      </c>
      <c r="F8" s="878" t="s">
        <v>410</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1357</v>
      </c>
      <c r="D9" s="884"/>
      <c r="E9" s="303"/>
      <c r="F9" s="885"/>
      <c r="G9" s="850"/>
    </row>
    <row r="10" spans="1:60" ht="14" customHeight="1">
      <c r="A10" s="886"/>
      <c r="B10" s="887" t="s">
        <v>1358</v>
      </c>
      <c r="C10" s="888" t="s">
        <v>1359</v>
      </c>
      <c r="D10" s="889" t="s">
        <v>1360</v>
      </c>
      <c r="E10" s="309">
        <v>4034.2857142857147</v>
      </c>
      <c r="F10" s="352" t="s">
        <v>236</v>
      </c>
    </row>
    <row r="11" spans="1:60" ht="14" customHeight="1">
      <c r="A11" s="886"/>
      <c r="B11" s="887"/>
      <c r="C11" s="890" t="s">
        <v>1361</v>
      </c>
      <c r="D11" s="889"/>
      <c r="E11" s="309"/>
      <c r="F11" s="352"/>
    </row>
    <row r="12" spans="1:60" ht="14" customHeight="1">
      <c r="A12" s="886"/>
      <c r="B12" s="891"/>
      <c r="C12" s="892" t="s">
        <v>1362</v>
      </c>
      <c r="D12" s="889"/>
      <c r="E12" s="309"/>
      <c r="F12" s="352"/>
    </row>
    <row r="13" spans="1:60" ht="14" customHeight="1">
      <c r="A13" s="886"/>
      <c r="B13" s="887"/>
      <c r="D13" s="889"/>
      <c r="E13" s="309"/>
      <c r="F13" s="352"/>
    </row>
    <row r="14" spans="1:60" ht="14" customHeight="1">
      <c r="A14" s="886"/>
      <c r="B14" s="887"/>
      <c r="C14" s="894" t="s">
        <v>1363</v>
      </c>
      <c r="D14" s="889"/>
      <c r="E14" s="309"/>
      <c r="F14" s="352"/>
    </row>
    <row r="15" spans="1:60" ht="14" customHeight="1">
      <c r="A15" s="886"/>
      <c r="B15" s="887"/>
      <c r="C15" s="895" t="s">
        <v>1364</v>
      </c>
      <c r="D15" s="889"/>
      <c r="E15" s="309"/>
      <c r="F15" s="352"/>
    </row>
    <row r="16" spans="1:60" ht="14" customHeight="1">
      <c r="A16" s="886"/>
      <c r="B16" s="887"/>
      <c r="C16" s="896"/>
      <c r="D16" s="889"/>
      <c r="E16" s="309"/>
      <c r="F16" s="352"/>
    </row>
    <row r="17" spans="1:6" ht="14" customHeight="1">
      <c r="A17" s="886"/>
      <c r="B17" s="897"/>
      <c r="C17" s="890"/>
      <c r="D17" s="889"/>
      <c r="E17" s="315"/>
      <c r="F17" s="898"/>
    </row>
    <row r="18" spans="1:6" ht="14" customHeight="1">
      <c r="A18" s="886"/>
      <c r="B18" s="899"/>
      <c r="C18" s="900"/>
      <c r="D18" s="901"/>
      <c r="E18" s="320"/>
      <c r="F18" s="902"/>
    </row>
    <row r="19" spans="1:6" ht="15" customHeight="1">
      <c r="A19" s="881"/>
      <c r="B19" s="882"/>
      <c r="C19" s="883" t="s">
        <v>1365</v>
      </c>
      <c r="D19" s="884"/>
      <c r="E19" s="303"/>
      <c r="F19" s="304"/>
    </row>
    <row r="20" spans="1:6" ht="14" customHeight="1">
      <c r="A20" s="886"/>
      <c r="B20" s="887" t="s">
        <v>1358</v>
      </c>
      <c r="C20" s="888" t="s">
        <v>1366</v>
      </c>
      <c r="D20" s="889" t="s">
        <v>1360</v>
      </c>
      <c r="E20" s="309">
        <v>4177.142857142858</v>
      </c>
      <c r="F20" s="352" t="s">
        <v>236</v>
      </c>
    </row>
    <row r="21" spans="1:6" ht="14" customHeight="1">
      <c r="A21" s="886"/>
      <c r="B21" s="887"/>
      <c r="C21" s="890" t="s">
        <v>1361</v>
      </c>
      <c r="D21" s="889"/>
      <c r="E21" s="903"/>
      <c r="F21" s="352"/>
    </row>
    <row r="22" spans="1:6" ht="14" customHeight="1">
      <c r="A22" s="886"/>
      <c r="B22" s="891"/>
      <c r="C22" s="892" t="s">
        <v>1362</v>
      </c>
      <c r="D22" s="889"/>
      <c r="E22" s="903"/>
      <c r="F22" s="352"/>
    </row>
    <row r="23" spans="1:6" ht="14" customHeight="1">
      <c r="A23" s="886"/>
      <c r="B23" s="887"/>
      <c r="D23" s="889"/>
      <c r="E23" s="903"/>
      <c r="F23" s="352"/>
    </row>
    <row r="24" spans="1:6" ht="14" customHeight="1">
      <c r="A24" s="886"/>
      <c r="B24" s="887"/>
      <c r="C24" s="894" t="s">
        <v>1363</v>
      </c>
      <c r="D24" s="889"/>
      <c r="E24" s="903"/>
      <c r="F24" s="352"/>
    </row>
    <row r="25" spans="1:6" ht="14" customHeight="1">
      <c r="A25" s="886"/>
      <c r="B25" s="887"/>
      <c r="C25" s="895" t="s">
        <v>1364</v>
      </c>
      <c r="D25" s="889"/>
      <c r="E25" s="903"/>
      <c r="F25" s="352"/>
    </row>
    <row r="26" spans="1:6" ht="14" customHeight="1">
      <c r="A26" s="886"/>
      <c r="B26" s="887"/>
      <c r="C26" s="896"/>
      <c r="D26" s="889"/>
      <c r="E26" s="903"/>
      <c r="F26" s="352"/>
    </row>
    <row r="27" spans="1:6" ht="14" customHeight="1">
      <c r="A27" s="886"/>
      <c r="B27" s="891"/>
      <c r="C27" s="896"/>
      <c r="D27" s="889"/>
      <c r="E27" s="903"/>
      <c r="F27" s="352"/>
    </row>
    <row r="28" spans="1:6" ht="14" customHeight="1">
      <c r="A28" s="886"/>
      <c r="B28" s="891"/>
      <c r="C28" s="896"/>
      <c r="D28" s="889"/>
      <c r="E28" s="903"/>
      <c r="F28" s="352"/>
    </row>
    <row r="29" spans="1:6" ht="14" customHeight="1">
      <c r="A29" s="886"/>
      <c r="B29" s="891"/>
      <c r="C29" s="890"/>
      <c r="D29" s="889"/>
      <c r="E29" s="903"/>
      <c r="F29" s="352"/>
    </row>
    <row r="30" spans="1:6">
      <c r="A30" s="881"/>
      <c r="B30" s="882"/>
      <c r="C30" s="883" t="s">
        <v>1367</v>
      </c>
      <c r="D30" s="884"/>
      <c r="E30" s="303"/>
      <c r="F30" s="304"/>
    </row>
    <row r="31" spans="1:6">
      <c r="A31" s="886"/>
      <c r="B31" s="887" t="s">
        <v>1368</v>
      </c>
      <c r="C31" s="888" t="s">
        <v>1369</v>
      </c>
      <c r="D31" s="889" t="s">
        <v>1360</v>
      </c>
      <c r="E31" s="309">
        <v>2091.4285714285716</v>
      </c>
      <c r="F31" s="352" t="s">
        <v>236</v>
      </c>
    </row>
    <row r="32" spans="1:6">
      <c r="A32" s="886"/>
      <c r="B32" s="887"/>
      <c r="C32" s="890" t="s">
        <v>1370</v>
      </c>
      <c r="D32" s="889"/>
      <c r="E32" s="903"/>
      <c r="F32" s="352"/>
    </row>
    <row r="33" spans="1:6">
      <c r="A33" s="886"/>
      <c r="B33" s="891"/>
      <c r="C33" s="892" t="s">
        <v>1362</v>
      </c>
      <c r="D33" s="889"/>
      <c r="E33" s="903"/>
      <c r="F33" s="352"/>
    </row>
    <row r="34" spans="1:6">
      <c r="A34" s="886"/>
      <c r="B34" s="887"/>
      <c r="D34" s="889"/>
      <c r="E34" s="903"/>
      <c r="F34" s="352"/>
    </row>
    <row r="35" spans="1:6">
      <c r="A35" s="886"/>
      <c r="B35" s="887"/>
      <c r="C35" s="894" t="s">
        <v>1363</v>
      </c>
      <c r="D35" s="889"/>
      <c r="E35" s="903"/>
      <c r="F35" s="352"/>
    </row>
    <row r="36" spans="1:6">
      <c r="A36" s="886"/>
      <c r="B36" s="887"/>
      <c r="C36" s="895" t="s">
        <v>1364</v>
      </c>
      <c r="D36" s="889"/>
      <c r="E36" s="903"/>
      <c r="F36" s="352"/>
    </row>
    <row r="37" spans="1:6">
      <c r="A37" s="886"/>
      <c r="B37" s="887"/>
      <c r="C37" s="896"/>
      <c r="D37" s="889"/>
      <c r="E37" s="903"/>
      <c r="F37" s="352"/>
    </row>
    <row r="38" spans="1:6">
      <c r="A38" s="886"/>
      <c r="B38" s="897"/>
      <c r="C38" s="890"/>
      <c r="D38" s="889"/>
      <c r="E38" s="903"/>
      <c r="F38" s="352"/>
    </row>
    <row r="39" spans="1:6">
      <c r="A39" s="886"/>
      <c r="B39" s="899"/>
      <c r="C39" s="900"/>
      <c r="D39" s="901"/>
      <c r="E39" s="903"/>
      <c r="F39" s="352"/>
    </row>
    <row r="40" spans="1:6">
      <c r="A40" s="881"/>
      <c r="B40" s="882"/>
      <c r="C40" s="883" t="s">
        <v>1371</v>
      </c>
      <c r="D40" s="884"/>
      <c r="E40" s="303"/>
      <c r="F40" s="304"/>
    </row>
    <row r="41" spans="1:6">
      <c r="A41" s="886"/>
      <c r="B41" s="887" t="s">
        <v>1368</v>
      </c>
      <c r="C41" s="888" t="s">
        <v>1369</v>
      </c>
      <c r="D41" s="889" t="s">
        <v>1360</v>
      </c>
      <c r="E41" s="309">
        <v>2191.4285714285716</v>
      </c>
      <c r="F41" s="352" t="s">
        <v>236</v>
      </c>
    </row>
    <row r="42" spans="1:6">
      <c r="A42" s="886"/>
      <c r="B42" s="887"/>
      <c r="C42" s="890" t="s">
        <v>1370</v>
      </c>
      <c r="D42" s="889"/>
      <c r="E42" s="903"/>
      <c r="F42" s="352"/>
    </row>
    <row r="43" spans="1:6">
      <c r="A43" s="886"/>
      <c r="B43" s="891"/>
      <c r="C43" s="892" t="s">
        <v>1362</v>
      </c>
      <c r="D43" s="889"/>
      <c r="E43" s="903"/>
      <c r="F43" s="352"/>
    </row>
    <row r="44" spans="1:6">
      <c r="A44" s="886"/>
      <c r="B44" s="887"/>
      <c r="D44" s="889"/>
      <c r="E44" s="903"/>
      <c r="F44" s="352"/>
    </row>
    <row r="45" spans="1:6">
      <c r="A45" s="886"/>
      <c r="B45" s="887"/>
      <c r="C45" s="894" t="s">
        <v>1363</v>
      </c>
      <c r="D45" s="889"/>
      <c r="E45" s="903"/>
      <c r="F45" s="352"/>
    </row>
    <row r="46" spans="1:6">
      <c r="A46" s="886"/>
      <c r="B46" s="887"/>
      <c r="C46" s="895" t="s">
        <v>1364</v>
      </c>
      <c r="D46" s="889"/>
      <c r="E46" s="903"/>
      <c r="F46" s="352"/>
    </row>
    <row r="47" spans="1:6">
      <c r="A47" s="886"/>
      <c r="B47" s="887"/>
      <c r="C47" s="896"/>
      <c r="D47" s="889"/>
      <c r="E47" s="903"/>
      <c r="F47" s="352"/>
    </row>
    <row r="48" spans="1:6">
      <c r="A48" s="886"/>
      <c r="B48" s="897"/>
      <c r="C48" s="890"/>
      <c r="D48" s="889"/>
      <c r="E48" s="903"/>
      <c r="F48" s="352"/>
    </row>
    <row r="49" spans="1:6">
      <c r="A49" s="886"/>
      <c r="B49" s="899"/>
      <c r="C49" s="900"/>
      <c r="D49" s="901"/>
      <c r="E49" s="903"/>
      <c r="F49" s="352"/>
    </row>
    <row r="50" spans="1:6">
      <c r="A50" s="881"/>
      <c r="B50" s="882"/>
      <c r="C50" s="883" t="s">
        <v>1372</v>
      </c>
      <c r="D50" s="884"/>
      <c r="E50" s="303"/>
      <c r="F50" s="304"/>
    </row>
    <row r="51" spans="1:6">
      <c r="A51" s="886"/>
      <c r="B51" s="887" t="s">
        <v>1373</v>
      </c>
      <c r="C51" s="888" t="s">
        <v>1374</v>
      </c>
      <c r="D51" s="889" t="s">
        <v>1375</v>
      </c>
      <c r="E51" s="309">
        <v>4484.285714285715</v>
      </c>
      <c r="F51" s="352" t="s">
        <v>236</v>
      </c>
    </row>
    <row r="52" spans="1:6">
      <c r="A52" s="886"/>
      <c r="B52" s="887"/>
      <c r="C52" s="890" t="s">
        <v>1376</v>
      </c>
      <c r="D52" s="889"/>
      <c r="E52" s="903"/>
      <c r="F52" s="352"/>
    </row>
    <row r="53" spans="1:6">
      <c r="A53" s="886"/>
      <c r="B53" s="891"/>
      <c r="C53" s="892" t="s">
        <v>1362</v>
      </c>
      <c r="D53" s="889"/>
      <c r="E53" s="903"/>
      <c r="F53" s="352"/>
    </row>
    <row r="54" spans="1:6">
      <c r="A54" s="886"/>
      <c r="B54" s="887"/>
      <c r="D54" s="889"/>
      <c r="E54" s="903"/>
      <c r="F54" s="352"/>
    </row>
    <row r="55" spans="1:6">
      <c r="A55" s="886"/>
      <c r="B55" s="887"/>
      <c r="C55" s="894" t="s">
        <v>1377</v>
      </c>
      <c r="D55" s="889"/>
      <c r="E55" s="903"/>
      <c r="F55" s="352"/>
    </row>
    <row r="56" spans="1:6">
      <c r="A56" s="886"/>
      <c r="B56" s="887"/>
      <c r="C56" s="895" t="s">
        <v>1364</v>
      </c>
      <c r="D56" s="889"/>
      <c r="E56" s="903"/>
      <c r="F56" s="352"/>
    </row>
    <row r="57" spans="1:6">
      <c r="A57" s="886"/>
      <c r="B57" s="887"/>
      <c r="C57" s="896"/>
      <c r="D57" s="889"/>
      <c r="E57" s="903"/>
      <c r="F57" s="352"/>
    </row>
    <row r="58" spans="1:6">
      <c r="A58" s="886"/>
      <c r="B58" s="897"/>
      <c r="C58" s="890"/>
      <c r="D58" s="889"/>
      <c r="E58" s="903"/>
      <c r="F58" s="352"/>
    </row>
    <row r="59" spans="1:6">
      <c r="A59" s="886"/>
      <c r="B59" s="899"/>
      <c r="C59" s="900"/>
      <c r="D59" s="901"/>
      <c r="E59" s="903"/>
      <c r="F59" s="352"/>
    </row>
    <row r="60" spans="1:6">
      <c r="A60" s="881"/>
      <c r="B60" s="882"/>
      <c r="C60" s="883" t="s">
        <v>1378</v>
      </c>
      <c r="D60" s="884"/>
      <c r="E60" s="303"/>
      <c r="F60" s="304"/>
    </row>
    <row r="61" spans="1:6">
      <c r="A61" s="886"/>
      <c r="B61" s="887" t="s">
        <v>1379</v>
      </c>
      <c r="C61" s="888" t="s">
        <v>1380</v>
      </c>
      <c r="D61" s="889" t="s">
        <v>1381</v>
      </c>
      <c r="E61" s="309">
        <v>4791.428571428572</v>
      </c>
      <c r="F61" s="352" t="s">
        <v>236</v>
      </c>
    </row>
    <row r="62" spans="1:6">
      <c r="A62" s="886"/>
      <c r="B62" s="887"/>
      <c r="C62" s="890" t="s">
        <v>1382</v>
      </c>
      <c r="D62" s="889"/>
      <c r="E62" s="903"/>
      <c r="F62" s="352"/>
    </row>
    <row r="63" spans="1:6">
      <c r="A63" s="886"/>
      <c r="B63" s="891"/>
      <c r="C63" s="892" t="s">
        <v>1383</v>
      </c>
      <c r="D63" s="889"/>
      <c r="E63" s="903"/>
      <c r="F63" s="352"/>
    </row>
    <row r="64" spans="1:6">
      <c r="A64" s="886"/>
      <c r="B64" s="887"/>
      <c r="D64" s="889"/>
      <c r="E64" s="903"/>
      <c r="F64" s="352"/>
    </row>
    <row r="65" spans="1:6">
      <c r="A65" s="886"/>
      <c r="B65" s="887"/>
      <c r="C65" s="894" t="s">
        <v>1384</v>
      </c>
      <c r="D65" s="889"/>
      <c r="E65" s="903"/>
      <c r="F65" s="352"/>
    </row>
    <row r="66" spans="1:6">
      <c r="A66" s="886"/>
      <c r="B66" s="887"/>
      <c r="C66" s="895" t="s">
        <v>1364</v>
      </c>
      <c r="D66" s="889"/>
      <c r="E66" s="903"/>
      <c r="F66" s="352"/>
    </row>
    <row r="67" spans="1:6">
      <c r="A67" s="886"/>
      <c r="B67" s="887"/>
      <c r="C67" s="896"/>
      <c r="D67" s="889"/>
      <c r="E67" s="903"/>
      <c r="F67" s="352"/>
    </row>
    <row r="68" spans="1:6">
      <c r="A68" s="886"/>
      <c r="B68" s="897"/>
      <c r="C68" s="890"/>
      <c r="D68" s="889"/>
      <c r="E68" s="903"/>
      <c r="F68" s="352"/>
    </row>
    <row r="69" spans="1:6">
      <c r="A69" s="886"/>
      <c r="B69" s="899"/>
      <c r="C69" s="900"/>
      <c r="D69" s="901"/>
      <c r="E69" s="903"/>
      <c r="F69" s="352"/>
    </row>
    <row r="70" spans="1:6">
      <c r="A70" s="881"/>
      <c r="B70" s="882"/>
      <c r="C70" s="883" t="s">
        <v>1385</v>
      </c>
      <c r="D70" s="884"/>
      <c r="E70" s="303"/>
      <c r="F70" s="304"/>
    </row>
    <row r="71" spans="1:6">
      <c r="A71" s="886"/>
      <c r="B71" s="887" t="s">
        <v>1379</v>
      </c>
      <c r="C71" s="888" t="s">
        <v>1386</v>
      </c>
      <c r="D71" s="889" t="s">
        <v>1381</v>
      </c>
      <c r="E71" s="309">
        <v>4934.285714285715</v>
      </c>
      <c r="F71" s="352" t="s">
        <v>236</v>
      </c>
    </row>
    <row r="72" spans="1:6">
      <c r="A72" s="886"/>
      <c r="B72" s="887"/>
      <c r="C72" s="890" t="s">
        <v>1387</v>
      </c>
      <c r="D72" s="889"/>
      <c r="E72" s="903"/>
      <c r="F72" s="352"/>
    </row>
    <row r="73" spans="1:6">
      <c r="A73" s="886"/>
      <c r="B73" s="891"/>
      <c r="C73" s="892" t="s">
        <v>1383</v>
      </c>
      <c r="D73" s="889"/>
      <c r="E73" s="903"/>
      <c r="F73" s="352"/>
    </row>
    <row r="74" spans="1:6">
      <c r="A74" s="886"/>
      <c r="B74" s="887"/>
      <c r="D74" s="889"/>
      <c r="E74" s="903"/>
      <c r="F74" s="352"/>
    </row>
    <row r="75" spans="1:6">
      <c r="A75" s="886"/>
      <c r="B75" s="887"/>
      <c r="C75" s="894" t="s">
        <v>1384</v>
      </c>
      <c r="D75" s="889"/>
      <c r="E75" s="903"/>
      <c r="F75" s="352"/>
    </row>
    <row r="76" spans="1:6">
      <c r="A76" s="886"/>
      <c r="B76" s="887"/>
      <c r="C76" s="895" t="s">
        <v>1364</v>
      </c>
      <c r="D76" s="889"/>
      <c r="E76" s="903"/>
      <c r="F76" s="352"/>
    </row>
    <row r="77" spans="1:6">
      <c r="A77" s="886"/>
      <c r="B77" s="887"/>
      <c r="C77" s="896"/>
      <c r="D77" s="889"/>
      <c r="E77" s="903"/>
      <c r="F77" s="352"/>
    </row>
    <row r="78" spans="1:6">
      <c r="A78" s="886"/>
      <c r="B78" s="897"/>
      <c r="C78" s="890"/>
      <c r="D78" s="889"/>
      <c r="E78" s="903"/>
      <c r="F78" s="352"/>
    </row>
    <row r="79" spans="1:6">
      <c r="A79" s="904"/>
      <c r="B79" s="899"/>
      <c r="C79" s="905"/>
      <c r="D79" s="906"/>
      <c r="E79" s="903"/>
      <c r="F79" s="352"/>
    </row>
    <row r="80" spans="1:6">
      <c r="A80" s="881"/>
      <c r="B80" s="882"/>
      <c r="C80" s="883" t="s">
        <v>1388</v>
      </c>
      <c r="D80" s="884"/>
      <c r="E80" s="303"/>
      <c r="F80" s="304"/>
    </row>
    <row r="81" spans="1:6">
      <c r="A81" s="886"/>
      <c r="B81" s="887" t="s">
        <v>1389</v>
      </c>
      <c r="C81" s="888" t="s">
        <v>1390</v>
      </c>
      <c r="D81" s="889" t="s">
        <v>1391</v>
      </c>
      <c r="E81" s="309">
        <v>1034.2857142857144</v>
      </c>
      <c r="F81" s="352" t="s">
        <v>236</v>
      </c>
    </row>
    <row r="82" spans="1:6">
      <c r="A82" s="886"/>
      <c r="B82" s="887"/>
      <c r="C82" s="890" t="s">
        <v>1392</v>
      </c>
      <c r="D82" s="889"/>
      <c r="E82" s="903"/>
      <c r="F82" s="352"/>
    </row>
    <row r="83" spans="1:6">
      <c r="A83" s="886"/>
      <c r="B83" s="891"/>
      <c r="C83" s="892" t="s">
        <v>1362</v>
      </c>
      <c r="D83" s="889"/>
      <c r="E83" s="903"/>
      <c r="F83" s="352"/>
    </row>
    <row r="84" spans="1:6">
      <c r="A84" s="886"/>
      <c r="B84" s="887"/>
      <c r="D84" s="889"/>
      <c r="E84" s="903"/>
      <c r="F84" s="352"/>
    </row>
    <row r="85" spans="1:6">
      <c r="A85" s="886"/>
      <c r="B85" s="887"/>
      <c r="C85" s="894" t="s">
        <v>1393</v>
      </c>
      <c r="D85" s="889"/>
      <c r="E85" s="903"/>
      <c r="F85" s="352"/>
    </row>
    <row r="86" spans="1:6">
      <c r="A86" s="886"/>
      <c r="B86" s="887"/>
      <c r="C86" s="895" t="s">
        <v>1364</v>
      </c>
      <c r="D86" s="889"/>
      <c r="E86" s="903"/>
      <c r="F86" s="352"/>
    </row>
    <row r="87" spans="1:6">
      <c r="A87" s="886"/>
      <c r="B87" s="887"/>
      <c r="C87" s="896"/>
      <c r="D87" s="889"/>
      <c r="E87" s="903"/>
      <c r="F87" s="352"/>
    </row>
    <row r="88" spans="1:6">
      <c r="A88" s="886"/>
      <c r="B88" s="897"/>
      <c r="C88" s="890"/>
      <c r="D88" s="889"/>
      <c r="E88" s="903"/>
      <c r="F88" s="352"/>
    </row>
    <row r="89" spans="1:6">
      <c r="A89" s="904"/>
      <c r="B89" s="899"/>
      <c r="C89" s="905"/>
      <c r="D89" s="906"/>
      <c r="E89" s="903"/>
      <c r="F89" s="352"/>
    </row>
    <row r="90" spans="1:6">
      <c r="A90" s="881"/>
      <c r="B90" s="882"/>
      <c r="C90" s="883" t="s">
        <v>1394</v>
      </c>
      <c r="D90" s="884"/>
      <c r="E90" s="303"/>
      <c r="F90" s="304"/>
    </row>
    <row r="91" spans="1:6">
      <c r="A91" s="886"/>
      <c r="B91" s="887" t="s">
        <v>1389</v>
      </c>
      <c r="C91" s="888" t="s">
        <v>1395</v>
      </c>
      <c r="D91" s="889" t="s">
        <v>1391</v>
      </c>
      <c r="E91" s="309">
        <v>1177.142857142857</v>
      </c>
      <c r="F91" s="352" t="s">
        <v>236</v>
      </c>
    </row>
    <row r="92" spans="1:6">
      <c r="A92" s="886"/>
      <c r="B92" s="887"/>
      <c r="C92" s="890" t="s">
        <v>1392</v>
      </c>
      <c r="D92" s="889"/>
      <c r="E92" s="903"/>
      <c r="F92" s="352"/>
    </row>
    <row r="93" spans="1:6">
      <c r="A93" s="886"/>
      <c r="B93" s="891"/>
      <c r="C93" s="892" t="s">
        <v>1362</v>
      </c>
      <c r="D93" s="889"/>
      <c r="E93" s="903"/>
      <c r="F93" s="352"/>
    </row>
    <row r="94" spans="1:6">
      <c r="A94" s="886"/>
      <c r="B94" s="887"/>
      <c r="D94" s="889"/>
      <c r="E94" s="903"/>
      <c r="F94" s="352"/>
    </row>
    <row r="95" spans="1:6">
      <c r="A95" s="886"/>
      <c r="B95" s="887"/>
      <c r="C95" s="894" t="s">
        <v>1393</v>
      </c>
      <c r="D95" s="889"/>
      <c r="E95" s="903"/>
      <c r="F95" s="352"/>
    </row>
    <row r="96" spans="1:6">
      <c r="A96" s="886"/>
      <c r="B96" s="887"/>
      <c r="C96" s="895" t="s">
        <v>1364</v>
      </c>
      <c r="D96" s="889"/>
      <c r="E96" s="903"/>
      <c r="F96" s="352"/>
    </row>
    <row r="97" spans="1:6">
      <c r="A97" s="886"/>
      <c r="B97" s="887"/>
      <c r="C97" s="896"/>
      <c r="D97" s="889"/>
      <c r="E97" s="903"/>
      <c r="F97" s="352"/>
    </row>
    <row r="98" spans="1:6">
      <c r="A98" s="886"/>
      <c r="B98" s="897"/>
      <c r="C98" s="890"/>
      <c r="D98" s="889"/>
      <c r="E98" s="903"/>
      <c r="F98" s="352"/>
    </row>
    <row r="99" spans="1:6">
      <c r="A99" s="904"/>
      <c r="B99" s="899"/>
      <c r="C99" s="905"/>
      <c r="D99" s="906"/>
      <c r="E99" s="903"/>
      <c r="F99" s="352"/>
    </row>
    <row r="100" spans="1:6">
      <c r="A100" s="881"/>
      <c r="B100" s="882"/>
      <c r="C100" s="883" t="s">
        <v>1396</v>
      </c>
      <c r="D100" s="884"/>
      <c r="E100" s="303"/>
      <c r="F100" s="304"/>
    </row>
    <row r="101" spans="1:6">
      <c r="A101" s="886"/>
      <c r="B101" s="887" t="s">
        <v>1397</v>
      </c>
      <c r="C101" s="888" t="s">
        <v>1398</v>
      </c>
      <c r="D101" s="889" t="s">
        <v>1399</v>
      </c>
      <c r="E101" s="309">
        <v>557.1428571428572</v>
      </c>
      <c r="F101" s="352" t="s">
        <v>236</v>
      </c>
    </row>
    <row r="102" spans="1:6">
      <c r="A102" s="886"/>
      <c r="B102" s="887"/>
      <c r="C102" s="892" t="s">
        <v>1362</v>
      </c>
      <c r="D102" s="889"/>
      <c r="E102" s="903"/>
      <c r="F102" s="352"/>
    </row>
    <row r="103" spans="1:6">
      <c r="A103" s="886"/>
      <c r="B103" s="891"/>
      <c r="C103" s="843"/>
      <c r="D103" s="889"/>
      <c r="E103" s="903"/>
      <c r="F103" s="352"/>
    </row>
    <row r="104" spans="1:6">
      <c r="A104" s="886"/>
      <c r="B104" s="887"/>
      <c r="D104" s="889"/>
      <c r="E104" s="903"/>
      <c r="F104" s="352"/>
    </row>
    <row r="105" spans="1:6">
      <c r="A105" s="886"/>
      <c r="B105" s="887"/>
      <c r="C105" s="894" t="s">
        <v>1400</v>
      </c>
      <c r="D105" s="889"/>
      <c r="E105" s="903"/>
      <c r="F105" s="352"/>
    </row>
    <row r="106" spans="1:6">
      <c r="A106" s="886"/>
      <c r="B106" s="887"/>
      <c r="C106" s="895" t="s">
        <v>1364</v>
      </c>
      <c r="D106" s="889"/>
      <c r="E106" s="903"/>
      <c r="F106" s="352"/>
    </row>
    <row r="107" spans="1:6">
      <c r="A107" s="886"/>
      <c r="B107" s="887"/>
      <c r="C107" s="896"/>
      <c r="D107" s="889"/>
      <c r="E107" s="903"/>
      <c r="F107" s="352"/>
    </row>
    <row r="108" spans="1:6">
      <c r="A108" s="904"/>
      <c r="B108" s="899"/>
      <c r="C108" s="905"/>
      <c r="D108" s="906"/>
      <c r="E108" s="903"/>
      <c r="F108" s="352"/>
    </row>
    <row r="109" spans="1:6">
      <c r="A109" s="881"/>
      <c r="B109" s="882"/>
      <c r="C109" s="883" t="s">
        <v>1401</v>
      </c>
      <c r="D109" s="884"/>
      <c r="E109" s="303"/>
      <c r="F109" s="304"/>
    </row>
    <row r="110" spans="1:6">
      <c r="A110" s="886"/>
      <c r="B110" s="887" t="s">
        <v>1402</v>
      </c>
      <c r="C110" s="888" t="s">
        <v>1403</v>
      </c>
      <c r="D110" s="889" t="s">
        <v>1404</v>
      </c>
      <c r="E110" s="309">
        <v>1267.142857142857</v>
      </c>
      <c r="F110" s="352" t="s">
        <v>236</v>
      </c>
    </row>
    <row r="111" spans="1:6">
      <c r="A111" s="886"/>
      <c r="B111" s="887"/>
      <c r="C111" s="890" t="s">
        <v>1392</v>
      </c>
      <c r="D111" s="889"/>
      <c r="E111" s="903"/>
      <c r="F111" s="352"/>
    </row>
    <row r="112" spans="1:6">
      <c r="A112" s="886"/>
      <c r="B112" s="891"/>
      <c r="C112" s="892" t="s">
        <v>1362</v>
      </c>
      <c r="D112" s="889"/>
      <c r="E112" s="903"/>
      <c r="F112" s="352"/>
    </row>
    <row r="113" spans="1:6">
      <c r="A113" s="886"/>
      <c r="B113" s="887"/>
      <c r="D113" s="889"/>
      <c r="E113" s="903"/>
      <c r="F113" s="352"/>
    </row>
    <row r="114" spans="1:6">
      <c r="A114" s="886"/>
      <c r="B114" s="887"/>
      <c r="C114" s="894" t="s">
        <v>1405</v>
      </c>
      <c r="D114" s="889"/>
      <c r="E114" s="903"/>
      <c r="F114" s="352"/>
    </row>
    <row r="115" spans="1:6">
      <c r="A115" s="886"/>
      <c r="B115" s="887"/>
      <c r="C115" s="895" t="s">
        <v>1364</v>
      </c>
      <c r="D115" s="889"/>
      <c r="E115" s="903"/>
      <c r="F115" s="352"/>
    </row>
    <row r="116" spans="1:6">
      <c r="A116" s="886"/>
      <c r="B116" s="887"/>
      <c r="C116" s="896"/>
      <c r="D116" s="889"/>
      <c r="E116" s="903"/>
      <c r="F116" s="352"/>
    </row>
    <row r="117" spans="1:6">
      <c r="A117" s="886"/>
      <c r="B117" s="897"/>
      <c r="C117" s="890"/>
      <c r="D117" s="889"/>
      <c r="E117" s="903"/>
      <c r="F117" s="352"/>
    </row>
    <row r="118" spans="1:6">
      <c r="A118" s="904"/>
      <c r="B118" s="899"/>
      <c r="C118" s="905"/>
      <c r="D118" s="906"/>
      <c r="E118" s="903"/>
      <c r="F118" s="352"/>
    </row>
    <row r="119" spans="1:6">
      <c r="A119" s="881"/>
      <c r="B119" s="882"/>
      <c r="C119" s="883" t="s">
        <v>1406</v>
      </c>
      <c r="D119" s="884"/>
      <c r="E119" s="303"/>
      <c r="F119" s="304"/>
    </row>
    <row r="120" spans="1:6">
      <c r="A120" s="886"/>
      <c r="B120" s="887" t="s">
        <v>1407</v>
      </c>
      <c r="C120" s="888" t="s">
        <v>1408</v>
      </c>
      <c r="D120" s="889" t="s">
        <v>1409</v>
      </c>
      <c r="E120" s="309">
        <v>1728.5714285714287</v>
      </c>
      <c r="F120" s="352" t="s">
        <v>236</v>
      </c>
    </row>
    <row r="121" spans="1:6">
      <c r="A121" s="886"/>
      <c r="B121" s="887"/>
      <c r="C121" s="890" t="s">
        <v>1392</v>
      </c>
      <c r="D121" s="889"/>
      <c r="E121" s="903"/>
      <c r="F121" s="352"/>
    </row>
    <row r="122" spans="1:6">
      <c r="A122" s="886"/>
      <c r="B122" s="891"/>
      <c r="C122" s="892" t="s">
        <v>1362</v>
      </c>
      <c r="D122" s="889"/>
      <c r="E122" s="903"/>
      <c r="F122" s="352"/>
    </row>
    <row r="123" spans="1:6">
      <c r="A123" s="886"/>
      <c r="B123" s="887"/>
      <c r="D123" s="889"/>
      <c r="E123" s="903"/>
      <c r="F123" s="352"/>
    </row>
    <row r="124" spans="1:6">
      <c r="A124" s="886"/>
      <c r="B124" s="887"/>
      <c r="C124" s="894" t="s">
        <v>1410</v>
      </c>
      <c r="D124" s="889"/>
      <c r="E124" s="903"/>
      <c r="F124" s="352"/>
    </row>
    <row r="125" spans="1:6">
      <c r="A125" s="886"/>
      <c r="B125" s="887"/>
      <c r="C125" s="895" t="s">
        <v>1364</v>
      </c>
      <c r="D125" s="889"/>
      <c r="E125" s="903"/>
      <c r="F125" s="352"/>
    </row>
    <row r="126" spans="1:6">
      <c r="A126" s="886"/>
      <c r="B126" s="887"/>
      <c r="C126" s="896"/>
      <c r="D126" s="889"/>
      <c r="E126" s="903"/>
      <c r="F126" s="352"/>
    </row>
    <row r="127" spans="1:6">
      <c r="A127" s="886"/>
      <c r="B127" s="897"/>
      <c r="C127" s="890"/>
      <c r="D127" s="889"/>
      <c r="E127" s="903"/>
      <c r="F127" s="352"/>
    </row>
    <row r="128" spans="1:6">
      <c r="A128" s="904"/>
      <c r="B128" s="899"/>
      <c r="C128" s="905"/>
      <c r="D128" s="906"/>
      <c r="E128" s="903"/>
      <c r="F128" s="352"/>
    </row>
    <row r="129" spans="1:6">
      <c r="A129" s="881"/>
      <c r="B129" s="882"/>
      <c r="C129" s="883" t="s">
        <v>1411</v>
      </c>
      <c r="D129" s="884"/>
      <c r="E129" s="303"/>
      <c r="F129" s="304"/>
    </row>
    <row r="130" spans="1:6">
      <c r="A130" s="886"/>
      <c r="B130" s="887" t="s">
        <v>1412</v>
      </c>
      <c r="C130" s="888" t="s">
        <v>1413</v>
      </c>
      <c r="D130" s="889" t="s">
        <v>1404</v>
      </c>
      <c r="E130" s="309">
        <v>1941.4285714285716</v>
      </c>
      <c r="F130" s="352" t="s">
        <v>236</v>
      </c>
    </row>
    <row r="131" spans="1:6">
      <c r="A131" s="886"/>
      <c r="B131" s="887"/>
      <c r="C131" s="890" t="s">
        <v>1392</v>
      </c>
      <c r="D131" s="889"/>
      <c r="E131" s="903"/>
      <c r="F131" s="352"/>
    </row>
    <row r="132" spans="1:6">
      <c r="A132" s="886"/>
      <c r="B132" s="891"/>
      <c r="C132" s="892" t="s">
        <v>1362</v>
      </c>
      <c r="D132" s="889"/>
      <c r="E132" s="903"/>
      <c r="F132" s="352"/>
    </row>
    <row r="133" spans="1:6">
      <c r="A133" s="886"/>
      <c r="B133" s="887"/>
      <c r="D133" s="889"/>
      <c r="E133" s="903"/>
      <c r="F133" s="352"/>
    </row>
    <row r="134" spans="1:6">
      <c r="A134" s="886"/>
      <c r="B134" s="887"/>
      <c r="C134" s="894" t="s">
        <v>1393</v>
      </c>
      <c r="D134" s="889"/>
      <c r="E134" s="903"/>
      <c r="F134" s="352"/>
    </row>
    <row r="135" spans="1:6">
      <c r="A135" s="886"/>
      <c r="B135" s="887"/>
      <c r="C135" s="895" t="s">
        <v>1364</v>
      </c>
      <c r="D135" s="889"/>
      <c r="E135" s="903"/>
      <c r="F135" s="352"/>
    </row>
    <row r="136" spans="1:6">
      <c r="A136" s="886"/>
      <c r="B136" s="887"/>
      <c r="C136" s="896"/>
      <c r="D136" s="889"/>
      <c r="E136" s="903"/>
      <c r="F136" s="352"/>
    </row>
    <row r="137" spans="1:6">
      <c r="A137" s="886"/>
      <c r="B137" s="897"/>
      <c r="C137" s="890"/>
      <c r="D137" s="889"/>
      <c r="E137" s="903"/>
      <c r="F137" s="352"/>
    </row>
    <row r="138" spans="1:6">
      <c r="A138" s="904"/>
      <c r="B138" s="899"/>
      <c r="C138" s="905"/>
      <c r="D138" s="906"/>
      <c r="E138" s="903"/>
      <c r="F138" s="352"/>
    </row>
    <row r="139" spans="1:6">
      <c r="A139" s="881"/>
      <c r="B139" s="882"/>
      <c r="C139" s="883" t="s">
        <v>1414</v>
      </c>
      <c r="D139" s="884"/>
      <c r="E139" s="303"/>
      <c r="F139" s="304"/>
    </row>
    <row r="140" spans="1:6">
      <c r="A140" s="886"/>
      <c r="B140" s="887" t="s">
        <v>1415</v>
      </c>
      <c r="C140" s="888" t="s">
        <v>1359</v>
      </c>
      <c r="D140" s="889" t="s">
        <v>1416</v>
      </c>
      <c r="E140" s="309">
        <v>4034.2857142857147</v>
      </c>
      <c r="F140" s="352" t="s">
        <v>236</v>
      </c>
    </row>
    <row r="141" spans="1:6">
      <c r="A141" s="886"/>
      <c r="B141" s="887"/>
      <c r="C141" s="890" t="s">
        <v>1382</v>
      </c>
      <c r="D141" s="889"/>
      <c r="E141" s="903"/>
      <c r="F141" s="352"/>
    </row>
    <row r="142" spans="1:6">
      <c r="A142" s="886"/>
      <c r="B142" s="891"/>
      <c r="C142" s="892" t="s">
        <v>1362</v>
      </c>
      <c r="D142" s="889"/>
      <c r="E142" s="903"/>
      <c r="F142" s="352"/>
    </row>
    <row r="143" spans="1:6">
      <c r="A143" s="886"/>
      <c r="B143" s="887"/>
      <c r="D143" s="889"/>
      <c r="E143" s="903"/>
      <c r="F143" s="352"/>
    </row>
    <row r="144" spans="1:6">
      <c r="A144" s="886"/>
      <c r="B144" s="887"/>
      <c r="C144" s="894" t="s">
        <v>1417</v>
      </c>
      <c r="D144" s="889"/>
      <c r="E144" s="903"/>
      <c r="F144" s="352"/>
    </row>
    <row r="145" spans="1:6">
      <c r="A145" s="886"/>
      <c r="B145" s="887"/>
      <c r="C145" s="895" t="s">
        <v>1364</v>
      </c>
      <c r="D145" s="889"/>
      <c r="E145" s="903"/>
      <c r="F145" s="352"/>
    </row>
    <row r="146" spans="1:6">
      <c r="A146" s="886"/>
      <c r="B146" s="887"/>
      <c r="C146" s="896"/>
      <c r="D146" s="889"/>
      <c r="E146" s="903"/>
      <c r="F146" s="352"/>
    </row>
    <row r="147" spans="1:6">
      <c r="A147" s="886"/>
      <c r="B147" s="897"/>
      <c r="C147" s="890"/>
      <c r="D147" s="889"/>
      <c r="E147" s="903"/>
      <c r="F147" s="352"/>
    </row>
    <row r="148" spans="1:6">
      <c r="A148" s="904"/>
      <c r="B148" s="899"/>
      <c r="C148" s="905"/>
      <c r="D148" s="906"/>
      <c r="E148" s="903"/>
      <c r="F148" s="352"/>
    </row>
    <row r="149" spans="1:6">
      <c r="A149" s="881"/>
      <c r="B149" s="882"/>
      <c r="C149" s="883" t="s">
        <v>1418</v>
      </c>
      <c r="D149" s="884"/>
      <c r="E149" s="303"/>
      <c r="F149" s="304"/>
    </row>
    <row r="150" spans="1:6">
      <c r="A150" s="886"/>
      <c r="B150" s="887" t="s">
        <v>1419</v>
      </c>
      <c r="C150" s="888" t="s">
        <v>1420</v>
      </c>
      <c r="D150" s="889" t="s">
        <v>1421</v>
      </c>
      <c r="E150" s="309">
        <v>3224.2857142857147</v>
      </c>
      <c r="F150" s="352" t="s">
        <v>236</v>
      </c>
    </row>
    <row r="151" spans="1:6">
      <c r="A151" s="886"/>
      <c r="B151" s="887"/>
      <c r="C151" s="890" t="s">
        <v>1382</v>
      </c>
      <c r="D151" s="889"/>
      <c r="E151" s="903"/>
      <c r="F151" s="352"/>
    </row>
    <row r="152" spans="1:6">
      <c r="A152" s="886"/>
      <c r="B152" s="891"/>
      <c r="C152" s="892" t="s">
        <v>1422</v>
      </c>
      <c r="D152" s="889"/>
      <c r="E152" s="903"/>
      <c r="F152" s="352"/>
    </row>
    <row r="153" spans="1:6">
      <c r="A153" s="886"/>
      <c r="B153" s="887"/>
      <c r="D153" s="889"/>
      <c r="E153" s="903"/>
      <c r="F153" s="352"/>
    </row>
    <row r="154" spans="1:6">
      <c r="A154" s="886"/>
      <c r="B154" s="887"/>
      <c r="C154" s="894" t="s">
        <v>1423</v>
      </c>
      <c r="D154" s="889"/>
      <c r="E154" s="903"/>
      <c r="F154" s="352"/>
    </row>
    <row r="155" spans="1:6">
      <c r="A155" s="886"/>
      <c r="B155" s="887"/>
      <c r="C155" s="895" t="s">
        <v>1364</v>
      </c>
      <c r="D155" s="889"/>
      <c r="E155" s="903"/>
      <c r="F155" s="352"/>
    </row>
    <row r="156" spans="1:6">
      <c r="A156" s="886"/>
      <c r="B156" s="887"/>
      <c r="C156" s="896"/>
      <c r="D156" s="889"/>
      <c r="E156" s="903"/>
      <c r="F156" s="352"/>
    </row>
    <row r="157" spans="1:6">
      <c r="A157" s="886"/>
      <c r="B157" s="897"/>
      <c r="C157" s="890"/>
      <c r="D157" s="889"/>
      <c r="E157" s="903"/>
      <c r="F157" s="352"/>
    </row>
    <row r="158" spans="1:6">
      <c r="A158" s="904"/>
      <c r="B158" s="899"/>
      <c r="C158" s="905"/>
      <c r="D158" s="906"/>
      <c r="E158" s="903"/>
      <c r="F158" s="352"/>
    </row>
    <row r="159" spans="1:6">
      <c r="A159" s="862" t="s">
        <v>1354</v>
      </c>
      <c r="B159" s="863"/>
      <c r="C159" s="1509" t="s">
        <v>1424</v>
      </c>
      <c r="D159" s="864"/>
      <c r="E159" s="864"/>
      <c r="F159" s="864"/>
    </row>
    <row r="160" spans="1:6">
      <c r="A160" s="868" t="s">
        <v>1425</v>
      </c>
      <c r="B160" s="869"/>
      <c r="C160" s="1510"/>
      <c r="D160" s="870"/>
      <c r="E160" s="870"/>
      <c r="F160" s="870"/>
    </row>
    <row r="161" spans="1:6">
      <c r="A161" s="881"/>
      <c r="B161" s="882"/>
      <c r="C161" s="883" t="s">
        <v>1426</v>
      </c>
      <c r="D161" s="884"/>
      <c r="E161" s="303"/>
      <c r="F161" s="304"/>
    </row>
    <row r="162" spans="1:6">
      <c r="A162" s="886"/>
      <c r="B162" s="887" t="s">
        <v>1427</v>
      </c>
      <c r="C162" s="888" t="s">
        <v>1428</v>
      </c>
      <c r="D162" s="889" t="s">
        <v>1429</v>
      </c>
      <c r="E162" s="309">
        <v>707.1428571428572</v>
      </c>
      <c r="F162" s="352" t="s">
        <v>236</v>
      </c>
    </row>
    <row r="163" spans="1:6">
      <c r="A163" s="886"/>
      <c r="B163" s="887"/>
      <c r="C163" s="892" t="s">
        <v>1430</v>
      </c>
      <c r="D163" s="889"/>
      <c r="E163" s="903"/>
      <c r="F163" s="352"/>
    </row>
    <row r="164" spans="1:6">
      <c r="A164" s="886"/>
      <c r="B164" s="891"/>
      <c r="C164" s="843"/>
      <c r="D164" s="889"/>
      <c r="E164" s="903"/>
      <c r="F164" s="352"/>
    </row>
    <row r="165" spans="1:6">
      <c r="A165" s="886"/>
      <c r="B165" s="887"/>
      <c r="D165" s="889"/>
      <c r="E165" s="903"/>
      <c r="F165" s="352"/>
    </row>
    <row r="166" spans="1:6">
      <c r="A166" s="886"/>
      <c r="B166" s="887"/>
      <c r="C166" s="894" t="s">
        <v>1431</v>
      </c>
      <c r="D166" s="889"/>
      <c r="E166" s="903"/>
      <c r="F166" s="352"/>
    </row>
    <row r="167" spans="1:6">
      <c r="A167" s="886"/>
      <c r="B167" s="887"/>
      <c r="C167" s="895" t="s">
        <v>1364</v>
      </c>
      <c r="D167" s="889"/>
      <c r="E167" s="903"/>
      <c r="F167" s="352"/>
    </row>
    <row r="168" spans="1:6">
      <c r="A168" s="886"/>
      <c r="B168" s="887"/>
      <c r="C168" s="896"/>
      <c r="D168" s="889"/>
      <c r="E168" s="903"/>
      <c r="F168" s="352"/>
    </row>
    <row r="169" spans="1:6">
      <c r="A169" s="886"/>
      <c r="B169" s="897"/>
      <c r="C169" s="890"/>
      <c r="D169" s="889"/>
      <c r="E169" s="903"/>
      <c r="F169" s="352"/>
    </row>
    <row r="170" spans="1:6">
      <c r="A170" s="904"/>
      <c r="B170" s="899"/>
      <c r="C170" s="905"/>
      <c r="D170" s="906"/>
      <c r="E170" s="903"/>
      <c r="F170" s="352"/>
    </row>
    <row r="171" spans="1:6">
      <c r="A171" s="881"/>
      <c r="B171" s="882"/>
      <c r="C171" s="883" t="s">
        <v>1432</v>
      </c>
      <c r="D171" s="884"/>
      <c r="E171" s="303"/>
      <c r="F171" s="304"/>
    </row>
    <row r="172" spans="1:6">
      <c r="A172" s="886"/>
      <c r="B172" s="887" t="s">
        <v>1433</v>
      </c>
      <c r="C172" s="888" t="s">
        <v>1434</v>
      </c>
      <c r="D172" s="889" t="s">
        <v>1435</v>
      </c>
      <c r="E172" s="309">
        <v>585.7142857142858</v>
      </c>
      <c r="F172" s="352" t="s">
        <v>236</v>
      </c>
    </row>
    <row r="173" spans="1:6">
      <c r="A173" s="886"/>
      <c r="B173" s="887"/>
      <c r="C173" s="892" t="s">
        <v>1436</v>
      </c>
      <c r="D173" s="889"/>
      <c r="E173" s="903"/>
      <c r="F173" s="352"/>
    </row>
    <row r="174" spans="1:6">
      <c r="A174" s="886"/>
      <c r="B174" s="891"/>
      <c r="C174" s="843"/>
      <c r="D174" s="889"/>
      <c r="E174" s="903"/>
      <c r="F174" s="352"/>
    </row>
    <row r="175" spans="1:6">
      <c r="A175" s="886"/>
      <c r="B175" s="887"/>
      <c r="D175" s="889"/>
      <c r="E175" s="903"/>
      <c r="F175" s="352"/>
    </row>
    <row r="176" spans="1:6">
      <c r="A176" s="886"/>
      <c r="B176" s="887"/>
      <c r="C176" s="894" t="s">
        <v>1437</v>
      </c>
      <c r="D176" s="889"/>
      <c r="E176" s="903"/>
      <c r="F176" s="352"/>
    </row>
    <row r="177" spans="1:6">
      <c r="A177" s="886"/>
      <c r="B177" s="887"/>
      <c r="C177" s="895" t="s">
        <v>1364</v>
      </c>
      <c r="D177" s="889"/>
      <c r="E177" s="903"/>
      <c r="F177" s="352"/>
    </row>
    <row r="178" spans="1:6">
      <c r="A178" s="886"/>
      <c r="B178" s="887"/>
      <c r="C178" s="896"/>
      <c r="D178" s="889"/>
      <c r="E178" s="903"/>
      <c r="F178" s="352"/>
    </row>
    <row r="179" spans="1:6">
      <c r="A179" s="886"/>
      <c r="B179" s="897"/>
      <c r="C179" s="890"/>
      <c r="D179" s="889"/>
      <c r="E179" s="903"/>
      <c r="F179" s="352"/>
    </row>
    <row r="180" spans="1:6">
      <c r="A180" s="904"/>
      <c r="B180" s="899"/>
      <c r="C180" s="905"/>
      <c r="D180" s="906"/>
      <c r="E180" s="903"/>
      <c r="F180" s="352"/>
    </row>
    <row r="181" spans="1:6">
      <c r="A181" s="881"/>
      <c r="B181" s="882"/>
      <c r="C181" s="883" t="s">
        <v>1438</v>
      </c>
      <c r="D181" s="884"/>
      <c r="E181" s="303"/>
      <c r="F181" s="304"/>
    </row>
    <row r="182" spans="1:6">
      <c r="A182" s="886"/>
      <c r="B182" s="887" t="s">
        <v>1439</v>
      </c>
      <c r="C182" s="888" t="s">
        <v>1440</v>
      </c>
      <c r="D182" s="889" t="s">
        <v>1441</v>
      </c>
      <c r="E182" s="309">
        <v>585.7142857142858</v>
      </c>
      <c r="F182" s="352" t="s">
        <v>236</v>
      </c>
    </row>
    <row r="183" spans="1:6">
      <c r="A183" s="886"/>
      <c r="B183" s="887"/>
      <c r="C183" s="892" t="s">
        <v>1436</v>
      </c>
      <c r="D183" s="889"/>
      <c r="E183" s="903"/>
      <c r="F183" s="352"/>
    </row>
    <row r="184" spans="1:6">
      <c r="A184" s="886"/>
      <c r="B184" s="891"/>
      <c r="C184" s="843"/>
      <c r="D184" s="889"/>
      <c r="E184" s="903"/>
      <c r="F184" s="352"/>
    </row>
    <row r="185" spans="1:6">
      <c r="A185" s="886"/>
      <c r="B185" s="887"/>
      <c r="D185" s="889"/>
      <c r="E185" s="903"/>
      <c r="F185" s="352"/>
    </row>
    <row r="186" spans="1:6">
      <c r="A186" s="886"/>
      <c r="B186" s="887"/>
      <c r="C186" s="894" t="s">
        <v>1437</v>
      </c>
      <c r="D186" s="889"/>
      <c r="E186" s="903"/>
      <c r="F186" s="352"/>
    </row>
    <row r="187" spans="1:6">
      <c r="A187" s="886"/>
      <c r="B187" s="887"/>
      <c r="C187" s="895" t="s">
        <v>1364</v>
      </c>
      <c r="D187" s="889"/>
      <c r="E187" s="903"/>
      <c r="F187" s="352"/>
    </row>
    <row r="188" spans="1:6">
      <c r="A188" s="886"/>
      <c r="B188" s="887"/>
      <c r="C188" s="896"/>
      <c r="D188" s="889"/>
      <c r="E188" s="903"/>
      <c r="F188" s="352"/>
    </row>
    <row r="189" spans="1:6">
      <c r="A189" s="886"/>
      <c r="B189" s="897"/>
      <c r="C189" s="890"/>
      <c r="D189" s="889"/>
      <c r="E189" s="903"/>
      <c r="F189" s="352"/>
    </row>
    <row r="190" spans="1:6">
      <c r="A190" s="904"/>
      <c r="B190" s="899"/>
      <c r="C190" s="905"/>
      <c r="D190" s="906"/>
      <c r="E190" s="903"/>
      <c r="F190" s="352"/>
    </row>
    <row r="191" spans="1:6">
      <c r="A191" s="881"/>
      <c r="B191" s="882"/>
      <c r="C191" s="883" t="s">
        <v>1442</v>
      </c>
      <c r="D191" s="884"/>
      <c r="E191" s="303"/>
      <c r="F191" s="304"/>
    </row>
    <row r="192" spans="1:6">
      <c r="A192" s="886"/>
      <c r="B192" s="887" t="s">
        <v>1443</v>
      </c>
      <c r="C192" s="888" t="s">
        <v>1444</v>
      </c>
      <c r="D192" s="889" t="s">
        <v>1445</v>
      </c>
      <c r="E192" s="309">
        <v>284.2857142857143</v>
      </c>
      <c r="F192" s="352" t="s">
        <v>236</v>
      </c>
    </row>
    <row r="193" spans="1:6">
      <c r="A193" s="886"/>
      <c r="B193" s="887"/>
      <c r="C193" s="892" t="s">
        <v>1446</v>
      </c>
      <c r="D193" s="889"/>
      <c r="E193" s="903"/>
      <c r="F193" s="352"/>
    </row>
    <row r="194" spans="1:6">
      <c r="A194" s="886"/>
      <c r="B194" s="891"/>
      <c r="C194" s="843"/>
      <c r="D194" s="889"/>
      <c r="E194" s="903"/>
      <c r="F194" s="352"/>
    </row>
    <row r="195" spans="1:6">
      <c r="A195" s="886"/>
      <c r="B195" s="887"/>
      <c r="D195" s="889"/>
      <c r="E195" s="903"/>
      <c r="F195" s="352"/>
    </row>
    <row r="196" spans="1:6">
      <c r="A196" s="886"/>
      <c r="B196" s="887"/>
      <c r="C196" s="894" t="s">
        <v>1447</v>
      </c>
      <c r="D196" s="889"/>
      <c r="E196" s="903"/>
      <c r="F196" s="352"/>
    </row>
    <row r="197" spans="1:6">
      <c r="A197" s="886"/>
      <c r="B197" s="887"/>
      <c r="C197" s="895" t="s">
        <v>1364</v>
      </c>
      <c r="D197" s="889"/>
      <c r="E197" s="903"/>
      <c r="F197" s="352"/>
    </row>
    <row r="198" spans="1:6">
      <c r="A198" s="886"/>
      <c r="B198" s="887"/>
      <c r="C198" s="896"/>
      <c r="D198" s="889"/>
      <c r="E198" s="903"/>
      <c r="F198" s="352"/>
    </row>
    <row r="199" spans="1:6">
      <c r="A199" s="886"/>
      <c r="B199" s="897"/>
      <c r="C199" s="890"/>
      <c r="D199" s="889"/>
      <c r="E199" s="903"/>
      <c r="F199" s="352"/>
    </row>
    <row r="200" spans="1:6">
      <c r="A200" s="904"/>
      <c r="B200" s="899"/>
      <c r="C200" s="905"/>
      <c r="D200" s="906"/>
      <c r="E200" s="903"/>
      <c r="F200" s="352"/>
    </row>
    <row r="201" spans="1:6">
      <c r="A201" s="881"/>
      <c r="B201" s="882"/>
      <c r="C201" s="883" t="s">
        <v>1442</v>
      </c>
      <c r="D201" s="884"/>
      <c r="E201" s="303"/>
      <c r="F201" s="304"/>
    </row>
    <row r="202" spans="1:6">
      <c r="A202" s="886"/>
      <c r="B202" s="887" t="s">
        <v>1448</v>
      </c>
      <c r="C202" s="888" t="s">
        <v>1449</v>
      </c>
      <c r="D202" s="889" t="s">
        <v>1450</v>
      </c>
      <c r="E202" s="309">
        <v>427.14285714285717</v>
      </c>
      <c r="F202" s="352" t="s">
        <v>236</v>
      </c>
    </row>
    <row r="203" spans="1:6">
      <c r="A203" s="886"/>
      <c r="B203" s="887"/>
      <c r="C203" s="892" t="s">
        <v>1446</v>
      </c>
      <c r="D203" s="889"/>
      <c r="E203" s="903"/>
      <c r="F203" s="352"/>
    </row>
    <row r="204" spans="1:6">
      <c r="A204" s="886"/>
      <c r="B204" s="891"/>
      <c r="C204" s="843"/>
      <c r="D204" s="889"/>
      <c r="E204" s="903"/>
      <c r="F204" s="352"/>
    </row>
    <row r="205" spans="1:6">
      <c r="A205" s="886"/>
      <c r="B205" s="887"/>
      <c r="D205" s="889"/>
      <c r="E205" s="903"/>
      <c r="F205" s="352"/>
    </row>
    <row r="206" spans="1:6">
      <c r="A206" s="886"/>
      <c r="B206" s="887"/>
      <c r="C206" s="894" t="s">
        <v>1451</v>
      </c>
      <c r="D206" s="889"/>
      <c r="E206" s="903"/>
      <c r="F206" s="352"/>
    </row>
    <row r="207" spans="1:6">
      <c r="A207" s="886"/>
      <c r="B207" s="887"/>
      <c r="C207" s="895" t="s">
        <v>1364</v>
      </c>
      <c r="D207" s="889"/>
      <c r="E207" s="903"/>
      <c r="F207" s="352"/>
    </row>
    <row r="208" spans="1:6">
      <c r="A208" s="886"/>
      <c r="B208" s="887"/>
      <c r="C208" s="896"/>
      <c r="D208" s="889"/>
      <c r="E208" s="903"/>
      <c r="F208" s="352"/>
    </row>
    <row r="209" spans="1:6">
      <c r="A209" s="886"/>
      <c r="B209" s="897"/>
      <c r="C209" s="890"/>
      <c r="D209" s="889"/>
      <c r="E209" s="903"/>
      <c r="F209" s="352"/>
    </row>
    <row r="210" spans="1:6">
      <c r="A210" s="904"/>
      <c r="B210" s="899"/>
      <c r="C210" s="905"/>
      <c r="D210" s="906"/>
      <c r="E210" s="903"/>
      <c r="F210" s="352"/>
    </row>
    <row r="211" spans="1:6">
      <c r="A211" s="881"/>
      <c r="B211" s="882"/>
      <c r="C211" s="883" t="s">
        <v>1452</v>
      </c>
      <c r="D211" s="884"/>
      <c r="E211" s="303"/>
      <c r="F211" s="304"/>
    </row>
    <row r="212" spans="1:6">
      <c r="A212" s="886"/>
      <c r="B212" s="887" t="s">
        <v>1453</v>
      </c>
      <c r="C212" s="888" t="s">
        <v>1454</v>
      </c>
      <c r="D212" s="889" t="s">
        <v>1435</v>
      </c>
      <c r="E212" s="309">
        <v>614.2857142857143</v>
      </c>
      <c r="F212" s="352" t="s">
        <v>236</v>
      </c>
    </row>
    <row r="213" spans="1:6">
      <c r="A213" s="886"/>
      <c r="B213" s="887"/>
      <c r="C213" s="873" t="s">
        <v>1392</v>
      </c>
      <c r="D213" s="889"/>
      <c r="E213" s="903"/>
      <c r="F213" s="352"/>
    </row>
    <row r="214" spans="1:6">
      <c r="A214" s="886"/>
      <c r="B214" s="891"/>
      <c r="C214" s="892" t="s">
        <v>1436</v>
      </c>
      <c r="D214" s="889"/>
      <c r="E214" s="903"/>
      <c r="F214" s="352"/>
    </row>
    <row r="215" spans="1:6">
      <c r="A215" s="886"/>
      <c r="B215" s="887"/>
      <c r="D215" s="889"/>
      <c r="E215" s="903"/>
      <c r="F215" s="352"/>
    </row>
    <row r="216" spans="1:6">
      <c r="A216" s="886"/>
      <c r="B216" s="887"/>
      <c r="C216" s="894" t="s">
        <v>1437</v>
      </c>
      <c r="D216" s="889"/>
      <c r="E216" s="903"/>
      <c r="F216" s="352"/>
    </row>
    <row r="217" spans="1:6">
      <c r="A217" s="886"/>
      <c r="B217" s="887"/>
      <c r="C217" s="895" t="s">
        <v>1364</v>
      </c>
      <c r="D217" s="889"/>
      <c r="E217" s="903"/>
      <c r="F217" s="352"/>
    </row>
    <row r="218" spans="1:6">
      <c r="A218" s="886"/>
      <c r="B218" s="887"/>
      <c r="C218" s="896"/>
      <c r="D218" s="889"/>
      <c r="E218" s="903"/>
      <c r="F218" s="352"/>
    </row>
    <row r="219" spans="1:6">
      <c r="A219" s="886"/>
      <c r="B219" s="897"/>
      <c r="C219" s="890"/>
      <c r="D219" s="889"/>
      <c r="E219" s="903"/>
      <c r="F219" s="352"/>
    </row>
    <row r="220" spans="1:6">
      <c r="A220" s="904"/>
      <c r="B220" s="899"/>
      <c r="C220" s="905"/>
      <c r="D220" s="906"/>
      <c r="E220" s="903"/>
      <c r="F220" s="352"/>
    </row>
    <row r="221" spans="1:6">
      <c r="A221" s="881"/>
      <c r="B221" s="882"/>
      <c r="C221" s="883" t="s">
        <v>1455</v>
      </c>
      <c r="D221" s="884"/>
      <c r="E221" s="303"/>
      <c r="F221" s="304"/>
    </row>
    <row r="222" spans="1:6">
      <c r="A222" s="886"/>
      <c r="B222" s="887" t="s">
        <v>1456</v>
      </c>
      <c r="C222" s="888" t="s">
        <v>1457</v>
      </c>
      <c r="D222" s="889" t="s">
        <v>1458</v>
      </c>
      <c r="E222" s="309">
        <v>1128.5714285714287</v>
      </c>
      <c r="F222" s="352" t="s">
        <v>236</v>
      </c>
    </row>
    <row r="223" spans="1:6">
      <c r="A223" s="886"/>
      <c r="B223" s="887"/>
      <c r="C223" s="873" t="s">
        <v>1392</v>
      </c>
      <c r="D223" s="889"/>
      <c r="E223" s="903"/>
      <c r="F223" s="352"/>
    </row>
    <row r="224" spans="1:6">
      <c r="A224" s="886"/>
      <c r="B224" s="891"/>
      <c r="C224" s="892" t="s">
        <v>1459</v>
      </c>
      <c r="D224" s="889"/>
      <c r="E224" s="903"/>
      <c r="F224" s="352"/>
    </row>
    <row r="225" spans="1:6">
      <c r="A225" s="886"/>
      <c r="B225" s="887"/>
      <c r="D225" s="889"/>
      <c r="E225" s="903"/>
      <c r="F225" s="352"/>
    </row>
    <row r="226" spans="1:6">
      <c r="A226" s="886"/>
      <c r="B226" s="887"/>
      <c r="C226" s="894" t="s">
        <v>1460</v>
      </c>
      <c r="D226" s="889"/>
      <c r="E226" s="903"/>
      <c r="F226" s="352"/>
    </row>
    <row r="227" spans="1:6">
      <c r="A227" s="886"/>
      <c r="B227" s="887"/>
      <c r="C227" s="895" t="s">
        <v>1364</v>
      </c>
      <c r="D227" s="889"/>
      <c r="E227" s="903"/>
      <c r="F227" s="352"/>
    </row>
    <row r="228" spans="1:6">
      <c r="A228" s="886"/>
      <c r="B228" s="887"/>
      <c r="C228" s="896"/>
      <c r="D228" s="889"/>
      <c r="E228" s="903"/>
      <c r="F228" s="352"/>
    </row>
    <row r="229" spans="1:6">
      <c r="A229" s="886"/>
      <c r="B229" s="897"/>
      <c r="C229" s="890"/>
      <c r="D229" s="889"/>
      <c r="E229" s="903"/>
      <c r="F229" s="352"/>
    </row>
    <row r="230" spans="1:6">
      <c r="A230" s="904"/>
      <c r="B230" s="899"/>
      <c r="C230" s="905"/>
      <c r="D230" s="906"/>
      <c r="E230" s="903"/>
      <c r="F230" s="352"/>
    </row>
    <row r="231" spans="1:6">
      <c r="A231" s="881"/>
      <c r="B231" s="882"/>
      <c r="C231" s="883" t="s">
        <v>1461</v>
      </c>
      <c r="D231" s="884"/>
      <c r="E231" s="303"/>
      <c r="F231" s="304"/>
    </row>
    <row r="232" spans="1:6">
      <c r="A232" s="886"/>
      <c r="B232" s="887" t="s">
        <v>1456</v>
      </c>
      <c r="C232" s="888" t="s">
        <v>1462</v>
      </c>
      <c r="D232" s="889" t="s">
        <v>1463</v>
      </c>
      <c r="E232" s="309">
        <v>985.7142857142858</v>
      </c>
      <c r="F232" s="352" t="s">
        <v>236</v>
      </c>
    </row>
    <row r="233" spans="1:6">
      <c r="A233" s="886"/>
      <c r="B233" s="887"/>
      <c r="C233" s="873" t="s">
        <v>1392</v>
      </c>
      <c r="D233" s="889"/>
      <c r="E233" s="903"/>
      <c r="F233" s="352"/>
    </row>
    <row r="234" spans="1:6">
      <c r="A234" s="886"/>
      <c r="B234" s="891"/>
      <c r="C234" s="892" t="s">
        <v>1459</v>
      </c>
      <c r="D234" s="889"/>
      <c r="E234" s="903"/>
      <c r="F234" s="352"/>
    </row>
    <row r="235" spans="1:6">
      <c r="A235" s="886"/>
      <c r="B235" s="887"/>
      <c r="D235" s="889"/>
      <c r="E235" s="903"/>
      <c r="F235" s="352"/>
    </row>
    <row r="236" spans="1:6">
      <c r="A236" s="886"/>
      <c r="B236" s="887"/>
      <c r="C236" s="894" t="s">
        <v>1460</v>
      </c>
      <c r="D236" s="889"/>
      <c r="E236" s="903"/>
      <c r="F236" s="352"/>
    </row>
    <row r="237" spans="1:6">
      <c r="A237" s="886"/>
      <c r="B237" s="887"/>
      <c r="C237" s="895" t="s">
        <v>1364</v>
      </c>
      <c r="D237" s="889"/>
      <c r="E237" s="903"/>
      <c r="F237" s="352"/>
    </row>
    <row r="238" spans="1:6">
      <c r="A238" s="886"/>
      <c r="B238" s="887"/>
      <c r="C238" s="896"/>
      <c r="D238" s="889"/>
      <c r="E238" s="903"/>
      <c r="F238" s="352"/>
    </row>
    <row r="239" spans="1:6">
      <c r="A239" s="886"/>
      <c r="B239" s="897"/>
      <c r="C239" s="890"/>
      <c r="D239" s="889"/>
      <c r="E239" s="903"/>
      <c r="F239" s="352"/>
    </row>
    <row r="240" spans="1:6">
      <c r="A240" s="904"/>
      <c r="B240" s="899"/>
      <c r="C240" s="905"/>
      <c r="D240" s="906"/>
      <c r="E240" s="903"/>
      <c r="F240" s="352"/>
    </row>
    <row r="241" spans="1:6">
      <c r="A241" s="881"/>
      <c r="B241" s="882"/>
      <c r="C241" s="883" t="s">
        <v>1464</v>
      </c>
      <c r="D241" s="884"/>
      <c r="E241" s="303"/>
      <c r="F241" s="304"/>
    </row>
    <row r="242" spans="1:6">
      <c r="A242" s="886"/>
      <c r="B242" s="887" t="s">
        <v>1465</v>
      </c>
      <c r="C242" s="888" t="s">
        <v>1466</v>
      </c>
      <c r="D242" s="889" t="s">
        <v>1463</v>
      </c>
      <c r="E242" s="309">
        <v>728.5714285714287</v>
      </c>
      <c r="F242" s="352" t="s">
        <v>236</v>
      </c>
    </row>
    <row r="243" spans="1:6">
      <c r="A243" s="886"/>
      <c r="B243" s="887"/>
      <c r="C243" s="873" t="s">
        <v>1392</v>
      </c>
      <c r="D243" s="889"/>
      <c r="E243" s="903"/>
      <c r="F243" s="352"/>
    </row>
    <row r="244" spans="1:6">
      <c r="A244" s="886"/>
      <c r="B244" s="891"/>
      <c r="C244" s="892" t="s">
        <v>1459</v>
      </c>
      <c r="D244" s="889"/>
      <c r="E244" s="903"/>
      <c r="F244" s="352"/>
    </row>
    <row r="245" spans="1:6">
      <c r="A245" s="886"/>
      <c r="B245" s="887"/>
      <c r="D245" s="889"/>
      <c r="E245" s="903"/>
      <c r="F245" s="352"/>
    </row>
    <row r="246" spans="1:6">
      <c r="A246" s="886"/>
      <c r="B246" s="887"/>
      <c r="C246" s="894" t="s">
        <v>1460</v>
      </c>
      <c r="D246" s="889"/>
      <c r="E246" s="903"/>
      <c r="F246" s="352"/>
    </row>
    <row r="247" spans="1:6">
      <c r="A247" s="886"/>
      <c r="B247" s="887"/>
      <c r="C247" s="895" t="s">
        <v>1364</v>
      </c>
      <c r="D247" s="889"/>
      <c r="E247" s="903"/>
      <c r="F247" s="352"/>
    </row>
    <row r="248" spans="1:6">
      <c r="A248" s="886"/>
      <c r="B248" s="887"/>
      <c r="C248" s="896"/>
      <c r="D248" s="889"/>
      <c r="E248" s="903"/>
      <c r="F248" s="352"/>
    </row>
    <row r="249" spans="1:6">
      <c r="A249" s="886"/>
      <c r="B249" s="897"/>
      <c r="C249" s="890"/>
      <c r="D249" s="889"/>
      <c r="E249" s="903"/>
      <c r="F249" s="352"/>
    </row>
    <row r="250" spans="1:6">
      <c r="A250" s="904"/>
      <c r="B250" s="899"/>
      <c r="C250" s="905"/>
      <c r="D250" s="906"/>
      <c r="E250" s="903"/>
      <c r="F250" s="352"/>
    </row>
    <row r="251" spans="1:6">
      <c r="A251" s="862" t="s">
        <v>1354</v>
      </c>
      <c r="B251" s="863"/>
      <c r="C251" s="1509" t="s">
        <v>1467</v>
      </c>
      <c r="D251" s="864"/>
      <c r="E251" s="864"/>
      <c r="F251" s="864"/>
    </row>
    <row r="252" spans="1:6">
      <c r="A252" s="868" t="s">
        <v>1356</v>
      </c>
      <c r="B252" s="869"/>
      <c r="C252" s="1510"/>
      <c r="D252" s="870"/>
      <c r="E252" s="870"/>
      <c r="F252" s="870"/>
    </row>
    <row r="253" spans="1:6">
      <c r="A253" s="881"/>
      <c r="B253" s="882"/>
      <c r="C253" s="883" t="s">
        <v>1468</v>
      </c>
      <c r="D253" s="884"/>
      <c r="E253" s="303"/>
      <c r="F253" s="304"/>
    </row>
    <row r="254" spans="1:6">
      <c r="A254" s="886"/>
      <c r="B254" s="887" t="s">
        <v>1469</v>
      </c>
      <c r="C254" s="888" t="s">
        <v>1470</v>
      </c>
      <c r="D254" s="889" t="s">
        <v>1471</v>
      </c>
      <c r="E254" s="309">
        <v>1267.142857142857</v>
      </c>
      <c r="F254" s="352" t="s">
        <v>236</v>
      </c>
    </row>
    <row r="255" spans="1:6">
      <c r="A255" s="886"/>
      <c r="B255" s="887"/>
      <c r="C255" s="873" t="s">
        <v>1472</v>
      </c>
      <c r="D255" s="889"/>
      <c r="E255" s="903"/>
      <c r="F255" s="352"/>
    </row>
    <row r="256" spans="1:6">
      <c r="A256" s="886"/>
      <c r="B256" s="891"/>
      <c r="C256" s="892" t="s">
        <v>1422</v>
      </c>
      <c r="D256" s="889"/>
      <c r="E256" s="903"/>
      <c r="F256" s="352"/>
    </row>
    <row r="257" spans="1:6">
      <c r="A257" s="886"/>
      <c r="B257" s="887"/>
      <c r="D257" s="889"/>
      <c r="E257" s="903"/>
      <c r="F257" s="352"/>
    </row>
    <row r="258" spans="1:6">
      <c r="A258" s="886"/>
      <c r="B258" s="887"/>
      <c r="C258" s="894" t="s">
        <v>1473</v>
      </c>
      <c r="D258" s="889"/>
      <c r="E258" s="903"/>
      <c r="F258" s="352"/>
    </row>
    <row r="259" spans="1:6">
      <c r="A259" s="886"/>
      <c r="B259" s="887"/>
      <c r="C259" s="895" t="s">
        <v>1364</v>
      </c>
      <c r="D259" s="889"/>
      <c r="E259" s="903"/>
      <c r="F259" s="352"/>
    </row>
    <row r="260" spans="1:6">
      <c r="A260" s="886"/>
      <c r="B260" s="887"/>
      <c r="C260" s="896"/>
      <c r="D260" s="889"/>
      <c r="E260" s="903"/>
      <c r="F260" s="352"/>
    </row>
    <row r="261" spans="1:6">
      <c r="A261" s="886"/>
      <c r="B261" s="897"/>
      <c r="C261" s="890"/>
      <c r="D261" s="889"/>
      <c r="E261" s="903"/>
      <c r="F261" s="352"/>
    </row>
    <row r="262" spans="1:6">
      <c r="A262" s="904"/>
      <c r="B262" s="899"/>
      <c r="C262" s="905"/>
      <c r="D262" s="906"/>
      <c r="E262" s="903"/>
      <c r="F262" s="352"/>
    </row>
    <row r="263" spans="1:6">
      <c r="A263" s="881"/>
      <c r="B263" s="882"/>
      <c r="C263" s="883" t="s">
        <v>1474</v>
      </c>
      <c r="D263" s="884"/>
      <c r="E263" s="303"/>
      <c r="F263" s="304"/>
    </row>
    <row r="264" spans="1:6">
      <c r="A264" s="886"/>
      <c r="B264" s="887" t="s">
        <v>1475</v>
      </c>
      <c r="C264" s="888" t="s">
        <v>1476</v>
      </c>
      <c r="D264" s="889" t="s">
        <v>1477</v>
      </c>
      <c r="E264" s="309">
        <v>1267.142857142857</v>
      </c>
      <c r="F264" s="352" t="s">
        <v>236</v>
      </c>
    </row>
    <row r="265" spans="1:6">
      <c r="A265" s="886"/>
      <c r="B265" s="887"/>
      <c r="C265" s="873" t="s">
        <v>1472</v>
      </c>
      <c r="D265" s="889"/>
      <c r="E265" s="903"/>
      <c r="F265" s="352"/>
    </row>
    <row r="266" spans="1:6">
      <c r="A266" s="886"/>
      <c r="B266" s="891"/>
      <c r="C266" s="892" t="s">
        <v>1478</v>
      </c>
      <c r="D266" s="889"/>
      <c r="E266" s="903"/>
      <c r="F266" s="352"/>
    </row>
    <row r="267" spans="1:6">
      <c r="A267" s="886"/>
      <c r="B267" s="887"/>
      <c r="D267" s="889"/>
      <c r="E267" s="903"/>
      <c r="F267" s="352"/>
    </row>
    <row r="268" spans="1:6">
      <c r="A268" s="886"/>
      <c r="B268" s="887"/>
      <c r="C268" s="894" t="s">
        <v>1473</v>
      </c>
      <c r="D268" s="889"/>
      <c r="E268" s="903"/>
      <c r="F268" s="352"/>
    </row>
    <row r="269" spans="1:6">
      <c r="A269" s="886"/>
      <c r="B269" s="887"/>
      <c r="C269" s="895" t="s">
        <v>1364</v>
      </c>
      <c r="D269" s="889"/>
      <c r="E269" s="903"/>
      <c r="F269" s="352"/>
    </row>
    <row r="270" spans="1:6">
      <c r="A270" s="886"/>
      <c r="B270" s="887"/>
      <c r="C270" s="896"/>
      <c r="D270" s="889"/>
      <c r="E270" s="903"/>
      <c r="F270" s="352"/>
    </row>
    <row r="271" spans="1:6">
      <c r="A271" s="886"/>
      <c r="B271" s="897"/>
      <c r="C271" s="890"/>
      <c r="D271" s="889"/>
      <c r="E271" s="903"/>
      <c r="F271" s="352"/>
    </row>
    <row r="272" spans="1:6">
      <c r="A272" s="904"/>
      <c r="B272" s="899"/>
      <c r="C272" s="905"/>
      <c r="D272" s="906"/>
      <c r="E272" s="903"/>
      <c r="F272" s="352"/>
    </row>
    <row r="273" spans="1:6">
      <c r="A273" s="881"/>
      <c r="B273" s="882"/>
      <c r="C273" s="883" t="s">
        <v>1479</v>
      </c>
      <c r="D273" s="884"/>
      <c r="E273" s="303"/>
      <c r="F273" s="304"/>
    </row>
    <row r="274" spans="1:6">
      <c r="A274" s="886"/>
      <c r="B274" s="887" t="s">
        <v>1480</v>
      </c>
      <c r="C274" s="888" t="s">
        <v>1481</v>
      </c>
      <c r="D274" s="889" t="s">
        <v>1482</v>
      </c>
      <c r="E274" s="309">
        <v>1414.2857142857144</v>
      </c>
      <c r="F274" s="352" t="s">
        <v>236</v>
      </c>
    </row>
    <row r="275" spans="1:6">
      <c r="A275" s="886"/>
      <c r="B275" s="887"/>
      <c r="C275" s="873" t="s">
        <v>1472</v>
      </c>
      <c r="D275" s="889"/>
      <c r="E275" s="903"/>
      <c r="F275" s="352"/>
    </row>
    <row r="276" spans="1:6">
      <c r="A276" s="886"/>
      <c r="B276" s="891"/>
      <c r="C276" s="892" t="s">
        <v>1478</v>
      </c>
      <c r="D276" s="889"/>
      <c r="E276" s="903"/>
      <c r="F276" s="352"/>
    </row>
    <row r="277" spans="1:6">
      <c r="A277" s="886"/>
      <c r="B277" s="887"/>
      <c r="D277" s="889"/>
      <c r="E277" s="903"/>
      <c r="F277" s="352"/>
    </row>
    <row r="278" spans="1:6">
      <c r="A278" s="886"/>
      <c r="B278" s="887"/>
      <c r="C278" s="894" t="s">
        <v>1473</v>
      </c>
      <c r="D278" s="889"/>
      <c r="E278" s="903"/>
      <c r="F278" s="352"/>
    </row>
    <row r="279" spans="1:6">
      <c r="A279" s="886"/>
      <c r="B279" s="887"/>
      <c r="C279" s="895" t="s">
        <v>1364</v>
      </c>
      <c r="D279" s="889"/>
      <c r="E279" s="903"/>
      <c r="F279" s="352"/>
    </row>
    <row r="280" spans="1:6">
      <c r="A280" s="886"/>
      <c r="B280" s="887"/>
      <c r="C280" s="896"/>
      <c r="D280" s="889"/>
      <c r="E280" s="903"/>
      <c r="F280" s="352"/>
    </row>
    <row r="281" spans="1:6">
      <c r="A281" s="886"/>
      <c r="B281" s="897"/>
      <c r="C281" s="890"/>
      <c r="D281" s="889"/>
      <c r="E281" s="903"/>
      <c r="F281" s="352"/>
    </row>
    <row r="282" spans="1:6">
      <c r="A282" s="904"/>
      <c r="B282" s="899"/>
      <c r="C282" s="905"/>
      <c r="D282" s="906"/>
      <c r="E282" s="903"/>
      <c r="F282" s="352"/>
    </row>
    <row r="283" spans="1:6">
      <c r="A283" s="881"/>
      <c r="B283" s="882"/>
      <c r="C283" s="883" t="s">
        <v>1483</v>
      </c>
      <c r="D283" s="884"/>
      <c r="E283" s="303"/>
      <c r="F283" s="304"/>
    </row>
    <row r="284" spans="1:6">
      <c r="A284" s="886"/>
      <c r="B284" s="887" t="s">
        <v>1484</v>
      </c>
      <c r="C284" s="888" t="s">
        <v>1485</v>
      </c>
      <c r="D284" s="889" t="s">
        <v>1486</v>
      </c>
      <c r="E284" s="309">
        <v>942.8571428571429</v>
      </c>
      <c r="F284" s="352" t="s">
        <v>236</v>
      </c>
    </row>
    <row r="285" spans="1:6">
      <c r="A285" s="886"/>
      <c r="B285" s="887"/>
      <c r="C285" s="873" t="s">
        <v>1487</v>
      </c>
      <c r="D285" s="889"/>
      <c r="E285" s="903"/>
      <c r="F285" s="352"/>
    </row>
    <row r="286" spans="1:6">
      <c r="A286" s="886"/>
      <c r="B286" s="891"/>
      <c r="C286" s="892" t="s">
        <v>1422</v>
      </c>
      <c r="D286" s="889"/>
      <c r="E286" s="903"/>
      <c r="F286" s="352"/>
    </row>
    <row r="287" spans="1:6">
      <c r="A287" s="886"/>
      <c r="B287" s="887"/>
      <c r="D287" s="889"/>
      <c r="E287" s="903"/>
      <c r="F287" s="352"/>
    </row>
    <row r="288" spans="1:6">
      <c r="A288" s="886"/>
      <c r="B288" s="887"/>
      <c r="C288" s="894" t="s">
        <v>1473</v>
      </c>
      <c r="D288" s="889"/>
      <c r="E288" s="903"/>
      <c r="F288" s="352"/>
    </row>
    <row r="289" spans="1:6">
      <c r="A289" s="886"/>
      <c r="B289" s="887"/>
      <c r="C289" s="895" t="s">
        <v>1364</v>
      </c>
      <c r="D289" s="889"/>
      <c r="E289" s="903"/>
      <c r="F289" s="352"/>
    </row>
    <row r="290" spans="1:6">
      <c r="A290" s="886"/>
      <c r="B290" s="887"/>
      <c r="C290" s="896"/>
      <c r="D290" s="889"/>
      <c r="E290" s="903"/>
      <c r="F290" s="352"/>
    </row>
    <row r="291" spans="1:6">
      <c r="A291" s="886"/>
      <c r="B291" s="897"/>
      <c r="C291" s="890"/>
      <c r="D291" s="889"/>
      <c r="E291" s="903"/>
      <c r="F291" s="352"/>
    </row>
    <row r="292" spans="1:6">
      <c r="A292" s="904"/>
      <c r="B292" s="899"/>
      <c r="C292" s="905"/>
      <c r="D292" s="906"/>
      <c r="E292" s="903"/>
      <c r="F292" s="352"/>
    </row>
    <row r="293" spans="1:6">
      <c r="A293" s="881"/>
      <c r="B293" s="882"/>
      <c r="C293" s="883" t="s">
        <v>1488</v>
      </c>
      <c r="D293" s="884"/>
      <c r="E293" s="303"/>
      <c r="F293" s="304"/>
    </row>
    <row r="294" spans="1:6">
      <c r="A294" s="886"/>
      <c r="B294" s="887" t="s">
        <v>1489</v>
      </c>
      <c r="C294" s="888" t="s">
        <v>1490</v>
      </c>
      <c r="D294" s="889" t="s">
        <v>1491</v>
      </c>
      <c r="E294" s="309">
        <v>1414.2857142857144</v>
      </c>
      <c r="F294" s="352" t="s">
        <v>236</v>
      </c>
    </row>
    <row r="295" spans="1:6">
      <c r="A295" s="886"/>
      <c r="B295" s="887"/>
      <c r="C295" s="873" t="s">
        <v>1492</v>
      </c>
      <c r="D295" s="889"/>
      <c r="E295" s="903"/>
      <c r="F295" s="352"/>
    </row>
    <row r="296" spans="1:6">
      <c r="A296" s="886"/>
      <c r="B296" s="891"/>
      <c r="C296" s="892" t="s">
        <v>1422</v>
      </c>
      <c r="D296" s="889"/>
      <c r="E296" s="903"/>
      <c r="F296" s="352"/>
    </row>
    <row r="297" spans="1:6">
      <c r="A297" s="886"/>
      <c r="B297" s="887"/>
      <c r="D297" s="889"/>
      <c r="E297" s="903"/>
      <c r="F297" s="352"/>
    </row>
    <row r="298" spans="1:6">
      <c r="A298" s="886"/>
      <c r="B298" s="887"/>
      <c r="C298" s="894"/>
      <c r="D298" s="889"/>
      <c r="E298" s="903"/>
      <c r="F298" s="352"/>
    </row>
    <row r="299" spans="1:6">
      <c r="A299" s="886"/>
      <c r="B299" s="887"/>
      <c r="C299" s="895" t="s">
        <v>1364</v>
      </c>
      <c r="D299" s="889"/>
      <c r="E299" s="903"/>
      <c r="F299" s="352"/>
    </row>
    <row r="300" spans="1:6">
      <c r="A300" s="886"/>
      <c r="B300" s="887"/>
      <c r="C300" s="896"/>
      <c r="D300" s="889"/>
      <c r="E300" s="903"/>
      <c r="F300" s="352"/>
    </row>
    <row r="301" spans="1:6">
      <c r="A301" s="886"/>
      <c r="B301" s="897"/>
      <c r="C301" s="890"/>
      <c r="D301" s="889"/>
      <c r="E301" s="903"/>
      <c r="F301" s="352"/>
    </row>
    <row r="302" spans="1:6">
      <c r="A302" s="904"/>
      <c r="B302" s="899"/>
      <c r="C302" s="905"/>
      <c r="D302" s="906"/>
      <c r="E302" s="903"/>
      <c r="F302" s="352"/>
    </row>
    <row r="303" spans="1:6">
      <c r="A303" s="881"/>
      <c r="B303" s="882"/>
      <c r="C303" s="883" t="s">
        <v>1493</v>
      </c>
      <c r="D303" s="884"/>
      <c r="E303" s="303"/>
      <c r="F303" s="304"/>
    </row>
    <row r="304" spans="1:6">
      <c r="A304" s="886"/>
      <c r="B304" s="887" t="s">
        <v>1494</v>
      </c>
      <c r="C304" s="888" t="s">
        <v>1495</v>
      </c>
      <c r="D304" s="889" t="s">
        <v>1496</v>
      </c>
      <c r="E304" s="309">
        <v>1414.2857142857144</v>
      </c>
      <c r="F304" s="352" t="s">
        <v>236</v>
      </c>
    </row>
    <row r="305" spans="1:6">
      <c r="A305" s="886"/>
      <c r="B305" s="887"/>
      <c r="C305" s="873" t="s">
        <v>1492</v>
      </c>
      <c r="D305" s="889"/>
      <c r="E305" s="903"/>
      <c r="F305" s="352"/>
    </row>
    <row r="306" spans="1:6">
      <c r="A306" s="886"/>
      <c r="B306" s="891"/>
      <c r="C306" s="892" t="s">
        <v>1497</v>
      </c>
      <c r="D306" s="889"/>
      <c r="E306" s="903"/>
      <c r="F306" s="352"/>
    </row>
    <row r="307" spans="1:6">
      <c r="A307" s="886"/>
      <c r="B307" s="887"/>
      <c r="D307" s="889"/>
      <c r="E307" s="903"/>
      <c r="F307" s="352"/>
    </row>
    <row r="308" spans="1:6">
      <c r="A308" s="886"/>
      <c r="B308" s="887"/>
      <c r="C308" s="894"/>
      <c r="D308" s="889"/>
      <c r="E308" s="903"/>
      <c r="F308" s="352"/>
    </row>
    <row r="309" spans="1:6">
      <c r="A309" s="886"/>
      <c r="B309" s="887"/>
      <c r="C309" s="895" t="s">
        <v>1364</v>
      </c>
      <c r="D309" s="889"/>
      <c r="E309" s="903"/>
      <c r="F309" s="352"/>
    </row>
    <row r="310" spans="1:6">
      <c r="A310" s="886"/>
      <c r="B310" s="887"/>
      <c r="C310" s="896"/>
      <c r="D310" s="889"/>
      <c r="E310" s="903"/>
      <c r="F310" s="352"/>
    </row>
    <row r="311" spans="1:6">
      <c r="A311" s="886"/>
      <c r="B311" s="897"/>
      <c r="C311" s="890"/>
      <c r="D311" s="889"/>
      <c r="E311" s="903"/>
      <c r="F311" s="352"/>
    </row>
    <row r="312" spans="1:6">
      <c r="A312" s="904"/>
      <c r="B312" s="899"/>
      <c r="C312" s="905"/>
      <c r="D312" s="906"/>
      <c r="E312" s="903"/>
      <c r="F312" s="352"/>
    </row>
    <row r="313" spans="1:6">
      <c r="A313" s="862" t="s">
        <v>1354</v>
      </c>
      <c r="B313" s="863"/>
      <c r="C313" s="1509" t="s">
        <v>1498</v>
      </c>
      <c r="D313" s="864"/>
      <c r="E313" s="864"/>
      <c r="F313" s="864"/>
    </row>
    <row r="314" spans="1:6">
      <c r="A314" s="868" t="s">
        <v>1499</v>
      </c>
      <c r="B314" s="869"/>
      <c r="C314" s="1510"/>
      <c r="D314" s="870"/>
      <c r="E314" s="870"/>
      <c r="F314" s="870"/>
    </row>
    <row r="315" spans="1:6">
      <c r="A315" s="881"/>
      <c r="B315" s="882"/>
      <c r="C315" s="883" t="s">
        <v>1500</v>
      </c>
      <c r="D315" s="884"/>
      <c r="E315" s="303"/>
      <c r="F315" s="304"/>
    </row>
    <row r="316" spans="1:6">
      <c r="A316" s="886"/>
      <c r="B316" s="887" t="s">
        <v>1501</v>
      </c>
      <c r="C316" s="888" t="s">
        <v>1502</v>
      </c>
      <c r="D316" s="889" t="s">
        <v>1503</v>
      </c>
      <c r="E316" s="309">
        <v>1484.2857142857144</v>
      </c>
      <c r="F316" s="352" t="s">
        <v>236</v>
      </c>
    </row>
    <row r="317" spans="1:6">
      <c r="A317" s="886"/>
      <c r="B317" s="887"/>
      <c r="C317" s="873" t="s">
        <v>1504</v>
      </c>
      <c r="D317" s="889"/>
      <c r="E317" s="903"/>
      <c r="F317" s="352"/>
    </row>
    <row r="318" spans="1:6">
      <c r="A318" s="886"/>
      <c r="B318" s="891"/>
      <c r="C318" s="892" t="s">
        <v>1497</v>
      </c>
      <c r="D318" s="889"/>
      <c r="E318" s="903"/>
      <c r="F318" s="352"/>
    </row>
    <row r="319" spans="1:6">
      <c r="A319" s="886"/>
      <c r="B319" s="887"/>
      <c r="D319" s="889"/>
      <c r="E319" s="903"/>
      <c r="F319" s="352"/>
    </row>
    <row r="320" spans="1:6">
      <c r="A320" s="886"/>
      <c r="B320" s="887"/>
      <c r="C320" s="894" t="s">
        <v>1505</v>
      </c>
      <c r="D320" s="889"/>
      <c r="E320" s="903"/>
      <c r="F320" s="352"/>
    </row>
    <row r="321" spans="1:6">
      <c r="A321" s="886"/>
      <c r="B321" s="887"/>
      <c r="C321" s="895" t="s">
        <v>1364</v>
      </c>
      <c r="D321" s="889"/>
      <c r="E321" s="903"/>
      <c r="F321" s="352"/>
    </row>
    <row r="322" spans="1:6">
      <c r="A322" s="886"/>
      <c r="B322" s="887"/>
      <c r="C322" s="896"/>
      <c r="D322" s="889"/>
      <c r="E322" s="903"/>
      <c r="F322" s="352"/>
    </row>
    <row r="323" spans="1:6">
      <c r="A323" s="886"/>
      <c r="B323" s="897"/>
      <c r="C323" s="890"/>
      <c r="D323" s="889"/>
      <c r="E323" s="903"/>
      <c r="F323" s="352"/>
    </row>
    <row r="324" spans="1:6">
      <c r="A324" s="904"/>
      <c r="B324" s="899"/>
      <c r="C324" s="905"/>
      <c r="D324" s="906"/>
      <c r="E324" s="903"/>
      <c r="F324" s="352"/>
    </row>
    <row r="325" spans="1:6">
      <c r="A325" s="881"/>
      <c r="B325" s="882"/>
      <c r="C325" s="883" t="s">
        <v>1506</v>
      </c>
      <c r="D325" s="884"/>
      <c r="E325" s="303"/>
      <c r="F325" s="304"/>
    </row>
    <row r="326" spans="1:6">
      <c r="A326" s="886"/>
      <c r="B326" s="887" t="s">
        <v>1507</v>
      </c>
      <c r="C326" s="888" t="s">
        <v>1508</v>
      </c>
      <c r="D326" s="889" t="s">
        <v>1509</v>
      </c>
      <c r="E326" s="309">
        <v>557.1428571428572</v>
      </c>
      <c r="F326" s="352" t="s">
        <v>236</v>
      </c>
    </row>
    <row r="327" spans="1:6">
      <c r="A327" s="886"/>
      <c r="B327" s="887"/>
      <c r="C327" s="892" t="s">
        <v>1497</v>
      </c>
      <c r="D327" s="889"/>
      <c r="E327" s="903"/>
      <c r="F327" s="352"/>
    </row>
    <row r="328" spans="1:6">
      <c r="A328" s="886"/>
      <c r="B328" s="891"/>
      <c r="C328" s="843"/>
      <c r="D328" s="889"/>
      <c r="E328" s="903"/>
      <c r="F328" s="352"/>
    </row>
    <row r="329" spans="1:6">
      <c r="A329" s="886"/>
      <c r="B329" s="887"/>
      <c r="D329" s="889"/>
      <c r="E329" s="903"/>
      <c r="F329" s="352"/>
    </row>
    <row r="330" spans="1:6">
      <c r="A330" s="886"/>
      <c r="B330" s="887"/>
      <c r="C330" s="894" t="s">
        <v>1510</v>
      </c>
      <c r="D330" s="889"/>
      <c r="E330" s="903"/>
      <c r="F330" s="352"/>
    </row>
    <row r="331" spans="1:6">
      <c r="A331" s="886"/>
      <c r="B331" s="887"/>
      <c r="C331" s="895" t="s">
        <v>1364</v>
      </c>
      <c r="D331" s="889"/>
      <c r="E331" s="903"/>
      <c r="F331" s="352"/>
    </row>
    <row r="332" spans="1:6">
      <c r="A332" s="886"/>
      <c r="B332" s="887"/>
      <c r="C332" s="896"/>
      <c r="D332" s="889"/>
      <c r="E332" s="903"/>
      <c r="F332" s="352"/>
    </row>
    <row r="333" spans="1:6">
      <c r="A333" s="886"/>
      <c r="B333" s="897"/>
      <c r="C333" s="890"/>
      <c r="D333" s="889"/>
      <c r="E333" s="903"/>
      <c r="F333" s="352"/>
    </row>
    <row r="334" spans="1:6">
      <c r="A334" s="904"/>
      <c r="B334" s="899"/>
      <c r="C334" s="905"/>
      <c r="D334" s="906"/>
      <c r="E334" s="903"/>
      <c r="F334" s="352"/>
    </row>
    <row r="335" spans="1:6">
      <c r="A335" s="881"/>
      <c r="B335" s="882"/>
      <c r="C335" s="883" t="s">
        <v>1506</v>
      </c>
      <c r="D335" s="884"/>
      <c r="E335" s="303"/>
      <c r="F335" s="304"/>
    </row>
    <row r="336" spans="1:6">
      <c r="A336" s="886"/>
      <c r="B336" s="887" t="s">
        <v>1511</v>
      </c>
      <c r="C336" s="888" t="s">
        <v>1508</v>
      </c>
      <c r="D336" s="889" t="s">
        <v>1512</v>
      </c>
      <c r="E336" s="309">
        <v>825.7142857142858</v>
      </c>
      <c r="F336" s="352" t="s">
        <v>236</v>
      </c>
    </row>
    <row r="337" spans="1:6">
      <c r="A337" s="886"/>
      <c r="B337" s="887"/>
      <c r="C337" s="892" t="s">
        <v>1497</v>
      </c>
      <c r="D337" s="889"/>
      <c r="E337" s="903"/>
      <c r="F337" s="352"/>
    </row>
    <row r="338" spans="1:6">
      <c r="A338" s="886"/>
      <c r="B338" s="891"/>
      <c r="C338" s="843"/>
      <c r="D338" s="889"/>
      <c r="E338" s="903"/>
      <c r="F338" s="352"/>
    </row>
    <row r="339" spans="1:6">
      <c r="A339" s="886"/>
      <c r="B339" s="887"/>
      <c r="D339" s="889"/>
      <c r="E339" s="903"/>
      <c r="F339" s="352"/>
    </row>
    <row r="340" spans="1:6">
      <c r="A340" s="886"/>
      <c r="B340" s="887"/>
      <c r="C340" s="894" t="s">
        <v>1513</v>
      </c>
      <c r="D340" s="889"/>
      <c r="E340" s="903"/>
      <c r="F340" s="352"/>
    </row>
    <row r="341" spans="1:6">
      <c r="A341" s="886"/>
      <c r="B341" s="887"/>
      <c r="C341" s="895" t="s">
        <v>1364</v>
      </c>
      <c r="D341" s="889"/>
      <c r="E341" s="903"/>
      <c r="F341" s="352"/>
    </row>
    <row r="342" spans="1:6">
      <c r="A342" s="886"/>
      <c r="B342" s="887"/>
      <c r="C342" s="896"/>
      <c r="D342" s="889"/>
      <c r="E342" s="903"/>
      <c r="F342" s="352"/>
    </row>
    <row r="343" spans="1:6">
      <c r="A343" s="886"/>
      <c r="B343" s="897"/>
      <c r="C343" s="890"/>
      <c r="D343" s="889"/>
      <c r="E343" s="903"/>
      <c r="F343" s="352"/>
    </row>
    <row r="344" spans="1:6">
      <c r="A344" s="904"/>
      <c r="B344" s="899"/>
      <c r="C344" s="905"/>
      <c r="D344" s="906"/>
      <c r="E344" s="907"/>
      <c r="F344" s="908"/>
    </row>
    <row r="345" spans="1:6" ht="14" customHeight="1">
      <c r="A345" s="862" t="s">
        <v>1354</v>
      </c>
      <c r="B345" s="863"/>
      <c r="C345" s="1509" t="s">
        <v>1514</v>
      </c>
      <c r="D345" s="864"/>
      <c r="E345" s="864"/>
      <c r="F345" s="864"/>
    </row>
    <row r="346" spans="1:6" ht="14" customHeight="1">
      <c r="A346" s="868" t="s">
        <v>1515</v>
      </c>
      <c r="B346" s="869"/>
      <c r="C346" s="1510"/>
      <c r="D346" s="870"/>
      <c r="E346" s="870"/>
      <c r="F346" s="870"/>
    </row>
    <row r="347" spans="1:6">
      <c r="A347" s="881"/>
      <c r="B347" s="882"/>
      <c r="C347" s="883" t="s">
        <v>1516</v>
      </c>
      <c r="D347" s="884"/>
      <c r="E347" s="303"/>
      <c r="F347" s="304"/>
    </row>
    <row r="348" spans="1:6" ht="14" customHeight="1">
      <c r="A348" s="886"/>
      <c r="B348" s="887" t="s">
        <v>1517</v>
      </c>
      <c r="C348" s="1503" t="s">
        <v>1518</v>
      </c>
      <c r="D348" s="889" t="s">
        <v>1519</v>
      </c>
      <c r="E348" s="309">
        <v>3696.4285714285716</v>
      </c>
      <c r="F348" s="352" t="s">
        <v>236</v>
      </c>
    </row>
    <row r="349" spans="1:6">
      <c r="A349" s="886"/>
      <c r="B349" s="887"/>
      <c r="C349" s="1504"/>
      <c r="D349" s="889"/>
      <c r="E349" s="903"/>
      <c r="F349" s="352"/>
    </row>
    <row r="350" spans="1:6">
      <c r="A350" s="886"/>
      <c r="B350" s="891"/>
      <c r="C350" s="1504"/>
      <c r="D350" s="889"/>
      <c r="E350" s="903"/>
      <c r="F350" s="352"/>
    </row>
    <row r="351" spans="1:6" ht="14.5">
      <c r="A351" s="909"/>
      <c r="B351" s="887"/>
      <c r="D351" s="889"/>
      <c r="E351" s="903"/>
      <c r="F351" s="352"/>
    </row>
    <row r="352" spans="1:6">
      <c r="A352" s="886"/>
      <c r="B352" s="887"/>
      <c r="C352" s="894"/>
      <c r="D352" s="889"/>
      <c r="E352" s="903"/>
      <c r="F352" s="352"/>
    </row>
    <row r="353" spans="1:6">
      <c r="A353" s="886"/>
      <c r="B353" s="887"/>
      <c r="C353" s="895" t="s">
        <v>1364</v>
      </c>
      <c r="D353" s="889"/>
      <c r="E353" s="903"/>
      <c r="F353" s="352"/>
    </row>
    <row r="354" spans="1:6">
      <c r="A354" s="886"/>
      <c r="B354" s="887"/>
      <c r="C354" s="896"/>
      <c r="D354" s="889"/>
      <c r="E354" s="903"/>
      <c r="F354" s="352"/>
    </row>
    <row r="355" spans="1:6">
      <c r="A355" s="886"/>
      <c r="B355" s="897"/>
      <c r="C355" s="890"/>
      <c r="D355" s="889"/>
      <c r="E355" s="903"/>
      <c r="F355" s="352"/>
    </row>
    <row r="356" spans="1:6">
      <c r="A356" s="904"/>
      <c r="B356" s="899"/>
      <c r="C356" s="905"/>
      <c r="D356" s="906"/>
      <c r="E356" s="907"/>
      <c r="F356" s="908"/>
    </row>
    <row r="357" spans="1:6">
      <c r="A357" s="881"/>
      <c r="B357" s="882"/>
      <c r="C357" s="883" t="s">
        <v>1516</v>
      </c>
      <c r="D357" s="884"/>
      <c r="E357" s="303"/>
      <c r="F357" s="304"/>
    </row>
    <row r="358" spans="1:6">
      <c r="A358" s="886"/>
      <c r="B358" s="887" t="s">
        <v>1517</v>
      </c>
      <c r="C358" s="1503" t="s">
        <v>1520</v>
      </c>
      <c r="D358" s="889" t="s">
        <v>1519</v>
      </c>
      <c r="E358" s="309">
        <v>3390.428571428572</v>
      </c>
      <c r="F358" s="352" t="s">
        <v>236</v>
      </c>
    </row>
    <row r="359" spans="1:6">
      <c r="A359" s="886"/>
      <c r="B359" s="887"/>
      <c r="C359" s="1504"/>
      <c r="D359" s="889"/>
      <c r="E359" s="903"/>
      <c r="F359" s="352"/>
    </row>
    <row r="360" spans="1:6">
      <c r="A360" s="886"/>
      <c r="B360" s="891"/>
      <c r="C360" s="1504"/>
      <c r="D360" s="889"/>
      <c r="E360" s="903"/>
      <c r="F360" s="352"/>
    </row>
    <row r="361" spans="1:6" ht="14.5">
      <c r="A361" s="909"/>
      <c r="B361" s="887"/>
      <c r="D361" s="889"/>
      <c r="E361" s="903"/>
      <c r="F361" s="352"/>
    </row>
    <row r="362" spans="1:6" ht="14.5">
      <c r="A362" s="909"/>
      <c r="B362" s="887"/>
      <c r="C362" s="894"/>
      <c r="D362" s="889"/>
      <c r="E362" s="903"/>
      <c r="F362" s="352"/>
    </row>
    <row r="363" spans="1:6">
      <c r="A363" s="886"/>
      <c r="B363" s="887"/>
      <c r="C363" s="895" t="s">
        <v>1364</v>
      </c>
      <c r="D363" s="889"/>
      <c r="E363" s="903"/>
      <c r="F363" s="352"/>
    </row>
    <row r="364" spans="1:6">
      <c r="A364" s="886"/>
      <c r="B364" s="887"/>
      <c r="C364" s="896"/>
      <c r="D364" s="889"/>
      <c r="E364" s="903"/>
      <c r="F364" s="352"/>
    </row>
    <row r="365" spans="1:6">
      <c r="A365" s="886"/>
      <c r="B365" s="897"/>
      <c r="C365" s="890"/>
      <c r="D365" s="889"/>
      <c r="E365" s="903"/>
      <c r="F365" s="352"/>
    </row>
    <row r="366" spans="1:6">
      <c r="A366" s="904"/>
      <c r="B366" s="899"/>
      <c r="C366" s="905"/>
      <c r="D366" s="906"/>
      <c r="E366" s="907"/>
      <c r="F366" s="908"/>
    </row>
    <row r="367" spans="1:6">
      <c r="A367" s="881"/>
      <c r="B367" s="882"/>
      <c r="C367" s="883" t="s">
        <v>1516</v>
      </c>
      <c r="D367" s="884"/>
      <c r="E367" s="303"/>
      <c r="F367" s="304"/>
    </row>
    <row r="368" spans="1:6">
      <c r="A368" s="886"/>
      <c r="B368" s="887" t="s">
        <v>1517</v>
      </c>
      <c r="C368" s="1503" t="s">
        <v>1521</v>
      </c>
      <c r="D368" s="889" t="s">
        <v>1519</v>
      </c>
      <c r="E368" s="309">
        <v>3390.428571428572</v>
      </c>
      <c r="F368" s="352" t="s">
        <v>236</v>
      </c>
    </row>
    <row r="369" spans="1:6">
      <c r="A369" s="886"/>
      <c r="B369" s="887"/>
      <c r="C369" s="1504"/>
      <c r="D369" s="889"/>
      <c r="E369" s="903"/>
      <c r="F369" s="352"/>
    </row>
    <row r="370" spans="1:6">
      <c r="A370" s="886"/>
      <c r="B370" s="891"/>
      <c r="C370" s="1504"/>
      <c r="D370" s="889"/>
      <c r="E370" s="903"/>
      <c r="F370" s="352"/>
    </row>
    <row r="371" spans="1:6" ht="14.5">
      <c r="A371" s="909"/>
      <c r="B371" s="887"/>
      <c r="D371" s="889"/>
      <c r="E371" s="903"/>
      <c r="F371" s="352"/>
    </row>
    <row r="372" spans="1:6">
      <c r="A372" s="886"/>
      <c r="B372" s="887"/>
      <c r="C372" s="894"/>
      <c r="D372" s="889"/>
      <c r="E372" s="903"/>
      <c r="F372" s="352"/>
    </row>
    <row r="373" spans="1:6">
      <c r="A373" s="886"/>
      <c r="B373" s="887"/>
      <c r="C373" s="895" t="s">
        <v>1364</v>
      </c>
      <c r="D373" s="889"/>
      <c r="E373" s="903"/>
      <c r="F373" s="352"/>
    </row>
    <row r="374" spans="1:6">
      <c r="A374" s="886"/>
      <c r="B374" s="887"/>
      <c r="C374" s="896"/>
      <c r="D374" s="889"/>
      <c r="E374" s="903"/>
      <c r="F374" s="352"/>
    </row>
    <row r="375" spans="1:6">
      <c r="A375" s="886"/>
      <c r="B375" s="897"/>
      <c r="C375" s="890"/>
      <c r="D375" s="889"/>
      <c r="E375" s="903"/>
      <c r="F375" s="352"/>
    </row>
    <row r="376" spans="1:6">
      <c r="A376" s="904"/>
      <c r="B376" s="899"/>
      <c r="C376" s="905"/>
      <c r="D376" s="906"/>
      <c r="E376" s="907"/>
      <c r="F376" s="908"/>
    </row>
    <row r="377" spans="1:6">
      <c r="A377" s="862" t="s">
        <v>1354</v>
      </c>
      <c r="B377" s="863"/>
      <c r="C377" s="1509" t="s">
        <v>1522</v>
      </c>
      <c r="D377" s="864"/>
      <c r="E377" s="864"/>
      <c r="F377" s="864"/>
    </row>
    <row r="378" spans="1:6">
      <c r="A378" s="868" t="s">
        <v>1515</v>
      </c>
      <c r="B378" s="869"/>
      <c r="C378" s="1510"/>
      <c r="D378" s="870"/>
      <c r="E378" s="870"/>
      <c r="F378" s="870"/>
    </row>
    <row r="379" spans="1:6">
      <c r="A379" s="881"/>
      <c r="B379" s="882"/>
      <c r="C379" s="883" t="s">
        <v>1506</v>
      </c>
      <c r="D379" s="884"/>
      <c r="E379" s="884"/>
      <c r="F379" s="884"/>
    </row>
    <row r="380" spans="1:6">
      <c r="A380" s="886"/>
      <c r="B380" s="887" t="s">
        <v>1517</v>
      </c>
      <c r="C380" s="1503" t="s">
        <v>1523</v>
      </c>
      <c r="D380" s="889" t="s">
        <v>1519</v>
      </c>
      <c r="E380" s="889">
        <v>1877.2428571428572</v>
      </c>
      <c r="F380" s="352" t="s">
        <v>236</v>
      </c>
    </row>
    <row r="381" spans="1:6" ht="14.5">
      <c r="A381" s="909"/>
      <c r="B381" s="887"/>
      <c r="C381" s="1504"/>
      <c r="D381" s="889"/>
      <c r="E381" s="889"/>
      <c r="F381" s="887"/>
    </row>
    <row r="382" spans="1:6">
      <c r="A382" s="886"/>
      <c r="B382" s="891"/>
      <c r="C382" s="1504"/>
      <c r="D382" s="889"/>
      <c r="E382" s="889"/>
      <c r="F382" s="887"/>
    </row>
    <row r="383" spans="1:6" ht="14.5">
      <c r="A383" s="909"/>
      <c r="B383" s="887"/>
      <c r="D383" s="889"/>
      <c r="E383" s="889"/>
      <c r="F383" s="887"/>
    </row>
    <row r="384" spans="1:6">
      <c r="A384" s="886"/>
      <c r="B384" s="887"/>
      <c r="C384" s="894"/>
      <c r="D384" s="889"/>
      <c r="E384" s="889"/>
      <c r="F384" s="887"/>
    </row>
    <row r="385" spans="1:6">
      <c r="A385" s="886"/>
      <c r="B385" s="887"/>
      <c r="C385" s="895" t="s">
        <v>1364</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4.5">
      <c r="A393" s="886"/>
      <c r="B393" s="897"/>
      <c r="C393" s="909"/>
      <c r="D393" s="889"/>
      <c r="E393" s="889"/>
      <c r="F393" s="887"/>
    </row>
    <row r="394" spans="1:6">
      <c r="A394" s="904"/>
      <c r="B394" s="899"/>
      <c r="C394" s="905"/>
      <c r="D394" s="906"/>
      <c r="E394" s="906"/>
      <c r="F394" s="899"/>
    </row>
    <row r="395" spans="1:6">
      <c r="A395" s="881"/>
      <c r="B395" s="882"/>
      <c r="C395" s="883" t="s">
        <v>1516</v>
      </c>
      <c r="D395" s="884"/>
      <c r="E395" s="303"/>
      <c r="F395" s="304"/>
    </row>
    <row r="396" spans="1:6">
      <c r="A396" s="886"/>
      <c r="B396" s="887" t="s">
        <v>1517</v>
      </c>
      <c r="C396" s="888" t="s">
        <v>1524</v>
      </c>
      <c r="D396" s="889" t="s">
        <v>1525</v>
      </c>
      <c r="E396" s="309">
        <v>500.00000000000006</v>
      </c>
      <c r="F396" s="352" t="s">
        <v>236</v>
      </c>
    </row>
    <row r="397" spans="1:6">
      <c r="A397" s="886"/>
      <c r="B397" s="887"/>
      <c r="C397" s="892"/>
      <c r="D397" s="889"/>
      <c r="E397" s="903"/>
      <c r="F397" s="352"/>
    </row>
    <row r="398" spans="1:6">
      <c r="A398" s="886"/>
      <c r="B398" s="891"/>
      <c r="C398" s="843"/>
      <c r="D398" s="889"/>
      <c r="E398" s="903"/>
      <c r="F398" s="352"/>
    </row>
    <row r="399" spans="1:6">
      <c r="A399" s="886"/>
      <c r="B399" s="887"/>
      <c r="D399" s="889"/>
      <c r="E399" s="903"/>
      <c r="F399" s="352"/>
    </row>
    <row r="400" spans="1:6">
      <c r="A400" s="886"/>
      <c r="B400" s="887"/>
      <c r="C400" s="894"/>
      <c r="D400" s="889"/>
      <c r="E400" s="903"/>
      <c r="F400" s="352"/>
    </row>
    <row r="401" spans="1:6" ht="14.5">
      <c r="A401" s="909"/>
      <c r="B401" s="887"/>
      <c r="C401" s="895" t="s">
        <v>1364</v>
      </c>
      <c r="D401" s="889"/>
      <c r="E401" s="903"/>
      <c r="F401" s="352"/>
    </row>
    <row r="402" spans="1:6">
      <c r="A402" s="886"/>
      <c r="B402" s="887"/>
      <c r="C402" s="896"/>
      <c r="D402" s="889"/>
      <c r="E402" s="903"/>
      <c r="F402" s="352"/>
    </row>
    <row r="403" spans="1:6">
      <c r="A403" s="886"/>
      <c r="B403" s="897"/>
      <c r="C403" s="890"/>
      <c r="D403" s="889"/>
      <c r="E403" s="903"/>
      <c r="F403" s="352"/>
    </row>
    <row r="404" spans="1:6">
      <c r="A404" s="904"/>
      <c r="B404" s="899"/>
      <c r="C404" s="905"/>
      <c r="D404" s="906"/>
      <c r="E404" s="907"/>
      <c r="F404" s="908"/>
    </row>
    <row r="405" spans="1:6">
      <c r="A405" s="881"/>
      <c r="B405" s="882"/>
      <c r="C405" s="883" t="s">
        <v>1516</v>
      </c>
      <c r="D405" s="884"/>
      <c r="E405" s="303"/>
      <c r="F405" s="304"/>
    </row>
    <row r="406" spans="1:6">
      <c r="A406" s="886"/>
      <c r="B406" s="887" t="s">
        <v>1517</v>
      </c>
      <c r="C406" s="1503" t="s">
        <v>1526</v>
      </c>
      <c r="D406" s="889" t="s">
        <v>1527</v>
      </c>
      <c r="E406" s="309">
        <v>1101.142857142857</v>
      </c>
      <c r="F406" s="352" t="s">
        <v>236</v>
      </c>
    </row>
    <row r="407" spans="1:6">
      <c r="A407" s="886"/>
      <c r="B407" s="887"/>
      <c r="C407" s="1504"/>
      <c r="D407" s="889"/>
      <c r="E407" s="903"/>
      <c r="F407" s="352"/>
    </row>
    <row r="408" spans="1:6">
      <c r="A408" s="886"/>
      <c r="B408" s="891"/>
      <c r="C408" s="843"/>
      <c r="D408" s="889"/>
      <c r="E408" s="903"/>
      <c r="F408" s="352"/>
    </row>
    <row r="409" spans="1:6" ht="14.5">
      <c r="A409" s="909"/>
      <c r="B409" s="887"/>
      <c r="D409" s="889"/>
      <c r="E409" s="903"/>
      <c r="F409" s="352"/>
    </row>
    <row r="410" spans="1:6">
      <c r="A410" s="886"/>
      <c r="B410" s="887"/>
      <c r="C410" s="894"/>
      <c r="D410" s="889"/>
      <c r="E410" s="903"/>
      <c r="F410" s="352"/>
    </row>
    <row r="411" spans="1:6">
      <c r="A411" s="886"/>
      <c r="B411" s="887"/>
      <c r="C411" s="895" t="s">
        <v>1364</v>
      </c>
      <c r="D411" s="889"/>
      <c r="E411" s="903"/>
      <c r="F411" s="352"/>
    </row>
    <row r="412" spans="1:6">
      <c r="A412" s="886"/>
      <c r="B412" s="887"/>
      <c r="C412" s="896"/>
      <c r="D412" s="889"/>
      <c r="E412" s="903"/>
      <c r="F412" s="352"/>
    </row>
    <row r="413" spans="1:6">
      <c r="A413" s="886"/>
      <c r="B413" s="897"/>
      <c r="C413" s="890"/>
      <c r="D413" s="889"/>
      <c r="E413" s="903"/>
      <c r="F413" s="352"/>
    </row>
    <row r="414" spans="1:6">
      <c r="A414" s="904"/>
      <c r="B414" s="899"/>
      <c r="C414" s="905"/>
      <c r="D414" s="906"/>
      <c r="E414" s="907"/>
      <c r="F414" s="908"/>
    </row>
    <row r="415" spans="1:6">
      <c r="A415" s="881"/>
      <c r="B415" s="882"/>
      <c r="C415" s="883" t="s">
        <v>1516</v>
      </c>
      <c r="D415" s="884"/>
      <c r="E415" s="303"/>
      <c r="F415" s="304"/>
    </row>
    <row r="416" spans="1:6">
      <c r="A416" s="886"/>
      <c r="B416" s="887" t="s">
        <v>1517</v>
      </c>
      <c r="C416" s="1503" t="s">
        <v>1528</v>
      </c>
      <c r="D416" s="889" t="s">
        <v>1529</v>
      </c>
      <c r="E416" s="309">
        <v>385.7142857142857</v>
      </c>
      <c r="F416" s="352" t="s">
        <v>236</v>
      </c>
    </row>
    <row r="417" spans="1:6">
      <c r="A417" s="886"/>
      <c r="B417" s="887"/>
      <c r="C417" s="1504"/>
      <c r="D417" s="889"/>
      <c r="E417" s="903"/>
      <c r="F417" s="352"/>
    </row>
    <row r="418" spans="1:6" ht="14.5">
      <c r="A418" s="909"/>
      <c r="B418" s="891"/>
      <c r="C418" s="843"/>
      <c r="D418" s="889"/>
      <c r="E418" s="903"/>
      <c r="F418" s="352"/>
    </row>
    <row r="419" spans="1:6" ht="14.5">
      <c r="A419" s="909"/>
      <c r="B419" s="887"/>
      <c r="D419" s="889"/>
      <c r="E419" s="903"/>
      <c r="F419" s="352"/>
    </row>
    <row r="420" spans="1:6">
      <c r="A420" s="886"/>
      <c r="B420" s="887"/>
      <c r="C420" s="894"/>
      <c r="D420" s="889"/>
      <c r="E420" s="903"/>
      <c r="F420" s="352"/>
    </row>
    <row r="421" spans="1:6">
      <c r="A421" s="886"/>
      <c r="B421" s="887"/>
      <c r="C421" s="895" t="s">
        <v>1364</v>
      </c>
      <c r="D421" s="889"/>
      <c r="E421" s="903"/>
      <c r="F421" s="352"/>
    </row>
    <row r="422" spans="1:6">
      <c r="A422" s="886"/>
      <c r="B422" s="887"/>
      <c r="C422" s="896"/>
      <c r="D422" s="889"/>
      <c r="E422" s="903"/>
      <c r="F422" s="352"/>
    </row>
    <row r="423" spans="1:6">
      <c r="A423" s="886"/>
      <c r="B423" s="897"/>
      <c r="C423" s="890"/>
      <c r="D423" s="889"/>
      <c r="E423" s="903"/>
      <c r="F423" s="352"/>
    </row>
    <row r="424" spans="1:6">
      <c r="A424" s="904"/>
      <c r="B424" s="899"/>
      <c r="C424" s="905"/>
      <c r="D424" s="906"/>
      <c r="E424" s="907"/>
      <c r="F424" s="908"/>
    </row>
    <row r="425" spans="1:6">
      <c r="A425" s="881"/>
      <c r="B425" s="882"/>
      <c r="C425" s="883"/>
      <c r="D425" s="884"/>
      <c r="E425" s="303"/>
      <c r="F425" s="304"/>
    </row>
    <row r="426" spans="1:6">
      <c r="A426" s="886"/>
      <c r="B426" s="887"/>
      <c r="C426" s="1503"/>
      <c r="D426" s="889"/>
      <c r="E426" s="309"/>
      <c r="F426" s="352"/>
    </row>
    <row r="427" spans="1:6">
      <c r="A427" s="886"/>
      <c r="B427" s="887"/>
      <c r="C427" s="1504"/>
      <c r="D427" s="889"/>
      <c r="E427" s="903"/>
      <c r="F427" s="352"/>
    </row>
    <row r="428" spans="1:6" ht="14.5">
      <c r="A428" s="909"/>
      <c r="B428" s="891"/>
      <c r="C428" s="843"/>
      <c r="D428" s="889"/>
      <c r="E428" s="903"/>
      <c r="F428" s="352"/>
    </row>
    <row r="429" spans="1:6" ht="14.5">
      <c r="A429" s="909"/>
      <c r="B429" s="887"/>
      <c r="D429" s="889"/>
      <c r="E429" s="903"/>
      <c r="F429" s="352"/>
    </row>
    <row r="430" spans="1:6">
      <c r="A430" s="886"/>
      <c r="B430" s="887"/>
      <c r="C430" s="894"/>
      <c r="D430" s="889"/>
      <c r="E430" s="903"/>
      <c r="F430" s="352"/>
    </row>
    <row r="431" spans="1:6">
      <c r="A431" s="886"/>
      <c r="B431" s="887"/>
      <c r="C431" s="895"/>
      <c r="D431" s="889"/>
      <c r="E431" s="903"/>
      <c r="F431" s="352"/>
    </row>
    <row r="432" spans="1:6">
      <c r="A432" s="886"/>
      <c r="B432" s="887"/>
      <c r="C432" s="896"/>
      <c r="D432" s="889"/>
      <c r="E432" s="903"/>
      <c r="F432" s="352"/>
    </row>
    <row r="433" spans="1:6">
      <c r="A433" s="886"/>
      <c r="B433" s="897"/>
      <c r="C433" s="890"/>
      <c r="D433" s="889"/>
      <c r="E433" s="903"/>
      <c r="F433" s="352"/>
    </row>
    <row r="434" spans="1:6">
      <c r="A434" s="904"/>
      <c r="B434" s="899"/>
      <c r="C434" s="905"/>
      <c r="D434" s="906"/>
      <c r="E434" s="907"/>
      <c r="F434" s="908"/>
    </row>
    <row r="435" spans="1:6">
      <c r="A435" s="881"/>
      <c r="B435" s="882"/>
      <c r="C435" s="883" t="s">
        <v>1516</v>
      </c>
      <c r="D435" s="884"/>
      <c r="E435" s="884"/>
      <c r="F435" s="884"/>
    </row>
    <row r="436" spans="1:6">
      <c r="A436" s="886"/>
      <c r="B436" s="887" t="s">
        <v>1517</v>
      </c>
      <c r="C436" s="1503" t="s">
        <v>1530</v>
      </c>
      <c r="D436" s="889"/>
      <c r="E436" s="889">
        <v>154</v>
      </c>
      <c r="F436" s="352" t="s">
        <v>236</v>
      </c>
    </row>
    <row r="437" spans="1:6">
      <c r="A437" s="886"/>
      <c r="B437" s="887"/>
      <c r="C437" s="1504"/>
      <c r="D437" s="889"/>
      <c r="E437" s="889"/>
      <c r="F437" s="887"/>
    </row>
    <row r="438" spans="1:6" ht="14.5">
      <c r="A438" s="909"/>
      <c r="B438" s="891"/>
      <c r="C438" s="843"/>
      <c r="D438" s="889"/>
      <c r="E438" s="889"/>
      <c r="F438" s="887"/>
    </row>
    <row r="439" spans="1:6" ht="14.5">
      <c r="A439" s="909"/>
      <c r="B439" s="887"/>
      <c r="D439" s="889"/>
      <c r="E439" s="889"/>
      <c r="F439" s="887"/>
    </row>
    <row r="440" spans="1:6">
      <c r="A440" s="886"/>
      <c r="B440" s="887"/>
      <c r="C440" s="894"/>
      <c r="D440" s="889"/>
      <c r="E440" s="889"/>
      <c r="F440" s="887"/>
    </row>
    <row r="441" spans="1:6">
      <c r="A441" s="886"/>
      <c r="B441" s="887"/>
      <c r="C441" s="895" t="s">
        <v>1364</v>
      </c>
      <c r="D441" s="889"/>
      <c r="E441" s="889"/>
      <c r="F441" s="887"/>
    </row>
    <row r="442" spans="1:6" ht="14.5">
      <c r="A442" s="886"/>
      <c r="B442" s="909"/>
      <c r="C442" s="895" t="s">
        <v>1531</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1354</v>
      </c>
      <c r="B449" s="863"/>
      <c r="C449" s="1509" t="s">
        <v>1532</v>
      </c>
      <c r="D449" s="864"/>
      <c r="E449" s="864"/>
      <c r="F449" s="864"/>
    </row>
    <row r="450" spans="1:6">
      <c r="A450" s="868" t="s">
        <v>1533</v>
      </c>
      <c r="B450" s="869"/>
      <c r="C450" s="1510"/>
      <c r="D450" s="870"/>
      <c r="E450" s="870"/>
      <c r="F450" s="870"/>
    </row>
    <row r="451" spans="1:6">
      <c r="A451" s="881"/>
      <c r="B451" s="882"/>
      <c r="C451" s="883" t="s">
        <v>1534</v>
      </c>
      <c r="D451" s="884"/>
      <c r="E451" s="303"/>
      <c r="F451" s="304"/>
    </row>
    <row r="452" spans="1:6">
      <c r="A452" s="886"/>
      <c r="B452" s="887" t="s">
        <v>1535</v>
      </c>
      <c r="C452" s="1503" t="s">
        <v>1536</v>
      </c>
      <c r="D452" s="889"/>
      <c r="E452" s="309">
        <v>2128.571428571429</v>
      </c>
      <c r="F452" s="910" t="s">
        <v>236</v>
      </c>
    </row>
    <row r="453" spans="1:6">
      <c r="A453" s="886"/>
      <c r="B453" s="887"/>
      <c r="C453" s="1504"/>
      <c r="D453" s="889"/>
      <c r="E453" s="903"/>
      <c r="F453" s="310"/>
    </row>
    <row r="454" spans="1:6" ht="14.5">
      <c r="A454" s="909"/>
      <c r="B454" s="891"/>
      <c r="C454" s="892" t="s">
        <v>1537</v>
      </c>
      <c r="D454" s="889"/>
      <c r="E454" s="903"/>
      <c r="F454" s="310"/>
    </row>
    <row r="455" spans="1:6" ht="14.5">
      <c r="A455" s="909"/>
      <c r="B455" s="887"/>
      <c r="D455" s="889"/>
      <c r="E455" s="903"/>
      <c r="F455" s="310"/>
    </row>
    <row r="456" spans="1:6">
      <c r="A456" s="886"/>
      <c r="B456" s="887"/>
      <c r="C456" s="894"/>
      <c r="D456" s="889"/>
      <c r="E456" s="903"/>
      <c r="F456" s="310"/>
    </row>
    <row r="457" spans="1:6">
      <c r="A457" s="886"/>
      <c r="B457" s="887"/>
      <c r="C457" s="895" t="s">
        <v>1364</v>
      </c>
      <c r="D457" s="889"/>
      <c r="E457" s="903"/>
      <c r="F457" s="310"/>
    </row>
    <row r="458" spans="1:6">
      <c r="A458" s="886"/>
      <c r="B458" s="887"/>
      <c r="C458" s="896"/>
      <c r="D458" s="889"/>
      <c r="E458" s="903"/>
      <c r="F458" s="310"/>
    </row>
    <row r="459" spans="1:6">
      <c r="A459" s="886"/>
      <c r="B459" s="897"/>
      <c r="C459" s="890"/>
      <c r="D459" s="889"/>
      <c r="E459" s="903"/>
      <c r="F459" s="316"/>
    </row>
    <row r="460" spans="1:6">
      <c r="A460" s="904"/>
      <c r="B460" s="899"/>
      <c r="C460" s="905"/>
      <c r="D460" s="906"/>
      <c r="E460" s="907"/>
      <c r="F460" s="911"/>
    </row>
    <row r="461" spans="1:6">
      <c r="A461" s="881"/>
      <c r="B461" s="882"/>
      <c r="C461" s="883" t="s">
        <v>1538</v>
      </c>
      <c r="D461" s="884"/>
      <c r="E461" s="303"/>
      <c r="F461" s="304"/>
    </row>
    <row r="462" spans="1:6">
      <c r="A462" s="886"/>
      <c r="B462" s="887" t="s">
        <v>1539</v>
      </c>
      <c r="C462" s="1503" t="s">
        <v>1540</v>
      </c>
      <c r="D462" s="889"/>
      <c r="E462" s="309">
        <v>1557.1428571428573</v>
      </c>
      <c r="F462" s="310" t="s">
        <v>236</v>
      </c>
    </row>
    <row r="463" spans="1:6">
      <c r="A463" s="886"/>
      <c r="B463" s="887"/>
      <c r="C463" s="1504"/>
      <c r="D463" s="889"/>
      <c r="E463" s="903"/>
      <c r="F463" s="310"/>
    </row>
    <row r="464" spans="1:6" ht="14.5">
      <c r="A464" s="909"/>
      <c r="B464" s="891"/>
      <c r="C464" s="892" t="s">
        <v>1537</v>
      </c>
      <c r="D464" s="889"/>
      <c r="E464" s="903"/>
      <c r="F464" s="310"/>
    </row>
    <row r="465" spans="1:6" ht="14.5">
      <c r="A465" s="909"/>
      <c r="B465" s="887"/>
      <c r="D465" s="889"/>
      <c r="E465" s="903"/>
      <c r="F465" s="310"/>
    </row>
    <row r="466" spans="1:6">
      <c r="A466" s="886"/>
      <c r="B466" s="887"/>
      <c r="C466" s="894"/>
      <c r="D466" s="889"/>
      <c r="E466" s="903"/>
      <c r="F466" s="310"/>
    </row>
    <row r="467" spans="1:6">
      <c r="A467" s="886"/>
      <c r="B467" s="887"/>
      <c r="C467" s="895" t="s">
        <v>1364</v>
      </c>
      <c r="D467" s="889"/>
      <c r="E467" s="903"/>
      <c r="F467" s="310"/>
    </row>
    <row r="468" spans="1:6">
      <c r="A468" s="886"/>
      <c r="B468" s="887"/>
      <c r="C468" s="896"/>
      <c r="D468" s="889"/>
      <c r="E468" s="903"/>
      <c r="F468" s="310"/>
    </row>
    <row r="469" spans="1:6">
      <c r="A469" s="886"/>
      <c r="B469" s="897"/>
      <c r="C469" s="890"/>
      <c r="D469" s="889"/>
      <c r="E469" s="903"/>
      <c r="F469" s="316"/>
    </row>
    <row r="470" spans="1:6">
      <c r="A470" s="904"/>
      <c r="B470" s="899"/>
      <c r="C470" s="905"/>
      <c r="D470" s="906"/>
      <c r="E470" s="907"/>
      <c r="F470" s="911"/>
    </row>
    <row r="471" spans="1:6">
      <c r="A471" s="881"/>
      <c r="B471" s="882"/>
      <c r="C471" s="883" t="s">
        <v>1541</v>
      </c>
      <c r="D471" s="884"/>
      <c r="E471" s="303"/>
      <c r="F471" s="304"/>
    </row>
    <row r="472" spans="1:6">
      <c r="A472" s="886"/>
      <c r="B472" s="887" t="s">
        <v>1542</v>
      </c>
      <c r="C472" s="1503" t="s">
        <v>1543</v>
      </c>
      <c r="D472" s="889"/>
      <c r="E472" s="309">
        <v>2128.571428571429</v>
      </c>
      <c r="F472" s="310" t="s">
        <v>236</v>
      </c>
    </row>
    <row r="473" spans="1:6">
      <c r="A473" s="886"/>
      <c r="B473" s="887"/>
      <c r="C473" s="1504"/>
      <c r="D473" s="889"/>
      <c r="E473" s="903"/>
      <c r="F473" s="310"/>
    </row>
    <row r="474" spans="1:6" ht="14.5">
      <c r="A474" s="909"/>
      <c r="B474" s="891"/>
      <c r="C474" s="892" t="s">
        <v>1537</v>
      </c>
      <c r="D474" s="889"/>
      <c r="E474" s="903"/>
      <c r="F474" s="310"/>
    </row>
    <row r="475" spans="1:6" ht="14.5">
      <c r="A475" s="909"/>
      <c r="B475" s="887"/>
      <c r="D475" s="889"/>
      <c r="E475" s="903"/>
      <c r="F475" s="310"/>
    </row>
    <row r="476" spans="1:6">
      <c r="A476" s="886"/>
      <c r="B476" s="887"/>
      <c r="C476" s="894"/>
      <c r="D476" s="889"/>
      <c r="E476" s="903"/>
      <c r="F476" s="310"/>
    </row>
    <row r="477" spans="1:6">
      <c r="A477" s="886"/>
      <c r="B477" s="887"/>
      <c r="C477" s="895" t="s">
        <v>1364</v>
      </c>
      <c r="D477" s="889"/>
      <c r="E477" s="903"/>
      <c r="F477" s="310"/>
    </row>
    <row r="478" spans="1:6">
      <c r="A478" s="886"/>
      <c r="B478" s="887"/>
      <c r="C478" s="896"/>
      <c r="D478" s="889"/>
      <c r="E478" s="903"/>
      <c r="F478" s="310"/>
    </row>
    <row r="479" spans="1:6">
      <c r="A479" s="886"/>
      <c r="B479" s="897"/>
      <c r="C479" s="890"/>
      <c r="D479" s="889"/>
      <c r="E479" s="903"/>
      <c r="F479" s="316"/>
    </row>
    <row r="480" spans="1:6">
      <c r="A480" s="904"/>
      <c r="B480" s="899"/>
      <c r="C480" s="905"/>
      <c r="D480" s="906"/>
      <c r="E480" s="907"/>
      <c r="F480" s="911"/>
    </row>
    <row r="481" spans="1:6">
      <c r="A481" s="881"/>
      <c r="B481" s="882"/>
      <c r="C481" s="883" t="s">
        <v>1544</v>
      </c>
      <c r="D481" s="884"/>
      <c r="E481" s="303"/>
      <c r="F481" s="304"/>
    </row>
    <row r="482" spans="1:6">
      <c r="A482" s="886"/>
      <c r="B482" s="887" t="s">
        <v>1545</v>
      </c>
      <c r="C482" s="1503" t="s">
        <v>1546</v>
      </c>
      <c r="D482" s="889"/>
      <c r="E482" s="309">
        <v>4034.2857142857147</v>
      </c>
      <c r="F482" s="310" t="s">
        <v>236</v>
      </c>
    </row>
    <row r="483" spans="1:6">
      <c r="A483" s="886"/>
      <c r="B483" s="887"/>
      <c r="C483" s="1504"/>
      <c r="D483" s="889"/>
      <c r="E483" s="903"/>
      <c r="F483" s="310"/>
    </row>
    <row r="484" spans="1:6" ht="14.5">
      <c r="A484" s="909"/>
      <c r="B484" s="891"/>
      <c r="C484" s="892" t="s">
        <v>1537</v>
      </c>
      <c r="D484" s="889"/>
      <c r="E484" s="903"/>
      <c r="F484" s="310"/>
    </row>
    <row r="485" spans="1:6" ht="14.5">
      <c r="A485" s="909"/>
      <c r="B485" s="887"/>
      <c r="D485" s="889"/>
      <c r="E485" s="903"/>
      <c r="F485" s="310"/>
    </row>
    <row r="486" spans="1:6">
      <c r="A486" s="886"/>
      <c r="B486" s="887"/>
      <c r="C486" s="894"/>
      <c r="D486" s="889"/>
      <c r="E486" s="903"/>
      <c r="F486" s="310"/>
    </row>
    <row r="487" spans="1:6">
      <c r="A487" s="886"/>
      <c r="B487" s="887"/>
      <c r="C487" s="895" t="s">
        <v>1364</v>
      </c>
      <c r="D487" s="889"/>
      <c r="E487" s="903"/>
      <c r="F487" s="310"/>
    </row>
    <row r="488" spans="1:6">
      <c r="A488" s="886"/>
      <c r="B488" s="887"/>
      <c r="C488" s="896"/>
      <c r="D488" s="889"/>
      <c r="E488" s="903"/>
      <c r="F488" s="310"/>
    </row>
    <row r="489" spans="1:6">
      <c r="A489" s="886"/>
      <c r="B489" s="897"/>
      <c r="C489" s="890"/>
      <c r="D489" s="889"/>
      <c r="E489" s="903"/>
      <c r="F489" s="316"/>
    </row>
    <row r="490" spans="1:6">
      <c r="A490" s="904"/>
      <c r="B490" s="899"/>
      <c r="C490" s="905"/>
      <c r="D490" s="906"/>
      <c r="E490" s="907"/>
      <c r="F490" s="911"/>
    </row>
    <row r="491" spans="1:6">
      <c r="A491" s="881"/>
      <c r="B491" s="882"/>
      <c r="C491" s="883" t="s">
        <v>1547</v>
      </c>
      <c r="D491" s="884"/>
      <c r="E491" s="303"/>
      <c r="F491" s="304"/>
    </row>
    <row r="492" spans="1:6">
      <c r="A492" s="886"/>
      <c r="B492" s="887" t="s">
        <v>1548</v>
      </c>
      <c r="C492" s="1503" t="s">
        <v>1549</v>
      </c>
      <c r="D492" s="889"/>
      <c r="E492" s="309">
        <v>5928.571428571429</v>
      </c>
      <c r="F492" s="310" t="s">
        <v>236</v>
      </c>
    </row>
    <row r="493" spans="1:6">
      <c r="A493" s="886"/>
      <c r="B493" s="887"/>
      <c r="C493" s="1504"/>
      <c r="D493" s="889"/>
      <c r="E493" s="903"/>
      <c r="F493" s="310"/>
    </row>
    <row r="494" spans="1:6" ht="14.5">
      <c r="A494" s="909"/>
      <c r="B494" s="891"/>
      <c r="C494" s="892" t="s">
        <v>1537</v>
      </c>
      <c r="D494" s="889"/>
      <c r="E494" s="903"/>
      <c r="F494" s="310"/>
    </row>
    <row r="495" spans="1:6" ht="14.5">
      <c r="A495" s="909"/>
      <c r="B495" s="887"/>
      <c r="D495" s="889"/>
      <c r="E495" s="903"/>
      <c r="F495" s="310"/>
    </row>
    <row r="496" spans="1:6">
      <c r="A496" s="886"/>
      <c r="B496" s="887"/>
      <c r="C496" s="894"/>
      <c r="D496" s="889"/>
      <c r="E496" s="903"/>
      <c r="F496" s="310"/>
    </row>
    <row r="497" spans="1:6">
      <c r="A497" s="886"/>
      <c r="B497" s="887"/>
      <c r="C497" s="895" t="s">
        <v>1364</v>
      </c>
      <c r="D497" s="889"/>
      <c r="E497" s="903"/>
      <c r="F497" s="310"/>
    </row>
    <row r="498" spans="1:6">
      <c r="A498" s="886"/>
      <c r="B498" s="887"/>
      <c r="C498" s="896"/>
      <c r="D498" s="889"/>
      <c r="E498" s="903"/>
      <c r="F498" s="310"/>
    </row>
    <row r="499" spans="1:6">
      <c r="A499" s="886"/>
      <c r="B499" s="897"/>
      <c r="C499" s="890"/>
      <c r="D499" s="889"/>
      <c r="E499" s="903"/>
      <c r="F499" s="316"/>
    </row>
    <row r="500" spans="1:6">
      <c r="A500" s="904"/>
      <c r="B500" s="899"/>
      <c r="C500" s="905"/>
      <c r="D500" s="906"/>
      <c r="E500" s="907"/>
      <c r="F500" s="911"/>
    </row>
    <row r="501" spans="1:6">
      <c r="A501" s="881"/>
      <c r="B501" s="882"/>
      <c r="C501" s="883" t="s">
        <v>1550</v>
      </c>
      <c r="D501" s="884"/>
      <c r="E501" s="303"/>
      <c r="F501" s="304"/>
    </row>
    <row r="502" spans="1:6">
      <c r="A502" s="886"/>
      <c r="B502" s="887" t="s">
        <v>1551</v>
      </c>
      <c r="C502" s="1503" t="s">
        <v>1552</v>
      </c>
      <c r="D502" s="889"/>
      <c r="E502" s="309">
        <v>7828.571428571429</v>
      </c>
      <c r="F502" s="310" t="s">
        <v>236</v>
      </c>
    </row>
    <row r="503" spans="1:6">
      <c r="A503" s="886"/>
      <c r="B503" s="887"/>
      <c r="C503" s="1504"/>
      <c r="D503" s="889"/>
      <c r="E503" s="903"/>
      <c r="F503" s="310"/>
    </row>
    <row r="504" spans="1:6" ht="14.5">
      <c r="A504" s="909"/>
      <c r="B504" s="891"/>
      <c r="C504" s="892" t="s">
        <v>1537</v>
      </c>
      <c r="D504" s="889"/>
      <c r="E504" s="903"/>
      <c r="F504" s="310"/>
    </row>
    <row r="505" spans="1:6" ht="14.5">
      <c r="A505" s="909"/>
      <c r="B505" s="887"/>
      <c r="D505" s="889"/>
      <c r="E505" s="903"/>
      <c r="F505" s="310"/>
    </row>
    <row r="506" spans="1:6">
      <c r="A506" s="886"/>
      <c r="B506" s="887"/>
      <c r="C506" s="894"/>
      <c r="D506" s="889"/>
      <c r="E506" s="903"/>
      <c r="F506" s="310"/>
    </row>
    <row r="507" spans="1:6">
      <c r="A507" s="886"/>
      <c r="B507" s="887"/>
      <c r="C507" s="895" t="s">
        <v>1364</v>
      </c>
      <c r="D507" s="889"/>
      <c r="E507" s="903"/>
      <c r="F507" s="310"/>
    </row>
    <row r="508" spans="1:6">
      <c r="A508" s="886"/>
      <c r="B508" s="887"/>
      <c r="C508" s="896"/>
      <c r="D508" s="889"/>
      <c r="E508" s="903"/>
      <c r="F508" s="310"/>
    </row>
    <row r="509" spans="1:6">
      <c r="A509" s="886"/>
      <c r="B509" s="897"/>
      <c r="C509" s="890"/>
      <c r="D509" s="889"/>
      <c r="E509" s="903"/>
      <c r="F509" s="316"/>
    </row>
    <row r="510" spans="1:6">
      <c r="A510" s="904"/>
      <c r="B510" s="899"/>
      <c r="C510" s="905"/>
      <c r="D510" s="906"/>
      <c r="E510" s="907"/>
      <c r="F510" s="911"/>
    </row>
    <row r="511" spans="1:6">
      <c r="A511" s="881"/>
      <c r="B511" s="882"/>
      <c r="C511" s="883" t="s">
        <v>1553</v>
      </c>
      <c r="D511" s="884"/>
      <c r="E511" s="303"/>
      <c r="F511" s="304"/>
    </row>
    <row r="512" spans="1:6">
      <c r="A512" s="886"/>
      <c r="B512" s="887" t="s">
        <v>1554</v>
      </c>
      <c r="C512" s="1503" t="s">
        <v>1555</v>
      </c>
      <c r="D512" s="889"/>
      <c r="E512" s="309">
        <v>2828.571428571429</v>
      </c>
      <c r="F512" s="310" t="s">
        <v>236</v>
      </c>
    </row>
    <row r="513" spans="1:6">
      <c r="A513" s="886"/>
      <c r="B513" s="887"/>
      <c r="C513" s="1504"/>
      <c r="D513" s="889"/>
      <c r="E513" s="903"/>
      <c r="F513" s="352"/>
    </row>
    <row r="514" spans="1:6" ht="14.5">
      <c r="A514" s="909"/>
      <c r="B514" s="891"/>
      <c r="C514" s="892" t="s">
        <v>1556</v>
      </c>
      <c r="D514" s="889"/>
      <c r="E514" s="903"/>
      <c r="F514" s="352"/>
    </row>
    <row r="515" spans="1:6" ht="14.5">
      <c r="A515" s="909"/>
      <c r="B515" s="887"/>
      <c r="D515" s="889"/>
      <c r="E515" s="903"/>
      <c r="F515" s="352"/>
    </row>
    <row r="516" spans="1:6">
      <c r="A516" s="886"/>
      <c r="B516" s="887"/>
      <c r="C516" s="894"/>
      <c r="D516" s="889"/>
      <c r="E516" s="903"/>
      <c r="F516" s="352"/>
    </row>
    <row r="517" spans="1:6">
      <c r="A517" s="886"/>
      <c r="B517" s="887"/>
      <c r="C517" s="895" t="s">
        <v>1364</v>
      </c>
      <c r="D517" s="889"/>
      <c r="E517" s="903"/>
      <c r="F517" s="352"/>
    </row>
    <row r="518" spans="1:6">
      <c r="A518" s="886"/>
      <c r="B518" s="887"/>
      <c r="C518" s="896"/>
      <c r="D518" s="889"/>
      <c r="E518" s="903"/>
      <c r="F518" s="352"/>
    </row>
    <row r="519" spans="1:6">
      <c r="A519" s="886"/>
      <c r="B519" s="897"/>
      <c r="C519" s="890"/>
      <c r="D519" s="889"/>
      <c r="E519" s="903"/>
      <c r="F519" s="352"/>
    </row>
    <row r="520" spans="1:6">
      <c r="A520" s="904"/>
      <c r="B520" s="899"/>
      <c r="C520" s="905"/>
      <c r="D520" s="906"/>
      <c r="E520" s="907"/>
      <c r="F520" s="908"/>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ns2: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921" customWidth="1"/>
    <col min="2" max="2" width="17.36328125" style="1045" bestFit="1" customWidth="1"/>
    <col min="3" max="3" width="98.81640625" style="987" customWidth="1"/>
    <col min="4" max="4" width="17.81640625" style="921" customWidth="1"/>
    <col min="5" max="5" width="15.453125" style="423" customWidth="1"/>
    <col min="6" max="6" width="13.1796875" style="607" customWidth="1"/>
    <col min="7" max="8" width="12" style="921" bestFit="1" customWidth="1"/>
    <col min="9" max="13" width="10.81640625" style="921"/>
    <col min="14" max="60" width="10.81640625" style="922"/>
    <col min="61" max="16384" width="10.81640625" style="921"/>
  </cols>
  <sheetData>
    <row r="1" spans="1:63" ht="15" customHeight="1">
      <c r="A1" s="918"/>
      <c r="B1" s="919"/>
      <c r="C1" s="920"/>
      <c r="D1" s="1515" t="s">
        <v>1557</v>
      </c>
      <c r="E1" s="1515"/>
      <c r="F1" s="1516"/>
    </row>
    <row r="2" spans="1:63" s="927" customFormat="1" ht="27.75" customHeight="1">
      <c r="A2" s="923"/>
      <c r="B2" s="924"/>
      <c r="C2" s="925"/>
      <c r="D2" s="1517"/>
      <c r="E2" s="1517"/>
      <c r="F2" s="1518"/>
      <c r="G2" s="926"/>
    </row>
    <row r="3" spans="1:63" s="927" customFormat="1" ht="15" customHeight="1">
      <c r="A3" s="923"/>
      <c r="B3" s="924"/>
      <c r="C3" s="928"/>
      <c r="D3" s="1519" t="s">
        <v>1558</v>
      </c>
      <c r="E3" s="1519"/>
      <c r="F3" s="1520"/>
      <c r="G3" s="926"/>
    </row>
    <row r="4" spans="1:63" s="927" customFormat="1">
      <c r="A4" s="929"/>
      <c r="B4" s="930"/>
      <c r="C4" s="855"/>
      <c r="D4" s="1521" t="s">
        <v>1559</v>
      </c>
      <c r="E4" s="1521"/>
      <c r="F4" s="1522"/>
      <c r="G4" s="926"/>
    </row>
    <row r="5" spans="1:63" s="934" customFormat="1" ht="15" customHeight="1">
      <c r="A5" s="1511"/>
      <c r="B5" s="1512"/>
      <c r="C5" s="931" t="s">
        <v>400</v>
      </c>
      <c r="D5" s="932" t="s">
        <v>401</v>
      </c>
      <c r="E5" s="1507">
        <f ca="1">(TODAY())</f>
        <v>46181</v>
      </c>
      <c r="F5" s="1508"/>
      <c r="G5" s="926"/>
      <c r="H5" s="933"/>
      <c r="I5" s="933"/>
      <c r="J5" s="933"/>
      <c r="K5" s="933"/>
      <c r="L5" s="933"/>
      <c r="M5" s="933"/>
      <c r="N5" s="933"/>
      <c r="O5" s="933"/>
      <c r="P5" s="933"/>
      <c r="Q5" s="933"/>
      <c r="R5" s="933"/>
      <c r="S5" s="933"/>
      <c r="T5" s="933"/>
      <c r="U5" s="933"/>
    </row>
    <row r="6" spans="1:63" s="934" customFormat="1" ht="15" customHeight="1">
      <c r="A6" s="935" t="s">
        <v>1560</v>
      </c>
      <c r="B6" s="936"/>
      <c r="C6" s="1513" t="s">
        <v>1561</v>
      </c>
      <c r="D6" s="935"/>
      <c r="E6" s="404"/>
      <c r="F6" s="328"/>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1562</v>
      </c>
      <c r="B7" s="943"/>
      <c r="C7" s="1514"/>
      <c r="D7" s="944"/>
      <c r="E7" s="406"/>
      <c r="F7" s="379"/>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405</v>
      </c>
      <c r="B8" s="952" t="s">
        <v>406</v>
      </c>
      <c r="C8" s="294" t="s">
        <v>407</v>
      </c>
      <c r="D8" s="951" t="s">
        <v>408</v>
      </c>
      <c r="E8" s="295" t="s">
        <v>409</v>
      </c>
      <c r="F8" s="296" t="s">
        <v>1563</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 customHeight="1">
      <c r="A9" s="955"/>
      <c r="B9" s="956"/>
      <c r="C9" s="957" t="s">
        <v>1564</v>
      </c>
      <c r="D9" s="958"/>
      <c r="E9" s="411"/>
      <c r="F9" s="959"/>
    </row>
    <row r="10" spans="1:63" ht="14" customHeight="1">
      <c r="A10" s="960"/>
      <c r="B10" s="961" t="s">
        <v>1565</v>
      </c>
      <c r="C10" s="962" t="s">
        <v>1566</v>
      </c>
      <c r="D10" s="963" t="s">
        <v>1567</v>
      </c>
      <c r="E10" s="413">
        <v>15833.333333333334</v>
      </c>
      <c r="F10" s="310" t="s">
        <v>236</v>
      </c>
      <c r="J10" s="964"/>
    </row>
    <row r="11" spans="1:63" ht="14" customHeight="1">
      <c r="A11" s="965"/>
      <c r="B11" s="966"/>
      <c r="C11" s="962" t="s">
        <v>1568</v>
      </c>
      <c r="D11" s="967"/>
      <c r="E11" s="320"/>
      <c r="F11" s="389"/>
    </row>
    <row r="12" spans="1:63" ht="14" customHeight="1">
      <c r="A12" s="965"/>
      <c r="B12" s="966"/>
      <c r="C12" s="968"/>
      <c r="D12" s="967"/>
      <c r="E12" s="320"/>
      <c r="F12" s="389"/>
    </row>
    <row r="13" spans="1:63" ht="14" customHeight="1">
      <c r="A13" s="965"/>
      <c r="B13" s="966"/>
      <c r="C13" s="969"/>
      <c r="D13" s="967"/>
      <c r="E13" s="320"/>
      <c r="F13" s="389"/>
    </row>
    <row r="14" spans="1:63" ht="14" customHeight="1">
      <c r="A14" s="965"/>
      <c r="B14" s="966"/>
      <c r="C14" s="970" t="s">
        <v>1569</v>
      </c>
      <c r="D14" s="967"/>
      <c r="E14" s="320"/>
      <c r="F14" s="389"/>
    </row>
    <row r="15" spans="1:63" ht="14" customHeight="1">
      <c r="A15" s="965"/>
      <c r="B15" s="971"/>
      <c r="C15" s="972"/>
      <c r="D15" s="967"/>
      <c r="E15" s="320"/>
      <c r="F15" s="401"/>
    </row>
    <row r="16" spans="1:63" ht="14" customHeight="1">
      <c r="A16" s="965"/>
      <c r="B16" s="971"/>
      <c r="C16" s="972"/>
      <c r="D16" s="967"/>
      <c r="E16" s="320"/>
      <c r="F16" s="401"/>
    </row>
    <row r="17" spans="1:63" ht="14" customHeight="1">
      <c r="A17" s="965"/>
      <c r="B17" s="971"/>
      <c r="C17" s="972"/>
      <c r="D17" s="967"/>
      <c r="E17" s="320"/>
      <c r="F17" s="401"/>
    </row>
    <row r="18" spans="1:63" ht="14" customHeight="1">
      <c r="A18" s="965"/>
      <c r="B18" s="971"/>
      <c r="C18" s="972"/>
      <c r="D18" s="967"/>
      <c r="E18" s="320"/>
      <c r="F18" s="401"/>
    </row>
    <row r="19" spans="1:63" s="934" customFormat="1" ht="15" customHeight="1">
      <c r="A19" s="935" t="s">
        <v>1560</v>
      </c>
      <c r="B19" s="936"/>
      <c r="C19" s="1513" t="s">
        <v>1570</v>
      </c>
      <c r="D19" s="935"/>
      <c r="E19" s="328"/>
      <c r="F19" s="328"/>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1562</v>
      </c>
      <c r="B20" s="943"/>
      <c r="C20" s="1514"/>
      <c r="D20" s="944"/>
      <c r="E20" s="379"/>
      <c r="F20" s="379"/>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405</v>
      </c>
      <c r="B21" s="952" t="s">
        <v>406</v>
      </c>
      <c r="C21" s="294" t="s">
        <v>407</v>
      </c>
      <c r="D21" s="951" t="s">
        <v>408</v>
      </c>
      <c r="E21" s="295" t="s">
        <v>409</v>
      </c>
      <c r="F21" s="296" t="s">
        <v>1563</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 customHeight="1">
      <c r="A22" s="977"/>
      <c r="B22" s="978"/>
      <c r="C22" s="979" t="s">
        <v>1571</v>
      </c>
      <c r="D22" s="980"/>
      <c r="E22" s="417"/>
      <c r="F22" s="304"/>
    </row>
    <row r="23" spans="1:63" ht="14" customHeight="1">
      <c r="A23" s="981"/>
      <c r="B23" s="982" t="s">
        <v>1572</v>
      </c>
      <c r="C23" s="983" t="s">
        <v>1573</v>
      </c>
      <c r="D23" s="967" t="s">
        <v>1574</v>
      </c>
      <c r="E23" s="413">
        <v>1408.3333333333335</v>
      </c>
      <c r="F23" s="352" t="s">
        <v>236</v>
      </c>
    </row>
    <row r="24" spans="1:63" ht="14" customHeight="1">
      <c r="A24" s="981"/>
      <c r="B24" s="982" t="s">
        <v>1575</v>
      </c>
      <c r="C24" s="983" t="s">
        <v>1576</v>
      </c>
      <c r="D24" s="967" t="s">
        <v>1577</v>
      </c>
      <c r="E24" s="335">
        <v>1468.6</v>
      </c>
      <c r="F24" s="352" t="s">
        <v>236</v>
      </c>
    </row>
    <row r="25" spans="1:63" ht="14" customHeight="1">
      <c r="A25" s="981"/>
      <c r="B25" s="982" t="s">
        <v>1578</v>
      </c>
      <c r="C25" s="968" t="s">
        <v>1579</v>
      </c>
      <c r="D25" s="967" t="s">
        <v>1580</v>
      </c>
      <c r="E25" s="335">
        <v>1542.1166666666668</v>
      </c>
      <c r="F25" s="352" t="s">
        <v>236</v>
      </c>
    </row>
    <row r="26" spans="1:63" ht="14" customHeight="1">
      <c r="A26" s="981"/>
      <c r="B26" s="982" t="s">
        <v>1581</v>
      </c>
      <c r="C26" s="983"/>
      <c r="D26" s="967" t="s">
        <v>1582</v>
      </c>
      <c r="E26" s="335">
        <v>1544.4166666666667</v>
      </c>
      <c r="F26" s="352" t="s">
        <v>236</v>
      </c>
    </row>
    <row r="27" spans="1:63" ht="14" customHeight="1">
      <c r="A27" s="981"/>
      <c r="B27" s="982" t="s">
        <v>1583</v>
      </c>
      <c r="C27" s="983"/>
      <c r="D27" s="967" t="s">
        <v>1584</v>
      </c>
      <c r="E27" s="335">
        <v>1607.8833333333334</v>
      </c>
      <c r="F27" s="352" t="s">
        <v>236</v>
      </c>
    </row>
    <row r="28" spans="1:63" ht="14" customHeight="1">
      <c r="A28" s="981"/>
      <c r="B28" s="984"/>
      <c r="C28" s="983"/>
      <c r="D28" s="967"/>
      <c r="E28" s="418"/>
      <c r="F28" s="419"/>
    </row>
    <row r="29" spans="1:63" ht="14" customHeight="1">
      <c r="A29" s="981"/>
      <c r="B29" s="984"/>
      <c r="C29" s="983"/>
      <c r="D29" s="967"/>
      <c r="E29" s="418"/>
      <c r="F29" s="389"/>
    </row>
    <row r="30" spans="1:63" ht="14" customHeight="1">
      <c r="A30" s="981"/>
      <c r="B30" s="984"/>
      <c r="C30" s="983"/>
      <c r="D30" s="967"/>
      <c r="E30" s="418"/>
      <c r="F30" s="389"/>
    </row>
    <row r="31" spans="1:63" ht="14" customHeight="1">
      <c r="A31" s="981"/>
      <c r="B31" s="984"/>
      <c r="C31" s="983"/>
      <c r="D31" s="967"/>
      <c r="E31" s="418"/>
      <c r="F31" s="389"/>
    </row>
    <row r="32" spans="1:63" ht="14" customHeight="1">
      <c r="A32" s="981"/>
      <c r="B32" s="982" t="s">
        <v>1585</v>
      </c>
      <c r="C32" s="983" t="s">
        <v>1573</v>
      </c>
      <c r="D32" s="967" t="s">
        <v>1586</v>
      </c>
      <c r="E32" s="335">
        <v>1796.3833333333332</v>
      </c>
      <c r="F32" s="310" t="s">
        <v>236</v>
      </c>
    </row>
    <row r="33" spans="1:6" ht="14" customHeight="1">
      <c r="A33" s="981"/>
      <c r="B33" s="982" t="s">
        <v>1587</v>
      </c>
      <c r="C33" s="983" t="s">
        <v>1576</v>
      </c>
      <c r="D33" s="967" t="s">
        <v>1588</v>
      </c>
      <c r="E33" s="335">
        <v>1911.8666666666666</v>
      </c>
      <c r="F33" s="310" t="s">
        <v>236</v>
      </c>
    </row>
    <row r="34" spans="1:6" ht="14" customHeight="1">
      <c r="A34" s="981"/>
      <c r="B34" s="982" t="s">
        <v>1589</v>
      </c>
      <c r="C34" s="968" t="s">
        <v>1590</v>
      </c>
      <c r="D34" s="967" t="s">
        <v>1591</v>
      </c>
      <c r="E34" s="335">
        <v>1952.4</v>
      </c>
      <c r="F34" s="310" t="s">
        <v>236</v>
      </c>
    </row>
    <row r="35" spans="1:6" ht="14" customHeight="1">
      <c r="A35" s="981"/>
      <c r="B35" s="982" t="s">
        <v>1592</v>
      </c>
      <c r="C35" s="983"/>
      <c r="D35" s="967" t="s">
        <v>1593</v>
      </c>
      <c r="E35" s="335">
        <v>2204.7166666666667</v>
      </c>
      <c r="F35" s="310" t="s">
        <v>236</v>
      </c>
    </row>
    <row r="36" spans="1:6" ht="14" customHeight="1">
      <c r="A36" s="981"/>
      <c r="B36" s="982"/>
      <c r="C36" s="921"/>
      <c r="D36" s="967"/>
      <c r="E36" s="335"/>
      <c r="F36" s="389"/>
    </row>
    <row r="37" spans="1:6" ht="14" customHeight="1">
      <c r="A37" s="981"/>
      <c r="B37" s="984"/>
      <c r="C37" s="921"/>
      <c r="D37" s="967"/>
      <c r="E37" s="335"/>
      <c r="F37" s="373"/>
    </row>
    <row r="38" spans="1:6" ht="14" customHeight="1">
      <c r="A38" s="981"/>
      <c r="B38" s="984"/>
      <c r="C38" s="983"/>
      <c r="D38" s="967"/>
      <c r="E38" s="335"/>
      <c r="F38" s="389"/>
    </row>
    <row r="39" spans="1:6" ht="14" customHeight="1">
      <c r="A39" s="981"/>
      <c r="B39" s="984"/>
      <c r="C39" s="983"/>
      <c r="D39" s="967"/>
      <c r="E39" s="420"/>
      <c r="F39" s="389"/>
    </row>
    <row r="40" spans="1:6" ht="14" customHeight="1">
      <c r="A40" s="977"/>
      <c r="B40" s="978"/>
      <c r="C40" s="979" t="s">
        <v>1594</v>
      </c>
      <c r="D40" s="980"/>
      <c r="E40" s="985"/>
      <c r="F40" s="980"/>
    </row>
    <row r="41" spans="1:6" ht="14" customHeight="1">
      <c r="A41" s="981"/>
      <c r="B41" s="982" t="s">
        <v>1595</v>
      </c>
      <c r="C41" s="983" t="s">
        <v>1596</v>
      </c>
      <c r="D41" s="967" t="s">
        <v>1574</v>
      </c>
      <c r="E41" s="335">
        <v>1830.6833333333336</v>
      </c>
      <c r="F41" s="310" t="s">
        <v>236</v>
      </c>
    </row>
    <row r="42" spans="1:6" ht="14" customHeight="1">
      <c r="A42" s="981"/>
      <c r="B42" s="982" t="s">
        <v>1597</v>
      </c>
      <c r="C42" s="983" t="s">
        <v>1576</v>
      </c>
      <c r="D42" s="967" t="s">
        <v>1577</v>
      </c>
      <c r="E42" s="335">
        <v>1889.1666666666667</v>
      </c>
      <c r="F42" s="310" t="s">
        <v>236</v>
      </c>
    </row>
    <row r="43" spans="1:6" ht="14" customHeight="1">
      <c r="A43" s="981"/>
      <c r="B43" s="982" t="s">
        <v>1598</v>
      </c>
      <c r="C43" s="968" t="s">
        <v>1579</v>
      </c>
      <c r="D43" s="967" t="s">
        <v>1580</v>
      </c>
      <c r="E43" s="335">
        <v>1960.7333333333336</v>
      </c>
      <c r="F43" s="310" t="s">
        <v>236</v>
      </c>
    </row>
    <row r="44" spans="1:6" ht="14" customHeight="1">
      <c r="A44" s="981"/>
      <c r="B44" s="982" t="s">
        <v>1599</v>
      </c>
      <c r="C44" s="983"/>
      <c r="D44" s="967" t="s">
        <v>1582</v>
      </c>
      <c r="E44" s="335">
        <v>1963.0333333333333</v>
      </c>
      <c r="F44" s="310" t="s">
        <v>236</v>
      </c>
    </row>
    <row r="45" spans="1:6" ht="14" customHeight="1">
      <c r="A45" s="981"/>
      <c r="B45" s="982" t="s">
        <v>1600</v>
      </c>
      <c r="C45" s="983"/>
      <c r="D45" s="967" t="s">
        <v>1584</v>
      </c>
      <c r="E45" s="335">
        <v>2023.75</v>
      </c>
      <c r="F45" s="310" t="s">
        <v>236</v>
      </c>
    </row>
    <row r="46" spans="1:6" ht="14" customHeight="1">
      <c r="A46" s="981"/>
      <c r="B46" s="982"/>
      <c r="C46" s="983"/>
      <c r="D46" s="967"/>
      <c r="E46" s="418"/>
      <c r="F46" s="389"/>
    </row>
    <row r="47" spans="1:6" ht="14" customHeight="1">
      <c r="A47" s="981"/>
      <c r="B47" s="982"/>
      <c r="C47" s="983"/>
      <c r="D47" s="967"/>
      <c r="E47" s="418"/>
      <c r="F47" s="389"/>
    </row>
    <row r="48" spans="1:6" ht="14" customHeight="1">
      <c r="A48" s="981"/>
      <c r="B48" s="982"/>
      <c r="C48" s="983"/>
      <c r="D48" s="967"/>
      <c r="E48" s="418"/>
      <c r="F48" s="389"/>
    </row>
    <row r="49" spans="1:6" ht="14" customHeight="1">
      <c r="A49" s="981"/>
      <c r="B49" s="982"/>
      <c r="C49" s="983"/>
      <c r="D49" s="967"/>
      <c r="E49" s="418"/>
      <c r="F49" s="389"/>
    </row>
    <row r="50" spans="1:6" ht="14" customHeight="1">
      <c r="A50" s="981"/>
      <c r="B50" s="982" t="s">
        <v>1601</v>
      </c>
      <c r="C50" s="983" t="s">
        <v>1596</v>
      </c>
      <c r="D50" s="967" t="s">
        <v>1586</v>
      </c>
      <c r="E50" s="335">
        <v>2633.7000000000003</v>
      </c>
      <c r="F50" s="310" t="s">
        <v>236</v>
      </c>
    </row>
    <row r="51" spans="1:6" ht="14" customHeight="1">
      <c r="A51" s="981"/>
      <c r="B51" s="982" t="s">
        <v>1602</v>
      </c>
      <c r="C51" s="983" t="s">
        <v>1576</v>
      </c>
      <c r="D51" s="967" t="s">
        <v>1588</v>
      </c>
      <c r="E51" s="335">
        <v>2799.7833333333333</v>
      </c>
      <c r="F51" s="310" t="s">
        <v>236</v>
      </c>
    </row>
    <row r="52" spans="1:6" ht="14" customHeight="1">
      <c r="A52" s="981"/>
      <c r="B52" s="982" t="s">
        <v>1603</v>
      </c>
      <c r="C52" s="968" t="s">
        <v>1590</v>
      </c>
      <c r="D52" s="967" t="s">
        <v>1591</v>
      </c>
      <c r="E52" s="335">
        <v>2840.3166666666671</v>
      </c>
      <c r="F52" s="310" t="s">
        <v>236</v>
      </c>
    </row>
    <row r="53" spans="1:6" ht="14" customHeight="1">
      <c r="A53" s="981"/>
      <c r="B53" s="982" t="s">
        <v>1604</v>
      </c>
      <c r="C53" s="983"/>
      <c r="D53" s="967" t="s">
        <v>1593</v>
      </c>
      <c r="E53" s="335">
        <v>3039.4333333333334</v>
      </c>
      <c r="F53" s="310" t="s">
        <v>236</v>
      </c>
    </row>
    <row r="54" spans="1:6" ht="14" customHeight="1">
      <c r="A54" s="981"/>
      <c r="B54" s="982"/>
      <c r="C54" s="921"/>
      <c r="D54" s="967"/>
      <c r="E54" s="335"/>
      <c r="F54" s="389"/>
    </row>
    <row r="55" spans="1:6" ht="14" customHeight="1">
      <c r="A55" s="981"/>
      <c r="B55" s="982"/>
      <c r="C55" s="921"/>
      <c r="D55" s="967"/>
      <c r="E55" s="335"/>
      <c r="F55" s="373"/>
    </row>
    <row r="56" spans="1:6" ht="14" customHeight="1">
      <c r="A56" s="981"/>
      <c r="B56" s="984"/>
      <c r="C56" s="983"/>
      <c r="D56" s="967"/>
      <c r="E56" s="335"/>
      <c r="F56" s="389"/>
    </row>
    <row r="57" spans="1:6" ht="14" customHeight="1">
      <c r="A57" s="981"/>
      <c r="B57" s="984"/>
      <c r="C57" s="983"/>
      <c r="D57" s="967"/>
      <c r="E57" s="420"/>
      <c r="F57" s="389"/>
    </row>
    <row r="58" spans="1:6" ht="14" customHeight="1">
      <c r="A58" s="977"/>
      <c r="B58" s="978"/>
      <c r="C58" s="979" t="s">
        <v>1605</v>
      </c>
      <c r="D58" s="980"/>
      <c r="E58" s="985"/>
      <c r="F58" s="980"/>
    </row>
    <row r="59" spans="1:6" ht="14" customHeight="1">
      <c r="A59" s="981"/>
      <c r="B59" s="982" t="s">
        <v>1606</v>
      </c>
      <c r="C59" s="983" t="s">
        <v>1607</v>
      </c>
      <c r="D59" s="967" t="s">
        <v>1586</v>
      </c>
      <c r="E59" s="335">
        <v>3217.1333333333332</v>
      </c>
      <c r="F59" s="310" t="s">
        <v>236</v>
      </c>
    </row>
    <row r="60" spans="1:6" ht="14" customHeight="1">
      <c r="A60" s="981"/>
      <c r="B60" s="982" t="s">
        <v>1608</v>
      </c>
      <c r="C60" s="983" t="s">
        <v>1576</v>
      </c>
      <c r="D60" s="967" t="s">
        <v>1588</v>
      </c>
      <c r="E60" s="335">
        <v>3286.5333333333338</v>
      </c>
      <c r="F60" s="310" t="s">
        <v>236</v>
      </c>
    </row>
    <row r="61" spans="1:6" ht="14" customHeight="1">
      <c r="A61" s="981"/>
      <c r="B61" s="982" t="s">
        <v>1609</v>
      </c>
      <c r="C61" s="968" t="s">
        <v>1590</v>
      </c>
      <c r="D61" s="967" t="s">
        <v>1591</v>
      </c>
      <c r="E61" s="335">
        <v>3301.9833333333336</v>
      </c>
      <c r="F61" s="310" t="s">
        <v>236</v>
      </c>
    </row>
    <row r="62" spans="1:6" ht="14" customHeight="1">
      <c r="A62" s="986"/>
      <c r="B62" s="982" t="s">
        <v>1610</v>
      </c>
      <c r="C62" s="983"/>
      <c r="D62" s="967" t="s">
        <v>1593</v>
      </c>
      <c r="E62" s="335">
        <v>3413.8166666666666</v>
      </c>
      <c r="F62" s="310" t="s">
        <v>236</v>
      </c>
    </row>
    <row r="63" spans="1:6" ht="14" customHeight="1">
      <c r="A63" s="981"/>
      <c r="B63" s="982"/>
      <c r="C63" s="962"/>
      <c r="D63" s="967"/>
      <c r="E63" s="335"/>
      <c r="F63" s="389"/>
    </row>
    <row r="64" spans="1:6" ht="14" customHeight="1">
      <c r="A64" s="986"/>
      <c r="B64" s="984"/>
      <c r="D64" s="967"/>
      <c r="E64" s="335"/>
      <c r="F64" s="389"/>
    </row>
    <row r="65" spans="1:6" ht="14" customHeight="1">
      <c r="A65" s="981"/>
      <c r="B65" s="984"/>
      <c r="C65" s="983"/>
      <c r="D65" s="967"/>
      <c r="E65" s="335"/>
      <c r="F65" s="389"/>
    </row>
    <row r="66" spans="1:6" ht="14" customHeight="1">
      <c r="A66" s="981"/>
      <c r="B66" s="984"/>
      <c r="C66" s="983"/>
      <c r="D66" s="967"/>
      <c r="E66" s="335"/>
      <c r="F66" s="389"/>
    </row>
    <row r="67" spans="1:6" ht="14" customHeight="1">
      <c r="A67" s="981"/>
      <c r="B67" s="984"/>
      <c r="C67" s="983"/>
      <c r="D67" s="967"/>
      <c r="E67" s="335"/>
      <c r="F67" s="389"/>
    </row>
    <row r="68" spans="1:6" ht="14" customHeight="1">
      <c r="A68" s="977"/>
      <c r="B68" s="978"/>
      <c r="C68" s="979" t="s">
        <v>1605</v>
      </c>
      <c r="D68" s="980"/>
      <c r="E68" s="985"/>
      <c r="F68" s="980"/>
    </row>
    <row r="69" spans="1:6" ht="14" customHeight="1">
      <c r="A69" s="981"/>
      <c r="B69" s="982" t="s">
        <v>1611</v>
      </c>
      <c r="C69" s="983" t="s">
        <v>1612</v>
      </c>
      <c r="D69" s="967" t="s">
        <v>1586</v>
      </c>
      <c r="E69" s="309">
        <v>5723.916666666667</v>
      </c>
      <c r="F69" s="310" t="s">
        <v>236</v>
      </c>
    </row>
    <row r="70" spans="1:6" ht="14" customHeight="1">
      <c r="A70" s="981"/>
      <c r="B70" s="982" t="s">
        <v>1613</v>
      </c>
      <c r="C70" s="983" t="s">
        <v>1576</v>
      </c>
      <c r="D70" s="967" t="s">
        <v>1588</v>
      </c>
      <c r="E70" s="309">
        <v>5915.75</v>
      </c>
      <c r="F70" s="310" t="s">
        <v>236</v>
      </c>
    </row>
    <row r="71" spans="1:6" ht="14" customHeight="1">
      <c r="A71" s="981"/>
      <c r="B71" s="982" t="s">
        <v>1614</v>
      </c>
      <c r="C71" s="968" t="s">
        <v>1615</v>
      </c>
      <c r="D71" s="967" t="s">
        <v>1591</v>
      </c>
      <c r="E71" s="309">
        <v>5931.1833333333334</v>
      </c>
      <c r="F71" s="310" t="s">
        <v>236</v>
      </c>
    </row>
    <row r="72" spans="1:6" ht="14" customHeight="1">
      <c r="A72" s="986"/>
      <c r="B72" s="982" t="s">
        <v>1616</v>
      </c>
      <c r="C72" s="988"/>
      <c r="D72" s="967" t="s">
        <v>1593</v>
      </c>
      <c r="E72" s="309">
        <v>6043.0166666666664</v>
      </c>
      <c r="F72" s="310" t="s">
        <v>236</v>
      </c>
    </row>
    <row r="73" spans="1:6" ht="14" customHeight="1">
      <c r="A73" s="981"/>
      <c r="B73" s="982"/>
      <c r="C73" s="962"/>
      <c r="D73" s="967"/>
      <c r="E73" s="335"/>
      <c r="F73" s="389"/>
    </row>
    <row r="74" spans="1:6" ht="14" customHeight="1">
      <c r="A74" s="986"/>
      <c r="B74" s="984"/>
      <c r="D74" s="967"/>
      <c r="E74" s="335"/>
      <c r="F74" s="389"/>
    </row>
    <row r="75" spans="1:6" ht="14" customHeight="1">
      <c r="A75" s="981"/>
      <c r="B75" s="984"/>
      <c r="C75" s="983"/>
      <c r="D75" s="967"/>
      <c r="E75" s="335"/>
      <c r="F75" s="389"/>
    </row>
    <row r="76" spans="1:6" ht="14" customHeight="1">
      <c r="A76" s="981"/>
      <c r="B76" s="984"/>
      <c r="C76" s="983"/>
      <c r="D76" s="967"/>
      <c r="E76" s="335"/>
      <c r="F76" s="389"/>
    </row>
    <row r="77" spans="1:6" ht="14" customHeight="1">
      <c r="A77" s="981"/>
      <c r="B77" s="984"/>
      <c r="C77" s="983"/>
      <c r="D77" s="967"/>
      <c r="E77" s="335"/>
      <c r="F77" s="389"/>
    </row>
    <row r="78" spans="1:6" ht="14" customHeight="1">
      <c r="A78" s="955"/>
      <c r="B78" s="989"/>
      <c r="C78" s="979" t="s">
        <v>1617</v>
      </c>
      <c r="D78" s="990"/>
      <c r="E78" s="991"/>
      <c r="F78" s="391"/>
    </row>
    <row r="79" spans="1:6" ht="14" customHeight="1">
      <c r="A79" s="981"/>
      <c r="B79" s="982" t="s">
        <v>1618</v>
      </c>
      <c r="C79" s="983" t="s">
        <v>1619</v>
      </c>
      <c r="D79" s="967" t="s">
        <v>1574</v>
      </c>
      <c r="E79" s="335">
        <v>911.65000000000009</v>
      </c>
      <c r="F79" s="310" t="s">
        <v>236</v>
      </c>
    </row>
    <row r="80" spans="1:6" ht="14" customHeight="1">
      <c r="A80" s="981"/>
      <c r="B80" s="982" t="s">
        <v>1620</v>
      </c>
      <c r="C80" s="983" t="s">
        <v>1576</v>
      </c>
      <c r="D80" s="967" t="s">
        <v>1577</v>
      </c>
      <c r="E80" s="335">
        <v>972.75</v>
      </c>
      <c r="F80" s="310" t="s">
        <v>236</v>
      </c>
    </row>
    <row r="81" spans="1:6" ht="14" customHeight="1">
      <c r="A81" s="981"/>
      <c r="B81" s="982" t="s">
        <v>1621</v>
      </c>
      <c r="C81" s="968" t="s">
        <v>1579</v>
      </c>
      <c r="D81" s="967" t="s">
        <v>1580</v>
      </c>
      <c r="E81" s="335">
        <v>1046.2833333333333</v>
      </c>
      <c r="F81" s="310" t="s">
        <v>236</v>
      </c>
    </row>
    <row r="82" spans="1:6" ht="14" customHeight="1">
      <c r="A82" s="981"/>
      <c r="B82" s="982" t="s">
        <v>1622</v>
      </c>
      <c r="C82" s="983"/>
      <c r="D82" s="967" t="s">
        <v>1582</v>
      </c>
      <c r="E82" s="335">
        <v>1048.5666666666666</v>
      </c>
      <c r="F82" s="310" t="s">
        <v>236</v>
      </c>
    </row>
    <row r="83" spans="1:6" ht="14" customHeight="1">
      <c r="A83" s="981"/>
      <c r="B83" s="982" t="s">
        <v>1623</v>
      </c>
      <c r="C83" s="962"/>
      <c r="D83" s="967" t="s">
        <v>1584</v>
      </c>
      <c r="E83" s="335">
        <v>1112.0500000000002</v>
      </c>
      <c r="F83" s="310" t="s">
        <v>236</v>
      </c>
    </row>
    <row r="84" spans="1:6" ht="14" customHeight="1">
      <c r="A84" s="981"/>
      <c r="B84" s="982"/>
      <c r="C84" s="983"/>
      <c r="D84" s="967"/>
      <c r="F84" s="310"/>
    </row>
    <row r="85" spans="1:6" ht="14" customHeight="1">
      <c r="A85" s="981"/>
      <c r="B85" s="982" t="s">
        <v>1624</v>
      </c>
      <c r="C85" s="983" t="s">
        <v>1619</v>
      </c>
      <c r="D85" s="967" t="s">
        <v>1586</v>
      </c>
      <c r="E85" s="335">
        <v>1300.5500000000002</v>
      </c>
      <c r="F85" s="310" t="s">
        <v>236</v>
      </c>
    </row>
    <row r="86" spans="1:6" ht="14" customHeight="1">
      <c r="A86" s="981"/>
      <c r="B86" s="982" t="s">
        <v>1625</v>
      </c>
      <c r="C86" s="983" t="s">
        <v>1576</v>
      </c>
      <c r="D86" s="967" t="s">
        <v>1588</v>
      </c>
      <c r="E86" s="335">
        <v>1416.0333333333333</v>
      </c>
      <c r="F86" s="310" t="s">
        <v>236</v>
      </c>
    </row>
    <row r="87" spans="1:6" ht="14" customHeight="1">
      <c r="A87" s="981"/>
      <c r="B87" s="982" t="s">
        <v>1626</v>
      </c>
      <c r="C87" s="968" t="s">
        <v>1590</v>
      </c>
      <c r="D87" s="967" t="s">
        <v>1591</v>
      </c>
      <c r="E87" s="335">
        <v>1456.5666666666668</v>
      </c>
      <c r="F87" s="310" t="s">
        <v>236</v>
      </c>
    </row>
    <row r="88" spans="1:6" ht="14" customHeight="1">
      <c r="A88" s="981"/>
      <c r="B88" s="982" t="s">
        <v>1627</v>
      </c>
      <c r="C88" s="983"/>
      <c r="D88" s="967" t="s">
        <v>1593</v>
      </c>
      <c r="E88" s="335">
        <v>1695.3666666666668</v>
      </c>
      <c r="F88" s="310" t="s">
        <v>236</v>
      </c>
    </row>
    <row r="89" spans="1:6" ht="14" customHeight="1">
      <c r="A89" s="981"/>
      <c r="B89" s="984"/>
      <c r="C89" s="983"/>
      <c r="D89" s="967"/>
      <c r="E89" s="335"/>
      <c r="F89" s="389"/>
    </row>
    <row r="90" spans="1:6" ht="14" customHeight="1">
      <c r="A90" s="955"/>
      <c r="B90" s="989"/>
      <c r="C90" s="979" t="s">
        <v>1628</v>
      </c>
      <c r="D90" s="990"/>
      <c r="E90" s="991"/>
      <c r="F90" s="391"/>
    </row>
    <row r="91" spans="1:6" ht="14" customHeight="1">
      <c r="A91" s="981"/>
      <c r="B91" s="992" t="s">
        <v>1629</v>
      </c>
      <c r="C91" s="983" t="s">
        <v>1619</v>
      </c>
      <c r="D91" s="963" t="s">
        <v>1574</v>
      </c>
      <c r="E91" s="335">
        <v>1510.1</v>
      </c>
      <c r="F91" s="310" t="s">
        <v>236</v>
      </c>
    </row>
    <row r="92" spans="1:6" ht="14" customHeight="1">
      <c r="A92" s="981"/>
      <c r="B92" s="982" t="s">
        <v>1630</v>
      </c>
      <c r="C92" s="983" t="s">
        <v>1576</v>
      </c>
      <c r="D92" s="967" t="s">
        <v>1577</v>
      </c>
      <c r="E92" s="335">
        <v>1576.9333333333334</v>
      </c>
      <c r="F92" s="310" t="s">
        <v>236</v>
      </c>
    </row>
    <row r="93" spans="1:6" ht="14" customHeight="1">
      <c r="A93" s="981"/>
      <c r="B93" s="982" t="s">
        <v>1631</v>
      </c>
      <c r="C93" s="993" t="s">
        <v>1579</v>
      </c>
      <c r="D93" s="967" t="s">
        <v>1580</v>
      </c>
      <c r="E93" s="335">
        <v>1630.9333333333334</v>
      </c>
      <c r="F93" s="310" t="s">
        <v>236</v>
      </c>
    </row>
    <row r="94" spans="1:6" ht="14" customHeight="1">
      <c r="A94" s="981"/>
      <c r="B94" s="982" t="s">
        <v>1632</v>
      </c>
      <c r="C94" s="983"/>
      <c r="D94" s="967" t="s">
        <v>1582</v>
      </c>
      <c r="E94" s="335">
        <v>1689.1333333333334</v>
      </c>
      <c r="F94" s="310" t="s">
        <v>236</v>
      </c>
    </row>
    <row r="95" spans="1:6" ht="14" customHeight="1">
      <c r="A95" s="981"/>
      <c r="B95" s="982" t="s">
        <v>1633</v>
      </c>
      <c r="C95" s="962"/>
      <c r="D95" s="967" t="s">
        <v>1584</v>
      </c>
      <c r="E95" s="335">
        <v>1730.7500000000002</v>
      </c>
      <c r="F95" s="310" t="s">
        <v>236</v>
      </c>
    </row>
    <row r="96" spans="1:6" ht="14" customHeight="1">
      <c r="A96" s="981"/>
      <c r="B96" s="982"/>
      <c r="C96" s="983"/>
      <c r="D96" s="967"/>
      <c r="F96" s="310"/>
    </row>
    <row r="97" spans="1:63" ht="14" customHeight="1">
      <c r="A97" s="981"/>
      <c r="B97" s="982" t="s">
        <v>1634</v>
      </c>
      <c r="C97" s="983" t="s">
        <v>1619</v>
      </c>
      <c r="D97" s="967" t="s">
        <v>1586</v>
      </c>
      <c r="E97" s="335">
        <v>2427.8333333333335</v>
      </c>
      <c r="F97" s="310" t="s">
        <v>236</v>
      </c>
    </row>
    <row r="98" spans="1:63" ht="14" customHeight="1">
      <c r="A98" s="981"/>
      <c r="B98" s="982" t="s">
        <v>1635</v>
      </c>
      <c r="C98" s="983" t="s">
        <v>1576</v>
      </c>
      <c r="D98" s="967" t="s">
        <v>1588</v>
      </c>
      <c r="E98" s="335">
        <v>2617.65</v>
      </c>
      <c r="F98" s="310" t="s">
        <v>236</v>
      </c>
    </row>
    <row r="99" spans="1:63" ht="14" customHeight="1">
      <c r="A99" s="981"/>
      <c r="B99" s="982" t="s">
        <v>1636</v>
      </c>
      <c r="C99" s="968" t="s">
        <v>1590</v>
      </c>
      <c r="D99" s="967" t="s">
        <v>1591</v>
      </c>
      <c r="E99" s="335">
        <v>2663.9666666666672</v>
      </c>
      <c r="F99" s="310" t="s">
        <v>236</v>
      </c>
    </row>
    <row r="100" spans="1:63" ht="14" customHeight="1">
      <c r="A100" s="981"/>
      <c r="B100" s="982" t="s">
        <v>1637</v>
      </c>
      <c r="C100" s="983"/>
      <c r="D100" s="967" t="s">
        <v>1593</v>
      </c>
      <c r="E100" s="335">
        <v>2876.0833333333335</v>
      </c>
      <c r="F100" s="310" t="s">
        <v>236</v>
      </c>
    </row>
    <row r="101" spans="1:63" ht="14" customHeight="1">
      <c r="A101" s="981"/>
      <c r="B101" s="982"/>
      <c r="C101" s="983"/>
      <c r="D101" s="967"/>
      <c r="E101" s="335"/>
      <c r="F101" s="389"/>
    </row>
    <row r="102" spans="1:63" ht="14" customHeight="1">
      <c r="A102" s="981"/>
      <c r="B102" s="994"/>
      <c r="C102" s="983"/>
      <c r="D102" s="995"/>
      <c r="E102" s="400"/>
      <c r="F102" s="425"/>
    </row>
    <row r="103" spans="1:63" s="934" customFormat="1" ht="15" customHeight="1">
      <c r="A103" s="935" t="s">
        <v>1560</v>
      </c>
      <c r="B103" s="936"/>
      <c r="C103" s="1513" t="s">
        <v>1638</v>
      </c>
      <c r="D103" s="935"/>
      <c r="E103" s="328"/>
      <c r="F103" s="328"/>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1562</v>
      </c>
      <c r="B104" s="943"/>
      <c r="C104" s="1514"/>
      <c r="D104" s="944"/>
      <c r="E104" s="379"/>
      <c r="F104" s="379"/>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405</v>
      </c>
      <c r="B105" s="952" t="s">
        <v>406</v>
      </c>
      <c r="C105" s="294" t="s">
        <v>407</v>
      </c>
      <c r="D105" s="951" t="s">
        <v>408</v>
      </c>
      <c r="E105" s="295" t="s">
        <v>409</v>
      </c>
      <c r="F105" s="296" t="s">
        <v>1563</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 customHeight="1">
      <c r="A106" s="977"/>
      <c r="B106" s="978"/>
      <c r="C106" s="979" t="s">
        <v>1639</v>
      </c>
      <c r="D106" s="980"/>
      <c r="E106" s="303"/>
      <c r="F106" s="304"/>
    </row>
    <row r="107" spans="1:63" ht="14" customHeight="1">
      <c r="A107" s="981"/>
      <c r="B107" s="982" t="s">
        <v>1640</v>
      </c>
      <c r="C107" s="983" t="s">
        <v>1641</v>
      </c>
      <c r="D107" s="967" t="s">
        <v>1574</v>
      </c>
      <c r="E107" s="335">
        <v>1640.4666666666667</v>
      </c>
      <c r="F107" s="310" t="s">
        <v>236</v>
      </c>
    </row>
    <row r="108" spans="1:63" ht="14" customHeight="1">
      <c r="A108" s="981"/>
      <c r="B108" s="982" t="s">
        <v>1642</v>
      </c>
      <c r="C108" s="983" t="s">
        <v>1576</v>
      </c>
      <c r="D108" s="967" t="s">
        <v>1577</v>
      </c>
      <c r="E108" s="335">
        <v>1699.1166666666668</v>
      </c>
      <c r="F108" s="310" t="s">
        <v>236</v>
      </c>
    </row>
    <row r="109" spans="1:63" ht="14" customHeight="1">
      <c r="A109" s="981"/>
      <c r="B109" s="982" t="s">
        <v>1643</v>
      </c>
      <c r="C109" s="968" t="s">
        <v>1579</v>
      </c>
      <c r="D109" s="967" t="s">
        <v>1580</v>
      </c>
      <c r="E109" s="335">
        <v>1788.5666666666668</v>
      </c>
      <c r="F109" s="310" t="s">
        <v>236</v>
      </c>
    </row>
    <row r="110" spans="1:63" ht="14" customHeight="1">
      <c r="A110" s="981"/>
      <c r="B110" s="982" t="s">
        <v>1644</v>
      </c>
      <c r="C110" s="983"/>
      <c r="D110" s="967" t="s">
        <v>1582</v>
      </c>
      <c r="E110" s="335">
        <v>1800.5</v>
      </c>
      <c r="F110" s="310" t="s">
        <v>236</v>
      </c>
    </row>
    <row r="111" spans="1:63" ht="14" customHeight="1">
      <c r="A111" s="981"/>
      <c r="B111" s="982" t="s">
        <v>1645</v>
      </c>
      <c r="C111" s="983"/>
      <c r="D111" s="967" t="s">
        <v>1584</v>
      </c>
      <c r="E111" s="335">
        <v>1879.0166666666669</v>
      </c>
      <c r="F111" s="310" t="s">
        <v>236</v>
      </c>
    </row>
    <row r="112" spans="1:63" ht="14" customHeight="1">
      <c r="A112" s="981"/>
      <c r="B112" s="984"/>
      <c r="C112" s="983"/>
      <c r="D112" s="967"/>
      <c r="E112" s="335"/>
      <c r="F112" s="389"/>
    </row>
    <row r="113" spans="1:6" ht="14" customHeight="1">
      <c r="A113" s="981"/>
      <c r="B113" s="984"/>
      <c r="C113" s="983"/>
      <c r="D113" s="967"/>
      <c r="E113" s="335"/>
      <c r="F113" s="389"/>
    </row>
    <row r="114" spans="1:6" ht="14" customHeight="1">
      <c r="A114" s="981"/>
      <c r="B114" s="984"/>
      <c r="C114" s="983"/>
      <c r="D114" s="967"/>
      <c r="E114" s="335"/>
      <c r="F114" s="389"/>
    </row>
    <row r="115" spans="1:6" ht="14" customHeight="1">
      <c r="A115" s="981"/>
      <c r="B115" s="984"/>
      <c r="C115" s="983"/>
      <c r="D115" s="967"/>
      <c r="E115" s="335"/>
      <c r="F115" s="389"/>
    </row>
    <row r="116" spans="1:6" ht="14" customHeight="1">
      <c r="A116" s="981"/>
      <c r="B116" s="982" t="s">
        <v>1646</v>
      </c>
      <c r="C116" s="983" t="s">
        <v>1641</v>
      </c>
      <c r="D116" s="967" t="s">
        <v>1586</v>
      </c>
      <c r="E116" s="335">
        <v>2070.5166666666669</v>
      </c>
      <c r="F116" s="310" t="s">
        <v>236</v>
      </c>
    </row>
    <row r="117" spans="1:6" ht="14" customHeight="1">
      <c r="A117" s="981"/>
      <c r="B117" s="982" t="s">
        <v>1647</v>
      </c>
      <c r="C117" s="983" t="s">
        <v>1576</v>
      </c>
      <c r="D117" s="967" t="s">
        <v>1588</v>
      </c>
      <c r="E117" s="335">
        <v>2205.65</v>
      </c>
      <c r="F117" s="310" t="s">
        <v>236</v>
      </c>
    </row>
    <row r="118" spans="1:6" ht="14" customHeight="1">
      <c r="A118" s="981"/>
      <c r="B118" s="982" t="s">
        <v>1648</v>
      </c>
      <c r="C118" s="968" t="s">
        <v>1615</v>
      </c>
      <c r="D118" s="967" t="s">
        <v>1591</v>
      </c>
      <c r="E118" s="335">
        <v>2259.1833333333334</v>
      </c>
      <c r="F118" s="310" t="s">
        <v>236</v>
      </c>
    </row>
    <row r="119" spans="1:6" ht="14" customHeight="1">
      <c r="A119" s="981"/>
      <c r="B119" s="982" t="s">
        <v>1649</v>
      </c>
      <c r="C119" s="983"/>
      <c r="D119" s="967" t="s">
        <v>1593</v>
      </c>
      <c r="E119" s="335">
        <v>2488.8833333333332</v>
      </c>
      <c r="F119" s="310" t="s">
        <v>236</v>
      </c>
    </row>
    <row r="120" spans="1:6" ht="14" customHeight="1">
      <c r="A120" s="981"/>
      <c r="B120" s="982"/>
      <c r="C120" s="921"/>
      <c r="D120" s="967"/>
      <c r="E120" s="335"/>
      <c r="F120" s="389"/>
    </row>
    <row r="121" spans="1:6" ht="14" customHeight="1">
      <c r="A121" s="981"/>
      <c r="B121" s="984"/>
      <c r="C121" s="921"/>
      <c r="D121" s="967"/>
      <c r="E121" s="335"/>
      <c r="F121" s="373"/>
    </row>
    <row r="122" spans="1:6" ht="14" customHeight="1">
      <c r="A122" s="981"/>
      <c r="B122" s="984"/>
      <c r="C122" s="983"/>
      <c r="D122" s="967"/>
      <c r="E122" s="335"/>
      <c r="F122" s="389"/>
    </row>
    <row r="123" spans="1:6" ht="14" customHeight="1">
      <c r="A123" s="981"/>
      <c r="B123" s="984"/>
      <c r="C123" s="983"/>
      <c r="D123" s="967"/>
      <c r="E123" s="335"/>
      <c r="F123" s="389"/>
    </row>
    <row r="124" spans="1:6" ht="14" customHeight="1">
      <c r="A124" s="977"/>
      <c r="B124" s="978"/>
      <c r="C124" s="979" t="s">
        <v>1650</v>
      </c>
      <c r="D124" s="980"/>
      <c r="E124" s="985"/>
      <c r="F124" s="980"/>
    </row>
    <row r="125" spans="1:6" ht="14" customHeight="1">
      <c r="A125" s="981"/>
      <c r="B125" s="982" t="s">
        <v>1651</v>
      </c>
      <c r="C125" s="983" t="s">
        <v>1652</v>
      </c>
      <c r="D125" s="967" t="s">
        <v>1574</v>
      </c>
      <c r="E125" s="335">
        <v>1640.4666666666667</v>
      </c>
      <c r="F125" s="310" t="s">
        <v>236</v>
      </c>
    </row>
    <row r="126" spans="1:6" ht="14" customHeight="1">
      <c r="A126" s="981"/>
      <c r="B126" s="982" t="s">
        <v>1653</v>
      </c>
      <c r="C126" s="983" t="s">
        <v>1576</v>
      </c>
      <c r="D126" s="967" t="s">
        <v>1577</v>
      </c>
      <c r="E126" s="335">
        <v>1699.1166666666668</v>
      </c>
      <c r="F126" s="310" t="s">
        <v>236</v>
      </c>
    </row>
    <row r="127" spans="1:6" ht="14" customHeight="1">
      <c r="A127" s="981"/>
      <c r="B127" s="982" t="s">
        <v>1654</v>
      </c>
      <c r="C127" s="968" t="s">
        <v>1579</v>
      </c>
      <c r="D127" s="967" t="s">
        <v>1580</v>
      </c>
      <c r="E127" s="335">
        <v>1788.5666666666668</v>
      </c>
      <c r="F127" s="310" t="s">
        <v>236</v>
      </c>
    </row>
    <row r="128" spans="1:6" ht="14" customHeight="1">
      <c r="A128" s="981"/>
      <c r="B128" s="982" t="s">
        <v>1655</v>
      </c>
      <c r="C128" s="983"/>
      <c r="D128" s="967" t="s">
        <v>1582</v>
      </c>
      <c r="E128" s="335">
        <v>1800.5</v>
      </c>
      <c r="F128" s="310" t="s">
        <v>236</v>
      </c>
    </row>
    <row r="129" spans="1:6" ht="14" customHeight="1">
      <c r="A129" s="981"/>
      <c r="B129" s="982" t="s">
        <v>1656</v>
      </c>
      <c r="C129" s="983"/>
      <c r="D129" s="967" t="s">
        <v>1584</v>
      </c>
      <c r="E129" s="335">
        <v>1879.0166666666669</v>
      </c>
      <c r="F129" s="310" t="s">
        <v>236</v>
      </c>
    </row>
    <row r="130" spans="1:6" ht="14" customHeight="1">
      <c r="A130" s="981"/>
      <c r="B130" s="984"/>
      <c r="C130" s="983"/>
      <c r="D130" s="967"/>
      <c r="E130" s="335"/>
      <c r="F130" s="389"/>
    </row>
    <row r="131" spans="1:6" ht="14" customHeight="1">
      <c r="A131" s="981"/>
      <c r="B131" s="984"/>
      <c r="C131" s="983"/>
      <c r="D131" s="967"/>
      <c r="E131" s="335"/>
      <c r="F131" s="389"/>
    </row>
    <row r="132" spans="1:6" ht="14" customHeight="1">
      <c r="A132" s="981"/>
      <c r="B132" s="984"/>
      <c r="C132" s="983"/>
      <c r="D132" s="967"/>
      <c r="E132" s="335"/>
      <c r="F132" s="389"/>
    </row>
    <row r="133" spans="1:6" ht="14" customHeight="1">
      <c r="A133" s="981"/>
      <c r="B133" s="984"/>
      <c r="C133" s="983"/>
      <c r="D133" s="967"/>
      <c r="E133" s="335"/>
      <c r="F133" s="389"/>
    </row>
    <row r="134" spans="1:6" ht="14" customHeight="1">
      <c r="A134" s="981"/>
      <c r="B134" s="982" t="s">
        <v>1657</v>
      </c>
      <c r="C134" s="983" t="s">
        <v>1652</v>
      </c>
      <c r="D134" s="967" t="s">
        <v>1586</v>
      </c>
      <c r="E134" s="335">
        <v>2070.5166666666669</v>
      </c>
      <c r="F134" s="310" t="s">
        <v>236</v>
      </c>
    </row>
    <row r="135" spans="1:6" ht="14" customHeight="1">
      <c r="A135" s="981"/>
      <c r="B135" s="982" t="s">
        <v>1658</v>
      </c>
      <c r="C135" s="983" t="s">
        <v>1576</v>
      </c>
      <c r="D135" s="967" t="s">
        <v>1588</v>
      </c>
      <c r="E135" s="335">
        <v>2205.65</v>
      </c>
      <c r="F135" s="310" t="s">
        <v>236</v>
      </c>
    </row>
    <row r="136" spans="1:6" ht="14" customHeight="1">
      <c r="A136" s="981"/>
      <c r="B136" s="982" t="s">
        <v>1659</v>
      </c>
      <c r="C136" s="968" t="s">
        <v>1615</v>
      </c>
      <c r="D136" s="967" t="s">
        <v>1591</v>
      </c>
      <c r="E136" s="335">
        <v>2259.1833333333334</v>
      </c>
      <c r="F136" s="310" t="s">
        <v>236</v>
      </c>
    </row>
    <row r="137" spans="1:6" ht="14" customHeight="1">
      <c r="A137" s="981"/>
      <c r="B137" s="982" t="s">
        <v>1660</v>
      </c>
      <c r="C137" s="968"/>
      <c r="D137" s="967" t="s">
        <v>1593</v>
      </c>
      <c r="E137" s="335">
        <v>2488.8833333333332</v>
      </c>
      <c r="F137" s="310" t="s">
        <v>236</v>
      </c>
    </row>
    <row r="138" spans="1:6" ht="14" customHeight="1">
      <c r="A138" s="981"/>
      <c r="B138" s="982"/>
      <c r="C138" s="921"/>
      <c r="D138" s="967"/>
      <c r="E138" s="335"/>
      <c r="F138" s="389"/>
    </row>
    <row r="139" spans="1:6" ht="14" customHeight="1">
      <c r="A139" s="981"/>
      <c r="B139" s="982"/>
      <c r="C139" s="921"/>
      <c r="D139" s="967"/>
      <c r="E139" s="335"/>
      <c r="F139" s="373"/>
    </row>
    <row r="140" spans="1:6" ht="14" customHeight="1">
      <c r="A140" s="981"/>
      <c r="B140" s="984"/>
      <c r="C140" s="983"/>
      <c r="D140" s="967"/>
      <c r="E140" s="335"/>
      <c r="F140" s="389"/>
    </row>
    <row r="141" spans="1:6" ht="14" customHeight="1">
      <c r="A141" s="981"/>
      <c r="B141" s="984"/>
      <c r="C141" s="983"/>
      <c r="D141" s="967"/>
      <c r="E141" s="335"/>
      <c r="F141" s="389"/>
    </row>
    <row r="142" spans="1:6" ht="14" customHeight="1">
      <c r="A142" s="977"/>
      <c r="B142" s="978"/>
      <c r="C142" s="979" t="s">
        <v>1661</v>
      </c>
      <c r="D142" s="980"/>
      <c r="E142" s="303"/>
      <c r="F142" s="304"/>
    </row>
    <row r="143" spans="1:6" ht="14" customHeight="1">
      <c r="A143" s="981"/>
      <c r="B143" s="982" t="s">
        <v>1662</v>
      </c>
      <c r="C143" s="983" t="s">
        <v>1663</v>
      </c>
      <c r="D143" s="967" t="s">
        <v>1574</v>
      </c>
      <c r="E143" s="335">
        <v>1945.1833333333332</v>
      </c>
      <c r="F143" s="310" t="s">
        <v>236</v>
      </c>
    </row>
    <row r="144" spans="1:6" ht="14" customHeight="1">
      <c r="A144" s="981"/>
      <c r="B144" s="982" t="s">
        <v>1664</v>
      </c>
      <c r="C144" s="983" t="s">
        <v>1576</v>
      </c>
      <c r="D144" s="967" t="s">
        <v>1577</v>
      </c>
      <c r="E144" s="335">
        <v>2008.85</v>
      </c>
      <c r="F144" s="310" t="s">
        <v>236</v>
      </c>
    </row>
    <row r="145" spans="1:6" ht="14" customHeight="1">
      <c r="A145" s="981"/>
      <c r="B145" s="982" t="s">
        <v>1665</v>
      </c>
      <c r="C145" s="968" t="s">
        <v>1579</v>
      </c>
      <c r="D145" s="967" t="s">
        <v>1580</v>
      </c>
      <c r="E145" s="335">
        <v>2086.7333333333336</v>
      </c>
      <c r="F145" s="310" t="s">
        <v>236</v>
      </c>
    </row>
    <row r="146" spans="1:6" ht="14" customHeight="1">
      <c r="A146" s="981"/>
      <c r="B146" s="982" t="s">
        <v>1666</v>
      </c>
      <c r="C146" s="983"/>
      <c r="D146" s="967" t="s">
        <v>1582</v>
      </c>
      <c r="E146" s="335">
        <v>2089.2333333333336</v>
      </c>
      <c r="F146" s="310" t="s">
        <v>236</v>
      </c>
    </row>
    <row r="147" spans="1:6" ht="14" customHeight="1">
      <c r="A147" s="981"/>
      <c r="B147" s="982" t="s">
        <v>1667</v>
      </c>
      <c r="C147" s="983"/>
      <c r="D147" s="967" t="s">
        <v>1584</v>
      </c>
      <c r="E147" s="335">
        <v>2155.3333333333335</v>
      </c>
      <c r="F147" s="310" t="s">
        <v>236</v>
      </c>
    </row>
    <row r="148" spans="1:6" ht="14" customHeight="1">
      <c r="A148" s="981"/>
      <c r="B148" s="984"/>
      <c r="C148" s="983"/>
      <c r="D148" s="967"/>
      <c r="E148" s="335"/>
      <c r="F148" s="389"/>
    </row>
    <row r="149" spans="1:6" ht="14" customHeight="1">
      <c r="A149" s="981"/>
      <c r="B149" s="984"/>
      <c r="C149" s="983"/>
      <c r="D149" s="967"/>
      <c r="E149" s="335"/>
      <c r="F149" s="389"/>
    </row>
    <row r="150" spans="1:6" ht="14" customHeight="1">
      <c r="A150" s="981"/>
      <c r="B150" s="984"/>
      <c r="C150" s="983"/>
      <c r="D150" s="967"/>
      <c r="E150" s="335"/>
      <c r="F150" s="389"/>
    </row>
    <row r="151" spans="1:6" ht="14" customHeight="1">
      <c r="A151" s="981"/>
      <c r="B151" s="984"/>
      <c r="C151" s="983"/>
      <c r="D151" s="967"/>
      <c r="E151" s="335"/>
      <c r="F151" s="389"/>
    </row>
    <row r="152" spans="1:6" ht="14" customHeight="1">
      <c r="A152" s="981"/>
      <c r="B152" s="982" t="s">
        <v>1668</v>
      </c>
      <c r="C152" s="983" t="s">
        <v>1663</v>
      </c>
      <c r="D152" s="967" t="s">
        <v>1586</v>
      </c>
      <c r="E152" s="335">
        <v>2660.4</v>
      </c>
      <c r="F152" s="310" t="s">
        <v>236</v>
      </c>
    </row>
    <row r="153" spans="1:6" ht="14" customHeight="1">
      <c r="A153" s="981"/>
      <c r="B153" s="982" t="s">
        <v>1669</v>
      </c>
      <c r="C153" s="983" t="s">
        <v>1576</v>
      </c>
      <c r="D153" s="967" t="s">
        <v>1588</v>
      </c>
      <c r="E153" s="335">
        <v>2841.1833333333334</v>
      </c>
      <c r="F153" s="310" t="s">
        <v>236</v>
      </c>
    </row>
    <row r="154" spans="1:6" ht="14" customHeight="1">
      <c r="A154" s="981"/>
      <c r="B154" s="982" t="s">
        <v>1670</v>
      </c>
      <c r="C154" s="968" t="s">
        <v>1615</v>
      </c>
      <c r="D154" s="967" t="s">
        <v>1591</v>
      </c>
      <c r="E154" s="335">
        <v>2885.3</v>
      </c>
      <c r="F154" s="310" t="s">
        <v>236</v>
      </c>
    </row>
    <row r="155" spans="1:6" ht="14" customHeight="1">
      <c r="A155" s="981"/>
      <c r="B155" s="982" t="s">
        <v>1671</v>
      </c>
      <c r="C155" s="983"/>
      <c r="D155" s="967" t="s">
        <v>1593</v>
      </c>
      <c r="E155" s="335">
        <v>3102.0166666666669</v>
      </c>
      <c r="F155" s="310" t="s">
        <v>236</v>
      </c>
    </row>
    <row r="156" spans="1:6" ht="14" customHeight="1">
      <c r="A156" s="981"/>
      <c r="B156" s="982"/>
      <c r="C156" s="921"/>
      <c r="D156" s="967"/>
      <c r="E156" s="335"/>
      <c r="F156" s="389"/>
    </row>
    <row r="157" spans="1:6" ht="14" customHeight="1">
      <c r="A157" s="981"/>
      <c r="B157" s="984"/>
      <c r="C157" s="921"/>
      <c r="D157" s="967"/>
      <c r="E157" s="335"/>
      <c r="F157" s="373"/>
    </row>
    <row r="158" spans="1:6" ht="14" customHeight="1">
      <c r="A158" s="981"/>
      <c r="B158" s="984"/>
      <c r="C158" s="983"/>
      <c r="D158" s="967"/>
      <c r="E158" s="335"/>
      <c r="F158" s="389"/>
    </row>
    <row r="159" spans="1:6" ht="14" customHeight="1">
      <c r="A159" s="981"/>
      <c r="B159" s="984"/>
      <c r="C159" s="983"/>
      <c r="D159" s="967"/>
      <c r="E159" s="335"/>
      <c r="F159" s="389"/>
    </row>
    <row r="160" spans="1:6" ht="14" customHeight="1">
      <c r="A160" s="996"/>
      <c r="B160" s="997"/>
      <c r="C160" s="998"/>
      <c r="D160" s="997"/>
      <c r="E160" s="429"/>
      <c r="F160" s="430"/>
    </row>
    <row r="161" spans="1:6" ht="14" customHeight="1">
      <c r="A161" s="981"/>
      <c r="B161" s="999"/>
      <c r="C161" s="1000"/>
      <c r="D161" s="999"/>
      <c r="E161" s="433"/>
      <c r="F161" s="434"/>
    </row>
    <row r="162" spans="1:6" ht="14" customHeight="1">
      <c r="A162" s="981"/>
      <c r="B162" s="999"/>
      <c r="C162" s="1000"/>
      <c r="D162" s="999"/>
      <c r="E162" s="433"/>
      <c r="F162" s="434"/>
    </row>
    <row r="163" spans="1:6" ht="14" customHeight="1">
      <c r="A163" s="981"/>
      <c r="B163" s="999"/>
      <c r="C163" s="1000"/>
      <c r="D163" s="999"/>
      <c r="E163" s="433"/>
      <c r="F163" s="434"/>
    </row>
    <row r="164" spans="1:6" ht="14" customHeight="1">
      <c r="A164" s="981"/>
      <c r="B164" s="999"/>
      <c r="C164" s="1000"/>
      <c r="D164" s="999"/>
      <c r="E164" s="433"/>
      <c r="F164" s="434"/>
    </row>
    <row r="165" spans="1:6" ht="14" customHeight="1">
      <c r="A165" s="981"/>
      <c r="B165" s="999"/>
      <c r="C165" s="1000"/>
      <c r="D165" s="999"/>
      <c r="E165" s="433"/>
      <c r="F165" s="434"/>
    </row>
    <row r="166" spans="1:6" ht="14" customHeight="1">
      <c r="A166" s="981"/>
      <c r="B166" s="999"/>
      <c r="C166" s="1000"/>
      <c r="D166" s="999"/>
      <c r="E166" s="433"/>
      <c r="F166" s="434"/>
    </row>
    <row r="167" spans="1:6" ht="14" customHeight="1">
      <c r="A167" s="981"/>
      <c r="B167" s="999"/>
      <c r="C167" s="1000"/>
      <c r="D167" s="999"/>
      <c r="E167" s="433"/>
      <c r="F167" s="434"/>
    </row>
    <row r="168" spans="1:6" ht="14" customHeight="1">
      <c r="A168" s="981"/>
      <c r="B168" s="999"/>
      <c r="C168" s="1000"/>
      <c r="D168" s="999"/>
      <c r="E168" s="433"/>
      <c r="F168" s="434"/>
    </row>
    <row r="169" spans="1:6" ht="14" customHeight="1">
      <c r="A169" s="981"/>
      <c r="B169" s="999"/>
      <c r="C169" s="1000"/>
      <c r="D169" s="999"/>
      <c r="E169" s="433"/>
      <c r="F169" s="434"/>
    </row>
    <row r="170" spans="1:6" ht="14" customHeight="1">
      <c r="A170" s="981"/>
      <c r="B170" s="999"/>
      <c r="C170" s="1000"/>
      <c r="D170" s="999"/>
      <c r="E170" s="433"/>
      <c r="F170" s="434"/>
    </row>
    <row r="171" spans="1:6" ht="14" customHeight="1">
      <c r="A171" s="981"/>
      <c r="B171" s="999"/>
      <c r="C171" s="1000"/>
      <c r="D171" s="999"/>
      <c r="E171" s="433"/>
      <c r="F171" s="434"/>
    </row>
    <row r="172" spans="1:6" ht="14" customHeight="1">
      <c r="A172" s="981"/>
      <c r="B172" s="999"/>
      <c r="C172" s="1000"/>
      <c r="D172" s="999"/>
      <c r="E172" s="433"/>
      <c r="F172" s="434"/>
    </row>
    <row r="173" spans="1:6" ht="14" customHeight="1">
      <c r="A173" s="981"/>
      <c r="B173" s="999"/>
      <c r="C173" s="1000"/>
      <c r="D173" s="999"/>
      <c r="E173" s="433"/>
      <c r="F173" s="434"/>
    </row>
    <row r="174" spans="1:6" ht="14" customHeight="1">
      <c r="A174" s="981"/>
      <c r="B174" s="999"/>
      <c r="C174" s="1000"/>
      <c r="D174" s="999"/>
      <c r="E174" s="433"/>
      <c r="F174" s="434"/>
    </row>
    <row r="175" spans="1:6" ht="14" customHeight="1">
      <c r="A175" s="981"/>
      <c r="B175" s="999"/>
      <c r="C175" s="1000"/>
      <c r="D175" s="999"/>
      <c r="E175" s="433"/>
      <c r="F175" s="434"/>
    </row>
    <row r="176" spans="1:6" ht="14" customHeight="1">
      <c r="A176" s="981"/>
      <c r="B176" s="999"/>
      <c r="C176" s="1000"/>
      <c r="D176" s="999"/>
      <c r="E176" s="433"/>
      <c r="F176" s="434"/>
    </row>
    <row r="177" spans="1:6" ht="14" customHeight="1">
      <c r="A177" s="981"/>
      <c r="B177" s="999"/>
      <c r="C177" s="1000"/>
      <c r="D177" s="999"/>
      <c r="E177" s="433"/>
      <c r="F177" s="434"/>
    </row>
    <row r="178" spans="1:6" ht="14" customHeight="1">
      <c r="A178" s="981"/>
      <c r="B178" s="999"/>
      <c r="C178" s="1000"/>
      <c r="D178" s="999"/>
      <c r="E178" s="433"/>
      <c r="F178" s="434"/>
    </row>
    <row r="179" spans="1:6" ht="14" customHeight="1">
      <c r="A179" s="981"/>
      <c r="B179" s="999"/>
      <c r="C179" s="1000"/>
      <c r="D179" s="999"/>
      <c r="E179" s="433"/>
      <c r="F179" s="434"/>
    </row>
    <row r="180" spans="1:6" ht="14" customHeight="1">
      <c r="A180" s="981"/>
      <c r="B180" s="999"/>
      <c r="C180" s="1000"/>
      <c r="D180" s="999"/>
      <c r="E180" s="433"/>
      <c r="F180" s="434"/>
    </row>
    <row r="181" spans="1:6" ht="14" customHeight="1">
      <c r="A181" s="981"/>
      <c r="B181" s="999"/>
      <c r="C181" s="1000"/>
      <c r="D181" s="999"/>
      <c r="E181" s="433"/>
      <c r="F181" s="434"/>
    </row>
    <row r="182" spans="1:6" ht="14" customHeight="1">
      <c r="A182" s="981"/>
      <c r="B182" s="999"/>
      <c r="C182" s="1000"/>
      <c r="D182" s="999"/>
      <c r="E182" s="433"/>
      <c r="F182" s="434"/>
    </row>
    <row r="183" spans="1:6" ht="14" customHeight="1">
      <c r="A183" s="981"/>
      <c r="B183" s="999"/>
      <c r="C183" s="1000"/>
      <c r="D183" s="999"/>
      <c r="E183" s="433"/>
      <c r="F183" s="434"/>
    </row>
    <row r="184" spans="1:6" ht="14" customHeight="1">
      <c r="A184" s="981"/>
      <c r="B184" s="999"/>
      <c r="C184" s="1000"/>
      <c r="D184" s="999"/>
      <c r="E184" s="433"/>
      <c r="F184" s="434"/>
    </row>
    <row r="185" spans="1:6" ht="14" customHeight="1">
      <c r="A185" s="981"/>
      <c r="B185" s="999"/>
      <c r="C185" s="1000"/>
      <c r="D185" s="999"/>
      <c r="E185" s="433"/>
      <c r="F185" s="434"/>
    </row>
    <row r="186" spans="1:6" ht="14" customHeight="1">
      <c r="A186" s="1001"/>
      <c r="B186" s="1002"/>
      <c r="C186" s="1003"/>
      <c r="D186" s="1002"/>
      <c r="E186" s="438"/>
      <c r="F186" s="439"/>
    </row>
    <row r="187" spans="1:6" ht="15" customHeight="1">
      <c r="A187" s="977"/>
      <c r="B187" s="978"/>
      <c r="C187" s="979" t="s">
        <v>1672</v>
      </c>
      <c r="D187" s="980"/>
      <c r="E187" s="303"/>
      <c r="F187" s="364"/>
    </row>
    <row r="188" spans="1:6" ht="14" customHeight="1">
      <c r="A188" s="981"/>
      <c r="B188" s="982" t="s">
        <v>1673</v>
      </c>
      <c r="C188" s="962" t="s">
        <v>1674</v>
      </c>
      <c r="D188" s="967" t="s">
        <v>1580</v>
      </c>
      <c r="E188" s="335">
        <v>388.76656346749235</v>
      </c>
      <c r="F188" s="310" t="s">
        <v>236</v>
      </c>
    </row>
    <row r="189" spans="1:6" ht="14" customHeight="1">
      <c r="A189" s="981"/>
      <c r="B189" s="982" t="s">
        <v>1675</v>
      </c>
      <c r="C189" s="983" t="s">
        <v>1676</v>
      </c>
      <c r="D189" s="967" t="s">
        <v>1582</v>
      </c>
      <c r="E189" s="335">
        <v>414.46393188854495</v>
      </c>
      <c r="F189" s="310" t="s">
        <v>236</v>
      </c>
    </row>
    <row r="190" spans="1:6" ht="14" customHeight="1">
      <c r="A190" s="981"/>
      <c r="B190" s="982" t="s">
        <v>1677</v>
      </c>
      <c r="C190" s="962"/>
      <c r="D190" s="967" t="s">
        <v>1584</v>
      </c>
      <c r="E190" s="335">
        <v>420.02275541795677</v>
      </c>
      <c r="F190" s="310" t="s">
        <v>236</v>
      </c>
    </row>
    <row r="191" spans="1:6" ht="14" customHeight="1">
      <c r="A191" s="981"/>
      <c r="B191" s="982" t="s">
        <v>1678</v>
      </c>
      <c r="C191" s="962"/>
      <c r="D191" s="967" t="s">
        <v>1679</v>
      </c>
      <c r="E191" s="335">
        <v>461.55789473684234</v>
      </c>
      <c r="F191" s="310" t="s">
        <v>236</v>
      </c>
    </row>
    <row r="192" spans="1:6" ht="14" customHeight="1">
      <c r="A192" s="981"/>
      <c r="B192" s="982" t="s">
        <v>1680</v>
      </c>
      <c r="C192" s="962"/>
      <c r="D192" s="967" t="s">
        <v>1586</v>
      </c>
      <c r="E192" s="335">
        <v>467.116718266254</v>
      </c>
      <c r="F192" s="310" t="s">
        <v>236</v>
      </c>
    </row>
    <row r="193" spans="1:63" ht="14" customHeight="1">
      <c r="A193" s="981"/>
      <c r="B193" s="982" t="s">
        <v>1681</v>
      </c>
      <c r="C193" s="962"/>
      <c r="D193" s="967" t="s">
        <v>1682</v>
      </c>
      <c r="E193" s="335">
        <v>536.09001547987634</v>
      </c>
      <c r="F193" s="310" t="s">
        <v>236</v>
      </c>
    </row>
    <row r="194" spans="1:63" ht="14" customHeight="1">
      <c r="A194" s="981"/>
      <c r="B194" s="982" t="s">
        <v>1683</v>
      </c>
      <c r="C194" s="962"/>
      <c r="D194" s="967" t="s">
        <v>1588</v>
      </c>
      <c r="E194" s="335">
        <v>541.64883900928805</v>
      </c>
      <c r="F194" s="310" t="s">
        <v>236</v>
      </c>
    </row>
    <row r="195" spans="1:63" ht="14" customHeight="1">
      <c r="A195" s="981"/>
      <c r="B195" s="982" t="s">
        <v>1684</v>
      </c>
      <c r="C195" s="962"/>
      <c r="D195" s="967" t="s">
        <v>1685</v>
      </c>
      <c r="E195" s="335">
        <v>637.14845201238393</v>
      </c>
      <c r="F195" s="310" t="s">
        <v>236</v>
      </c>
    </row>
    <row r="196" spans="1:63" ht="14" customHeight="1">
      <c r="A196" s="981"/>
      <c r="B196" s="982" t="s">
        <v>1686</v>
      </c>
      <c r="C196" s="962"/>
      <c r="D196" s="967" t="s">
        <v>1593</v>
      </c>
      <c r="E196" s="335">
        <v>642.70727554179575</v>
      </c>
      <c r="F196" s="310" t="s">
        <v>236</v>
      </c>
    </row>
    <row r="197" spans="1:63" ht="14" customHeight="1">
      <c r="A197" s="981"/>
      <c r="B197" s="982" t="s">
        <v>1687</v>
      </c>
      <c r="C197" s="962"/>
      <c r="D197" s="967" t="s">
        <v>1688</v>
      </c>
      <c r="E197" s="335">
        <v>648.26609907120758</v>
      </c>
      <c r="F197" s="310" t="s">
        <v>236</v>
      </c>
    </row>
    <row r="198" spans="1:63" ht="14" customHeight="1">
      <c r="A198" s="981"/>
      <c r="B198" s="982" t="s">
        <v>1689</v>
      </c>
      <c r="C198" s="962"/>
      <c r="D198" s="967" t="s">
        <v>1690</v>
      </c>
      <c r="E198" s="335">
        <v>663.27492260061922</v>
      </c>
      <c r="F198" s="310" t="s">
        <v>236</v>
      </c>
    </row>
    <row r="199" spans="1:63" ht="14" customHeight="1">
      <c r="A199" s="981"/>
      <c r="B199" s="982" t="s">
        <v>1691</v>
      </c>
      <c r="C199" s="962"/>
      <c r="D199" s="967" t="s">
        <v>1692</v>
      </c>
      <c r="E199" s="335">
        <v>678.28374613003109</v>
      </c>
      <c r="F199" s="310" t="s">
        <v>236</v>
      </c>
    </row>
    <row r="200" spans="1:63" ht="14" customHeight="1">
      <c r="A200" s="981"/>
      <c r="B200" s="982" t="s">
        <v>1693</v>
      </c>
      <c r="C200" s="962"/>
      <c r="D200" s="967" t="s">
        <v>1694</v>
      </c>
      <c r="E200" s="335">
        <v>873.1741486068114</v>
      </c>
      <c r="F200" s="310" t="s">
        <v>236</v>
      </c>
    </row>
    <row r="201" spans="1:63" ht="14" customHeight="1">
      <c r="A201" s="981"/>
      <c r="B201" s="982" t="s">
        <v>1695</v>
      </c>
      <c r="C201" s="962"/>
      <c r="D201" s="967" t="s">
        <v>1696</v>
      </c>
      <c r="E201" s="335">
        <v>893.08781642688041</v>
      </c>
      <c r="F201" s="310" t="s">
        <v>236</v>
      </c>
    </row>
    <row r="202" spans="1:63" s="934" customFormat="1" ht="15" customHeight="1">
      <c r="A202" s="935" t="s">
        <v>1560</v>
      </c>
      <c r="B202" s="936"/>
      <c r="C202" s="1513" t="s">
        <v>1697</v>
      </c>
      <c r="D202" s="935"/>
      <c r="E202" s="328"/>
      <c r="F202" s="328"/>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1562</v>
      </c>
      <c r="B203" s="943"/>
      <c r="C203" s="1514"/>
      <c r="D203" s="944"/>
      <c r="E203" s="379"/>
      <c r="F203" s="379"/>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405</v>
      </c>
      <c r="B204" s="952" t="s">
        <v>406</v>
      </c>
      <c r="C204" s="294" t="s">
        <v>407</v>
      </c>
      <c r="D204" s="951" t="s">
        <v>408</v>
      </c>
      <c r="E204" s="295" t="s">
        <v>409</v>
      </c>
      <c r="F204" s="296" t="s">
        <v>1563</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 customHeight="1">
      <c r="A205" s="977"/>
      <c r="B205" s="978"/>
      <c r="C205" s="979" t="s">
        <v>1571</v>
      </c>
      <c r="D205" s="980"/>
      <c r="E205" s="303"/>
      <c r="F205" s="304"/>
    </row>
    <row r="206" spans="1:63" ht="14" customHeight="1">
      <c r="A206" s="981"/>
      <c r="B206" s="982" t="s">
        <v>1698</v>
      </c>
      <c r="C206" s="983" t="s">
        <v>1699</v>
      </c>
      <c r="D206" s="967" t="s">
        <v>1574</v>
      </c>
      <c r="E206" s="335">
        <v>1516.8500000000001</v>
      </c>
      <c r="F206" s="310" t="s">
        <v>236</v>
      </c>
    </row>
    <row r="207" spans="1:63" ht="14" customHeight="1">
      <c r="A207" s="981"/>
      <c r="B207" s="982" t="s">
        <v>1700</v>
      </c>
      <c r="C207" s="983" t="s">
        <v>1576</v>
      </c>
      <c r="D207" s="967" t="s">
        <v>1577</v>
      </c>
      <c r="E207" s="335">
        <v>1577.9333333333334</v>
      </c>
      <c r="F207" s="310" t="s">
        <v>236</v>
      </c>
    </row>
    <row r="208" spans="1:63" ht="14" customHeight="1">
      <c r="A208" s="981"/>
      <c r="B208" s="982" t="s">
        <v>1701</v>
      </c>
      <c r="C208" s="968" t="s">
        <v>1579</v>
      </c>
      <c r="D208" s="967" t="s">
        <v>1580</v>
      </c>
      <c r="E208" s="335">
        <v>1651.4666666666667</v>
      </c>
      <c r="F208" s="310" t="s">
        <v>236</v>
      </c>
    </row>
    <row r="209" spans="1:6" ht="14" customHeight="1">
      <c r="A209" s="981"/>
      <c r="B209" s="982" t="s">
        <v>1702</v>
      </c>
      <c r="C209" s="983"/>
      <c r="D209" s="967" t="s">
        <v>1582</v>
      </c>
      <c r="E209" s="335">
        <v>1653.7666666666667</v>
      </c>
      <c r="F209" s="310" t="s">
        <v>236</v>
      </c>
    </row>
    <row r="210" spans="1:6" ht="14" customHeight="1">
      <c r="A210" s="981"/>
      <c r="B210" s="982" t="s">
        <v>1703</v>
      </c>
      <c r="C210" s="983"/>
      <c r="D210" s="967" t="s">
        <v>1584</v>
      </c>
      <c r="E210" s="335">
        <v>1717.2333333333333</v>
      </c>
      <c r="F210" s="310" t="s">
        <v>236</v>
      </c>
    </row>
    <row r="211" spans="1:6" ht="14" customHeight="1">
      <c r="A211" s="981"/>
      <c r="B211" s="982"/>
      <c r="C211" s="983"/>
      <c r="D211" s="967"/>
      <c r="E211" s="335"/>
      <c r="F211" s="389"/>
    </row>
    <row r="212" spans="1:6" ht="14" customHeight="1">
      <c r="A212" s="981"/>
      <c r="B212" s="982"/>
      <c r="C212" s="983"/>
      <c r="D212" s="967"/>
      <c r="E212" s="335"/>
      <c r="F212" s="389"/>
    </row>
    <row r="213" spans="1:6" ht="14" customHeight="1">
      <c r="A213" s="981"/>
      <c r="B213" s="982"/>
      <c r="C213" s="983"/>
      <c r="D213" s="967"/>
      <c r="E213" s="335"/>
      <c r="F213" s="389"/>
    </row>
    <row r="214" spans="1:6" ht="14" customHeight="1">
      <c r="A214" s="981"/>
      <c r="B214" s="982"/>
      <c r="C214" s="983"/>
      <c r="D214" s="967"/>
      <c r="E214" s="335"/>
      <c r="F214" s="389"/>
    </row>
    <row r="215" spans="1:6" ht="14" customHeight="1">
      <c r="A215" s="981"/>
      <c r="B215" s="982" t="s">
        <v>1704</v>
      </c>
      <c r="C215" s="983" t="s">
        <v>1699</v>
      </c>
      <c r="D215" s="967" t="s">
        <v>1586</v>
      </c>
      <c r="E215" s="335">
        <v>1905.7333333333336</v>
      </c>
      <c r="F215" s="310" t="s">
        <v>236</v>
      </c>
    </row>
    <row r="216" spans="1:6" ht="14" customHeight="1">
      <c r="A216" s="981"/>
      <c r="B216" s="982" t="s">
        <v>1705</v>
      </c>
      <c r="C216" s="983" t="s">
        <v>1576</v>
      </c>
      <c r="D216" s="967" t="s">
        <v>1588</v>
      </c>
      <c r="E216" s="335">
        <v>2021.2166666666667</v>
      </c>
      <c r="F216" s="310" t="s">
        <v>236</v>
      </c>
    </row>
    <row r="217" spans="1:6" ht="14" customHeight="1">
      <c r="A217" s="981"/>
      <c r="B217" s="982" t="s">
        <v>1706</v>
      </c>
      <c r="C217" s="968" t="s">
        <v>1590</v>
      </c>
      <c r="D217" s="967" t="s">
        <v>1591</v>
      </c>
      <c r="E217" s="335">
        <v>2061.75</v>
      </c>
      <c r="F217" s="310" t="s">
        <v>236</v>
      </c>
    </row>
    <row r="218" spans="1:6" ht="14" customHeight="1">
      <c r="A218" s="981"/>
      <c r="B218" s="982" t="s">
        <v>1707</v>
      </c>
      <c r="C218" s="983"/>
      <c r="D218" s="967" t="s">
        <v>1593</v>
      </c>
      <c r="E218" s="335">
        <v>2314.0666666666671</v>
      </c>
      <c r="F218" s="310" t="s">
        <v>236</v>
      </c>
    </row>
    <row r="219" spans="1:6" ht="14" customHeight="1">
      <c r="A219" s="981"/>
      <c r="B219" s="982"/>
      <c r="C219" s="921"/>
      <c r="D219" s="967"/>
      <c r="E219" s="335"/>
      <c r="F219" s="389"/>
    </row>
    <row r="220" spans="1:6" ht="14" customHeight="1">
      <c r="A220" s="981"/>
      <c r="B220" s="984"/>
      <c r="C220" s="921"/>
      <c r="D220" s="967"/>
      <c r="E220" s="335"/>
      <c r="F220" s="373"/>
    </row>
    <row r="221" spans="1:6" ht="14" customHeight="1">
      <c r="A221" s="981"/>
      <c r="B221" s="984"/>
      <c r="C221" s="983"/>
      <c r="D221" s="967"/>
      <c r="E221" s="335"/>
      <c r="F221" s="389"/>
    </row>
    <row r="222" spans="1:6" ht="14" customHeight="1">
      <c r="A222" s="981"/>
      <c r="B222" s="984"/>
      <c r="C222" s="983"/>
      <c r="D222" s="967"/>
      <c r="E222" s="335"/>
      <c r="F222" s="389"/>
    </row>
    <row r="223" spans="1:6" ht="14" customHeight="1">
      <c r="A223" s="977"/>
      <c r="B223" s="978"/>
      <c r="C223" s="979" t="s">
        <v>1594</v>
      </c>
      <c r="D223" s="980"/>
      <c r="E223" s="980"/>
      <c r="F223" s="364"/>
    </row>
    <row r="224" spans="1:6" ht="14" customHeight="1">
      <c r="A224" s="981"/>
      <c r="B224" s="982" t="s">
        <v>1708</v>
      </c>
      <c r="C224" s="983" t="s">
        <v>1709</v>
      </c>
      <c r="D224" s="967" t="s">
        <v>1574</v>
      </c>
      <c r="E224" s="335">
        <v>1940.0333333333333</v>
      </c>
      <c r="F224" s="310" t="s">
        <v>236</v>
      </c>
    </row>
    <row r="225" spans="1:6" ht="14" customHeight="1">
      <c r="A225" s="981"/>
      <c r="B225" s="982" t="s">
        <v>1710</v>
      </c>
      <c r="C225" s="983" t="s">
        <v>1576</v>
      </c>
      <c r="D225" s="967" t="s">
        <v>1577</v>
      </c>
      <c r="E225" s="335">
        <v>1998.5166666666667</v>
      </c>
      <c r="F225" s="310" t="s">
        <v>236</v>
      </c>
    </row>
    <row r="226" spans="1:6" ht="14" customHeight="1">
      <c r="A226" s="981"/>
      <c r="B226" s="982" t="s">
        <v>1711</v>
      </c>
      <c r="C226" s="968" t="s">
        <v>1579</v>
      </c>
      <c r="D226" s="967" t="s">
        <v>1580</v>
      </c>
      <c r="E226" s="335">
        <v>2070.0833333333335</v>
      </c>
      <c r="F226" s="310" t="s">
        <v>236</v>
      </c>
    </row>
    <row r="227" spans="1:6" ht="14" customHeight="1">
      <c r="A227" s="981"/>
      <c r="B227" s="982" t="s">
        <v>1712</v>
      </c>
      <c r="C227" s="983"/>
      <c r="D227" s="967" t="s">
        <v>1582</v>
      </c>
      <c r="E227" s="335">
        <v>2072.3666666666668</v>
      </c>
      <c r="F227" s="310" t="s">
        <v>236</v>
      </c>
    </row>
    <row r="228" spans="1:6" ht="14" customHeight="1">
      <c r="A228" s="981"/>
      <c r="B228" s="982" t="s">
        <v>1713</v>
      </c>
      <c r="C228" s="983"/>
      <c r="D228" s="967" t="s">
        <v>1584</v>
      </c>
      <c r="E228" s="335">
        <v>2133.1</v>
      </c>
      <c r="F228" s="310" t="s">
        <v>236</v>
      </c>
    </row>
    <row r="229" spans="1:6" ht="14" customHeight="1">
      <c r="A229" s="981"/>
      <c r="B229" s="982"/>
      <c r="C229" s="983"/>
      <c r="D229" s="967"/>
      <c r="E229" s="335"/>
      <c r="F229" s="389"/>
    </row>
    <row r="230" spans="1:6" ht="14" customHeight="1">
      <c r="A230" s="981"/>
      <c r="B230" s="982"/>
      <c r="C230" s="983"/>
      <c r="D230" s="967"/>
      <c r="E230" s="335"/>
      <c r="F230" s="389"/>
    </row>
    <row r="231" spans="1:6" ht="14" customHeight="1">
      <c r="A231" s="981"/>
      <c r="B231" s="982"/>
      <c r="C231" s="983"/>
      <c r="D231" s="967"/>
      <c r="E231" s="335"/>
      <c r="F231" s="389"/>
    </row>
    <row r="232" spans="1:6" ht="14" customHeight="1">
      <c r="A232" s="981"/>
      <c r="B232" s="982"/>
      <c r="C232" s="983"/>
      <c r="D232" s="967"/>
      <c r="E232" s="335"/>
      <c r="F232" s="389"/>
    </row>
    <row r="233" spans="1:6" ht="14" customHeight="1">
      <c r="A233" s="981"/>
      <c r="B233" s="982" t="s">
        <v>1714</v>
      </c>
      <c r="C233" s="983" t="s">
        <v>1709</v>
      </c>
      <c r="D233" s="967" t="s">
        <v>1586</v>
      </c>
      <c r="E233" s="335">
        <v>2743.05</v>
      </c>
      <c r="F233" s="310" t="s">
        <v>236</v>
      </c>
    </row>
    <row r="234" spans="1:6" ht="14" customHeight="1">
      <c r="A234" s="981"/>
      <c r="B234" s="982" t="s">
        <v>1715</v>
      </c>
      <c r="C234" s="983" t="s">
        <v>1576</v>
      </c>
      <c r="D234" s="967" t="s">
        <v>1588</v>
      </c>
      <c r="E234" s="335">
        <v>2909.1333333333337</v>
      </c>
      <c r="F234" s="310" t="s">
        <v>236</v>
      </c>
    </row>
    <row r="235" spans="1:6" ht="14" customHeight="1">
      <c r="A235" s="981"/>
      <c r="B235" s="982" t="s">
        <v>1716</v>
      </c>
      <c r="C235" s="968" t="s">
        <v>1590</v>
      </c>
      <c r="D235" s="967" t="s">
        <v>1591</v>
      </c>
      <c r="E235" s="335">
        <v>2949.6666666666665</v>
      </c>
      <c r="F235" s="310" t="s">
        <v>236</v>
      </c>
    </row>
    <row r="236" spans="1:6" ht="14" customHeight="1">
      <c r="A236" s="981"/>
      <c r="B236" s="982" t="s">
        <v>1717</v>
      </c>
      <c r="C236" s="983"/>
      <c r="D236" s="967" t="s">
        <v>1593</v>
      </c>
      <c r="E236" s="335">
        <v>3148.7833333333333</v>
      </c>
      <c r="F236" s="310" t="s">
        <v>236</v>
      </c>
    </row>
    <row r="237" spans="1:6" ht="14" customHeight="1">
      <c r="A237" s="981"/>
      <c r="B237" s="982"/>
      <c r="C237" s="921"/>
      <c r="D237" s="967"/>
      <c r="E237" s="335"/>
      <c r="F237" s="389"/>
    </row>
    <row r="238" spans="1:6" ht="14" customHeight="1">
      <c r="A238" s="981"/>
      <c r="B238" s="982"/>
      <c r="C238" s="921"/>
      <c r="D238" s="967"/>
      <c r="E238" s="335"/>
      <c r="F238" s="373"/>
    </row>
    <row r="239" spans="1:6" ht="14" customHeight="1">
      <c r="A239" s="981"/>
      <c r="B239" s="984"/>
      <c r="C239" s="983"/>
      <c r="D239" s="967"/>
      <c r="E239" s="335"/>
      <c r="F239" s="389"/>
    </row>
    <row r="240" spans="1:6" ht="14" customHeight="1">
      <c r="A240" s="981"/>
      <c r="B240" s="984"/>
      <c r="C240" s="983"/>
      <c r="D240" s="967"/>
      <c r="E240" s="335"/>
      <c r="F240" s="389"/>
    </row>
    <row r="241" spans="1:6" ht="14" customHeight="1">
      <c r="A241" s="955"/>
      <c r="B241" s="989"/>
      <c r="C241" s="979" t="s">
        <v>1617</v>
      </c>
      <c r="D241" s="990"/>
      <c r="E241" s="990"/>
      <c r="F241" s="391"/>
    </row>
    <row r="242" spans="1:6" ht="14" customHeight="1">
      <c r="A242" s="981"/>
      <c r="B242" s="982" t="s">
        <v>1718</v>
      </c>
      <c r="C242" s="983" t="s">
        <v>1719</v>
      </c>
      <c r="D242" s="967" t="s">
        <v>1574</v>
      </c>
      <c r="E242" s="335">
        <v>1038.4333333333334</v>
      </c>
      <c r="F242" s="310" t="s">
        <v>236</v>
      </c>
    </row>
    <row r="243" spans="1:6" ht="14" customHeight="1">
      <c r="A243" s="981"/>
      <c r="B243" s="982" t="s">
        <v>1720</v>
      </c>
      <c r="C243" s="983" t="s">
        <v>1576</v>
      </c>
      <c r="D243" s="967" t="s">
        <v>1577</v>
      </c>
      <c r="E243" s="335">
        <v>1099.5333333333335</v>
      </c>
      <c r="F243" s="310" t="s">
        <v>236</v>
      </c>
    </row>
    <row r="244" spans="1:6" ht="14" customHeight="1">
      <c r="A244" s="981"/>
      <c r="B244" s="982" t="s">
        <v>1721</v>
      </c>
      <c r="C244" s="968" t="s">
        <v>1579</v>
      </c>
      <c r="D244" s="967" t="s">
        <v>1580</v>
      </c>
      <c r="E244" s="335">
        <v>1173.0500000000002</v>
      </c>
      <c r="F244" s="310" t="s">
        <v>236</v>
      </c>
    </row>
    <row r="245" spans="1:6" ht="14" customHeight="1">
      <c r="A245" s="981"/>
      <c r="B245" s="982" t="s">
        <v>1722</v>
      </c>
      <c r="C245" s="983"/>
      <c r="D245" s="967" t="s">
        <v>1582</v>
      </c>
      <c r="E245" s="335">
        <v>1175.3500000000001</v>
      </c>
      <c r="F245" s="310" t="s">
        <v>236</v>
      </c>
    </row>
    <row r="246" spans="1:6" ht="14" customHeight="1">
      <c r="A246" s="981"/>
      <c r="B246" s="982" t="s">
        <v>1723</v>
      </c>
      <c r="C246" s="962"/>
      <c r="D246" s="967" t="s">
        <v>1584</v>
      </c>
      <c r="E246" s="335">
        <v>1238.8166666666666</v>
      </c>
      <c r="F246" s="310" t="s">
        <v>236</v>
      </c>
    </row>
    <row r="247" spans="1:6" ht="14" customHeight="1">
      <c r="A247" s="981"/>
      <c r="B247" s="982"/>
      <c r="C247" s="983"/>
      <c r="D247" s="967"/>
      <c r="E247" s="335"/>
      <c r="F247" s="389"/>
    </row>
    <row r="248" spans="1:6" ht="14" customHeight="1">
      <c r="A248" s="981"/>
      <c r="B248" s="982" t="s">
        <v>1724</v>
      </c>
      <c r="C248" s="983" t="s">
        <v>1719</v>
      </c>
      <c r="D248" s="967" t="s">
        <v>1586</v>
      </c>
      <c r="E248" s="335">
        <v>1427.3166666666666</v>
      </c>
      <c r="F248" s="310" t="s">
        <v>236</v>
      </c>
    </row>
    <row r="249" spans="1:6" ht="14" customHeight="1">
      <c r="A249" s="981"/>
      <c r="B249" s="982" t="s">
        <v>1725</v>
      </c>
      <c r="C249" s="983" t="s">
        <v>1576</v>
      </c>
      <c r="D249" s="967" t="s">
        <v>1588</v>
      </c>
      <c r="E249" s="335">
        <v>1542.8</v>
      </c>
      <c r="F249" s="310" t="s">
        <v>236</v>
      </c>
    </row>
    <row r="250" spans="1:6" ht="14" customHeight="1">
      <c r="A250" s="981"/>
      <c r="B250" s="982" t="s">
        <v>1726</v>
      </c>
      <c r="C250" s="968" t="s">
        <v>1590</v>
      </c>
      <c r="D250" s="967" t="s">
        <v>1591</v>
      </c>
      <c r="E250" s="335">
        <v>1583.3333333333335</v>
      </c>
      <c r="F250" s="310" t="s">
        <v>236</v>
      </c>
    </row>
    <row r="251" spans="1:6" ht="14" customHeight="1">
      <c r="A251" s="981"/>
      <c r="B251" s="982" t="s">
        <v>1727</v>
      </c>
      <c r="C251" s="983"/>
      <c r="D251" s="967" t="s">
        <v>1593</v>
      </c>
      <c r="E251" s="335">
        <v>1822.1333333333334</v>
      </c>
      <c r="F251" s="310" t="s">
        <v>236</v>
      </c>
    </row>
    <row r="252" spans="1:6" ht="14" customHeight="1">
      <c r="A252" s="981"/>
      <c r="B252" s="984"/>
      <c r="C252" s="983"/>
      <c r="D252" s="967"/>
      <c r="E252" s="335"/>
      <c r="F252" s="389"/>
    </row>
    <row r="253" spans="1:6" ht="14" customHeight="1">
      <c r="A253" s="955"/>
      <c r="B253" s="989"/>
      <c r="C253" s="979" t="s">
        <v>1628</v>
      </c>
      <c r="D253" s="990"/>
      <c r="E253" s="990"/>
      <c r="F253" s="391"/>
    </row>
    <row r="254" spans="1:6" ht="14" customHeight="1">
      <c r="A254" s="981"/>
      <c r="B254" s="982" t="s">
        <v>1728</v>
      </c>
      <c r="C254" s="983" t="s">
        <v>1729</v>
      </c>
      <c r="D254" s="967" t="s">
        <v>1574</v>
      </c>
      <c r="E254" s="335">
        <v>1654.9833333333333</v>
      </c>
      <c r="F254" s="310" t="s">
        <v>236</v>
      </c>
    </row>
    <row r="255" spans="1:6" ht="14" customHeight="1">
      <c r="A255" s="981"/>
      <c r="B255" s="982" t="s">
        <v>1730</v>
      </c>
      <c r="C255" s="983" t="s">
        <v>1576</v>
      </c>
      <c r="D255" s="967" t="s">
        <v>1577</v>
      </c>
      <c r="E255" s="335">
        <v>1721.8166666666666</v>
      </c>
      <c r="F255" s="310" t="s">
        <v>236</v>
      </c>
    </row>
    <row r="256" spans="1:6" ht="14" customHeight="1">
      <c r="A256" s="981"/>
      <c r="B256" s="982" t="s">
        <v>1731</v>
      </c>
      <c r="C256" s="968" t="s">
        <v>1579</v>
      </c>
      <c r="D256" s="967" t="s">
        <v>1580</v>
      </c>
      <c r="E256" s="335">
        <v>1775.8000000000002</v>
      </c>
      <c r="F256" s="310" t="s">
        <v>236</v>
      </c>
    </row>
    <row r="257" spans="1:63" ht="14" customHeight="1">
      <c r="A257" s="981"/>
      <c r="B257" s="982" t="s">
        <v>1732</v>
      </c>
      <c r="C257" s="983"/>
      <c r="D257" s="967" t="s">
        <v>1582</v>
      </c>
      <c r="E257" s="335">
        <v>1834.0166666666669</v>
      </c>
      <c r="F257" s="310" t="s">
        <v>236</v>
      </c>
    </row>
    <row r="258" spans="1:63" ht="14" customHeight="1">
      <c r="A258" s="981"/>
      <c r="B258" s="982" t="s">
        <v>1733</v>
      </c>
      <c r="C258" s="962"/>
      <c r="D258" s="967" t="s">
        <v>1584</v>
      </c>
      <c r="E258" s="335">
        <v>1875.6333333333337</v>
      </c>
      <c r="F258" s="310" t="s">
        <v>236</v>
      </c>
    </row>
    <row r="259" spans="1:63" ht="14" customHeight="1">
      <c r="A259" s="981"/>
      <c r="B259" s="982"/>
      <c r="C259" s="983"/>
      <c r="D259" s="967"/>
      <c r="E259" s="335"/>
      <c r="F259" s="389"/>
    </row>
    <row r="260" spans="1:63" ht="14" customHeight="1">
      <c r="A260" s="981"/>
      <c r="B260" s="982" t="s">
        <v>1734</v>
      </c>
      <c r="C260" s="983" t="s">
        <v>1729</v>
      </c>
      <c r="D260" s="967" t="s">
        <v>1586</v>
      </c>
      <c r="E260" s="335">
        <v>2572.7166666666672</v>
      </c>
      <c r="F260" s="310" t="s">
        <v>236</v>
      </c>
    </row>
    <row r="261" spans="1:63" ht="14" customHeight="1">
      <c r="A261" s="981"/>
      <c r="B261" s="982" t="s">
        <v>1735</v>
      </c>
      <c r="C261" s="983" t="s">
        <v>1576</v>
      </c>
      <c r="D261" s="967" t="s">
        <v>1588</v>
      </c>
      <c r="E261" s="335">
        <v>2762.5166666666669</v>
      </c>
      <c r="F261" s="310" t="s">
        <v>236</v>
      </c>
    </row>
    <row r="262" spans="1:63" ht="14" customHeight="1">
      <c r="A262" s="981"/>
      <c r="B262" s="982" t="s">
        <v>1736</v>
      </c>
      <c r="C262" s="968" t="s">
        <v>1590</v>
      </c>
      <c r="D262" s="967" t="s">
        <v>1591</v>
      </c>
      <c r="E262" s="335">
        <v>2808.85</v>
      </c>
      <c r="F262" s="310" t="s">
        <v>236</v>
      </c>
    </row>
    <row r="263" spans="1:63" ht="14" customHeight="1">
      <c r="A263" s="981"/>
      <c r="B263" s="982" t="s">
        <v>1737</v>
      </c>
      <c r="C263" s="983"/>
      <c r="D263" s="967" t="s">
        <v>1593</v>
      </c>
      <c r="E263" s="335">
        <v>3020.9666666666667</v>
      </c>
      <c r="F263" s="310" t="s">
        <v>236</v>
      </c>
    </row>
    <row r="264" spans="1:63" ht="14" customHeight="1">
      <c r="A264" s="981"/>
      <c r="B264" s="984"/>
      <c r="C264" s="983"/>
      <c r="D264" s="967"/>
      <c r="E264" s="320"/>
      <c r="F264" s="389"/>
    </row>
    <row r="265" spans="1:63" ht="14" customHeight="1">
      <c r="A265" s="981"/>
      <c r="B265" s="984"/>
      <c r="C265" s="1004"/>
      <c r="D265" s="967"/>
      <c r="E265" s="320"/>
      <c r="F265" s="389"/>
    </row>
    <row r="266" spans="1:63" ht="14" customHeight="1">
      <c r="A266" s="981"/>
      <c r="B266" s="984"/>
      <c r="C266" s="1004"/>
      <c r="D266" s="967"/>
      <c r="E266" s="320"/>
      <c r="F266" s="389"/>
    </row>
    <row r="267" spans="1:63" s="934" customFormat="1" ht="15" customHeight="1">
      <c r="A267" s="935" t="s">
        <v>1560</v>
      </c>
      <c r="B267" s="936"/>
      <c r="C267" s="1513" t="s">
        <v>1738</v>
      </c>
      <c r="D267" s="935"/>
      <c r="E267" s="328"/>
      <c r="F267" s="328"/>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1562</v>
      </c>
      <c r="B268" s="943"/>
      <c r="C268" s="1514"/>
      <c r="D268" s="944"/>
      <c r="E268" s="379"/>
      <c r="F268" s="379"/>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405</v>
      </c>
      <c r="B269" s="952" t="s">
        <v>406</v>
      </c>
      <c r="C269" s="294" t="s">
        <v>407</v>
      </c>
      <c r="D269" s="951" t="s">
        <v>408</v>
      </c>
      <c r="E269" s="295" t="s">
        <v>409</v>
      </c>
      <c r="F269" s="296" t="s">
        <v>1563</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 customHeight="1">
      <c r="A270" s="977"/>
      <c r="B270" s="978"/>
      <c r="C270" s="979" t="s">
        <v>1739</v>
      </c>
      <c r="D270" s="980"/>
      <c r="E270" s="303"/>
      <c r="F270" s="304"/>
    </row>
    <row r="271" spans="1:63" ht="14" customHeight="1">
      <c r="A271" s="981"/>
      <c r="B271" s="982" t="s">
        <v>1740</v>
      </c>
      <c r="C271" s="983" t="s">
        <v>1741</v>
      </c>
      <c r="D271" s="967" t="s">
        <v>1574</v>
      </c>
      <c r="E271" s="335">
        <v>2152.9500000000003</v>
      </c>
      <c r="F271" s="310" t="s">
        <v>236</v>
      </c>
    </row>
    <row r="272" spans="1:63" ht="14" customHeight="1">
      <c r="A272" s="981"/>
      <c r="B272" s="982" t="s">
        <v>1742</v>
      </c>
      <c r="C272" s="983" t="s">
        <v>1576</v>
      </c>
      <c r="D272" s="967" t="s">
        <v>1577</v>
      </c>
      <c r="E272" s="335">
        <v>2265.0500000000002</v>
      </c>
      <c r="F272" s="310" t="s">
        <v>236</v>
      </c>
    </row>
    <row r="273" spans="1:6" ht="14" customHeight="1">
      <c r="A273" s="981"/>
      <c r="B273" s="982" t="s">
        <v>1743</v>
      </c>
      <c r="C273" s="968" t="s">
        <v>1579</v>
      </c>
      <c r="D273" s="967" t="s">
        <v>1580</v>
      </c>
      <c r="E273" s="335">
        <v>2393.4499999999998</v>
      </c>
      <c r="F273" s="310" t="s">
        <v>236</v>
      </c>
    </row>
    <row r="274" spans="1:6" ht="14" customHeight="1">
      <c r="A274" s="981"/>
      <c r="B274" s="982" t="s">
        <v>1744</v>
      </c>
      <c r="C274" s="983"/>
      <c r="D274" s="967" t="s">
        <v>1582</v>
      </c>
      <c r="E274" s="335">
        <v>2456.1333333333337</v>
      </c>
      <c r="F274" s="310" t="s">
        <v>236</v>
      </c>
    </row>
    <row r="275" spans="1:6" ht="14" customHeight="1">
      <c r="A275" s="981"/>
      <c r="B275" s="982" t="s">
        <v>1745</v>
      </c>
      <c r="C275" s="983"/>
      <c r="D275" s="967" t="s">
        <v>1584</v>
      </c>
      <c r="E275" s="335">
        <v>2604.8166666666671</v>
      </c>
      <c r="F275" s="310" t="s">
        <v>236</v>
      </c>
    </row>
    <row r="276" spans="1:6" ht="14" customHeight="1">
      <c r="A276" s="981"/>
      <c r="B276" s="982"/>
      <c r="C276" s="983"/>
      <c r="D276" s="967"/>
      <c r="E276" s="335"/>
      <c r="F276" s="389"/>
    </row>
    <row r="277" spans="1:6" ht="14" customHeight="1">
      <c r="A277" s="981"/>
      <c r="B277" s="982"/>
      <c r="C277" s="983"/>
      <c r="D277" s="967"/>
      <c r="E277" s="335"/>
      <c r="F277" s="389"/>
    </row>
    <row r="278" spans="1:6" ht="14" customHeight="1">
      <c r="A278" s="981"/>
      <c r="B278" s="982"/>
      <c r="C278" s="983"/>
      <c r="D278" s="967"/>
      <c r="E278" s="335"/>
      <c r="F278" s="389"/>
    </row>
    <row r="279" spans="1:6" ht="14" customHeight="1">
      <c r="A279" s="981"/>
      <c r="B279" s="982"/>
      <c r="C279" s="983"/>
      <c r="D279" s="967"/>
      <c r="E279" s="335"/>
      <c r="F279" s="389"/>
    </row>
    <row r="280" spans="1:6" ht="14" customHeight="1">
      <c r="A280" s="981"/>
      <c r="B280" s="982" t="s">
        <v>1746</v>
      </c>
      <c r="C280" s="983" t="s">
        <v>1741</v>
      </c>
      <c r="D280" s="967" t="s">
        <v>1586</v>
      </c>
      <c r="E280" s="335">
        <v>2782.0333333333333</v>
      </c>
      <c r="F280" s="310" t="s">
        <v>236</v>
      </c>
    </row>
    <row r="281" spans="1:6" ht="14" customHeight="1">
      <c r="A281" s="981"/>
      <c r="B281" s="982" t="s">
        <v>1747</v>
      </c>
      <c r="C281" s="983" t="s">
        <v>1576</v>
      </c>
      <c r="D281" s="967" t="s">
        <v>1588</v>
      </c>
      <c r="E281" s="335">
        <v>3025.05</v>
      </c>
      <c r="F281" s="310" t="s">
        <v>236</v>
      </c>
    </row>
    <row r="282" spans="1:6" ht="14" customHeight="1">
      <c r="A282" s="981"/>
      <c r="B282" s="982" t="s">
        <v>1748</v>
      </c>
      <c r="C282" s="968" t="s">
        <v>1590</v>
      </c>
      <c r="D282" s="967" t="s">
        <v>1591</v>
      </c>
      <c r="E282" s="335">
        <v>3081.55</v>
      </c>
      <c r="F282" s="310" t="s">
        <v>236</v>
      </c>
    </row>
    <row r="283" spans="1:6" ht="14" customHeight="1">
      <c r="A283" s="981"/>
      <c r="B283" s="982" t="s">
        <v>1749</v>
      </c>
      <c r="C283" s="983"/>
      <c r="D283" s="967" t="s">
        <v>1593</v>
      </c>
      <c r="E283" s="335">
        <v>3253.5833333333335</v>
      </c>
      <c r="F283" s="310" t="s">
        <v>236</v>
      </c>
    </row>
    <row r="284" spans="1:6" ht="14" customHeight="1">
      <c r="A284" s="981"/>
      <c r="B284" s="982"/>
      <c r="C284" s="921"/>
      <c r="D284" s="967"/>
      <c r="E284" s="335"/>
      <c r="F284" s="389"/>
    </row>
    <row r="285" spans="1:6" ht="14" customHeight="1">
      <c r="A285" s="981"/>
      <c r="B285" s="984"/>
      <c r="C285" s="921"/>
      <c r="D285" s="967"/>
      <c r="E285" s="335"/>
      <c r="F285" s="373"/>
    </row>
    <row r="286" spans="1:6" ht="14" customHeight="1">
      <c r="A286" s="981"/>
      <c r="B286" s="984"/>
      <c r="C286" s="983"/>
      <c r="D286" s="967"/>
      <c r="E286" s="335"/>
      <c r="F286" s="389"/>
    </row>
    <row r="287" spans="1:6" ht="14" customHeight="1">
      <c r="A287" s="981"/>
      <c r="B287" s="984"/>
      <c r="C287" s="983"/>
      <c r="D287" s="967"/>
      <c r="E287" s="335"/>
      <c r="F287" s="389"/>
    </row>
    <row r="288" spans="1:6" ht="14" customHeight="1">
      <c r="A288" s="977"/>
      <c r="B288" s="978"/>
      <c r="C288" s="979" t="s">
        <v>1750</v>
      </c>
      <c r="D288" s="980"/>
      <c r="E288" s="980"/>
      <c r="F288" s="364"/>
    </row>
    <row r="289" spans="1:6" ht="14" customHeight="1">
      <c r="A289" s="981"/>
      <c r="B289" s="982" t="s">
        <v>1751</v>
      </c>
      <c r="C289" s="983" t="s">
        <v>1752</v>
      </c>
      <c r="D289" s="967" t="s">
        <v>1574</v>
      </c>
      <c r="E289" s="335">
        <v>2558.5500000000002</v>
      </c>
      <c r="F289" s="310" t="s">
        <v>236</v>
      </c>
    </row>
    <row r="290" spans="1:6" ht="14" customHeight="1">
      <c r="A290" s="981"/>
      <c r="B290" s="982" t="s">
        <v>1753</v>
      </c>
      <c r="C290" s="983" t="s">
        <v>1576</v>
      </c>
      <c r="D290" s="967" t="s">
        <v>1577</v>
      </c>
      <c r="E290" s="335">
        <v>2675.0333333333333</v>
      </c>
      <c r="F290" s="310" t="s">
        <v>236</v>
      </c>
    </row>
    <row r="291" spans="1:6" ht="14" customHeight="1">
      <c r="A291" s="981"/>
      <c r="B291" s="982" t="s">
        <v>1754</v>
      </c>
      <c r="C291" s="968" t="s">
        <v>1579</v>
      </c>
      <c r="D291" s="967" t="s">
        <v>1580</v>
      </c>
      <c r="E291" s="335">
        <v>2793.3</v>
      </c>
      <c r="F291" s="310" t="s">
        <v>236</v>
      </c>
    </row>
    <row r="292" spans="1:6" ht="14" customHeight="1">
      <c r="A292" s="981"/>
      <c r="B292" s="982" t="s">
        <v>1755</v>
      </c>
      <c r="C292" s="983"/>
      <c r="D292" s="967" t="s">
        <v>1582</v>
      </c>
      <c r="E292" s="335">
        <v>2847.7500000000005</v>
      </c>
      <c r="F292" s="310" t="s">
        <v>236</v>
      </c>
    </row>
    <row r="293" spans="1:6" ht="14" customHeight="1">
      <c r="A293" s="981"/>
      <c r="B293" s="982" t="s">
        <v>1756</v>
      </c>
      <c r="C293" s="983"/>
      <c r="D293" s="967" t="s">
        <v>1584</v>
      </c>
      <c r="E293" s="335">
        <v>2985.55</v>
      </c>
      <c r="F293" s="310" t="s">
        <v>236</v>
      </c>
    </row>
    <row r="294" spans="1:6" ht="14" customHeight="1">
      <c r="A294" s="981"/>
      <c r="B294" s="982"/>
      <c r="C294" s="983"/>
      <c r="D294" s="967"/>
      <c r="E294" s="335"/>
      <c r="F294" s="389"/>
    </row>
    <row r="295" spans="1:6" ht="14" customHeight="1">
      <c r="A295" s="981"/>
      <c r="B295" s="982"/>
      <c r="C295" s="983"/>
      <c r="D295" s="967"/>
      <c r="E295" s="335"/>
      <c r="F295" s="389"/>
    </row>
    <row r="296" spans="1:6" ht="14" customHeight="1">
      <c r="A296" s="981"/>
      <c r="B296" s="982"/>
      <c r="C296" s="983"/>
      <c r="D296" s="967"/>
      <c r="E296" s="335"/>
      <c r="F296" s="389"/>
    </row>
    <row r="297" spans="1:6" ht="14" customHeight="1">
      <c r="A297" s="981"/>
      <c r="B297" s="982"/>
      <c r="C297" s="983"/>
      <c r="D297" s="967"/>
      <c r="E297" s="335"/>
      <c r="F297" s="389"/>
    </row>
    <row r="298" spans="1:6" ht="14" customHeight="1">
      <c r="A298" s="981"/>
      <c r="B298" s="982" t="s">
        <v>1757</v>
      </c>
      <c r="C298" s="983" t="s">
        <v>1752</v>
      </c>
      <c r="D298" s="967" t="s">
        <v>1586</v>
      </c>
      <c r="E298" s="335">
        <v>3576.1</v>
      </c>
      <c r="F298" s="310" t="s">
        <v>236</v>
      </c>
    </row>
    <row r="299" spans="1:6" ht="14" customHeight="1">
      <c r="A299" s="981"/>
      <c r="B299" s="982" t="s">
        <v>1758</v>
      </c>
      <c r="C299" s="983" t="s">
        <v>1576</v>
      </c>
      <c r="D299" s="967" t="s">
        <v>1588</v>
      </c>
      <c r="E299" s="335">
        <v>3859.0666666666671</v>
      </c>
      <c r="F299" s="310" t="s">
        <v>236</v>
      </c>
    </row>
    <row r="300" spans="1:6" ht="14" customHeight="1">
      <c r="A300" s="981"/>
      <c r="B300" s="982" t="s">
        <v>1759</v>
      </c>
      <c r="C300" s="968" t="s">
        <v>1590</v>
      </c>
      <c r="D300" s="967" t="s">
        <v>1591</v>
      </c>
      <c r="E300" s="335">
        <v>3907.3166666666666</v>
      </c>
      <c r="F300" s="310" t="s">
        <v>236</v>
      </c>
    </row>
    <row r="301" spans="1:6" ht="14" customHeight="1">
      <c r="A301" s="981"/>
      <c r="B301" s="982" t="s">
        <v>1760</v>
      </c>
      <c r="C301" s="983"/>
      <c r="D301" s="967" t="s">
        <v>1593</v>
      </c>
      <c r="E301" s="335">
        <v>4068.0000000000005</v>
      </c>
      <c r="F301" s="310" t="s">
        <v>236</v>
      </c>
    </row>
    <row r="302" spans="1:6" ht="14" customHeight="1">
      <c r="A302" s="981"/>
      <c r="B302" s="982"/>
      <c r="C302" s="921"/>
      <c r="D302" s="967"/>
      <c r="E302" s="335"/>
      <c r="F302" s="389"/>
    </row>
    <row r="303" spans="1:6" ht="14" customHeight="1">
      <c r="A303" s="981"/>
      <c r="B303" s="982"/>
      <c r="C303" s="921"/>
      <c r="D303" s="967"/>
      <c r="E303" s="335"/>
      <c r="F303" s="373"/>
    </row>
    <row r="304" spans="1:6" ht="14" customHeight="1">
      <c r="A304" s="981"/>
      <c r="B304" s="984"/>
      <c r="C304" s="983"/>
      <c r="D304" s="967"/>
      <c r="E304" s="335"/>
      <c r="F304" s="389"/>
    </row>
    <row r="305" spans="1:6" ht="14" customHeight="1">
      <c r="A305" s="981"/>
      <c r="B305" s="984"/>
      <c r="C305" s="983"/>
      <c r="D305" s="967"/>
      <c r="E305" s="335"/>
      <c r="F305" s="389"/>
    </row>
    <row r="306" spans="1:6" ht="14" customHeight="1">
      <c r="A306" s="977"/>
      <c r="B306" s="978"/>
      <c r="C306" s="979" t="s">
        <v>1605</v>
      </c>
      <c r="D306" s="980"/>
      <c r="E306" s="980"/>
      <c r="F306" s="364"/>
    </row>
    <row r="307" spans="1:6" ht="14" customHeight="1">
      <c r="A307" s="981"/>
      <c r="B307" s="982" t="s">
        <v>1761</v>
      </c>
      <c r="C307" s="983" t="s">
        <v>1762</v>
      </c>
      <c r="D307" s="967" t="s">
        <v>1586</v>
      </c>
      <c r="E307" s="335">
        <v>3342.1</v>
      </c>
      <c r="F307" s="310" t="s">
        <v>236</v>
      </c>
    </row>
    <row r="308" spans="1:6" ht="14" customHeight="1">
      <c r="A308" s="981"/>
      <c r="B308" s="982" t="s">
        <v>1763</v>
      </c>
      <c r="C308" s="983" t="s">
        <v>1576</v>
      </c>
      <c r="D308" s="967" t="s">
        <v>1588</v>
      </c>
      <c r="E308" s="335">
        <v>3411.5000000000005</v>
      </c>
      <c r="F308" s="310" t="s">
        <v>236</v>
      </c>
    </row>
    <row r="309" spans="1:6" ht="14" customHeight="1">
      <c r="A309" s="981"/>
      <c r="B309" s="982" t="s">
        <v>1764</v>
      </c>
      <c r="C309" s="968" t="s">
        <v>1590</v>
      </c>
      <c r="D309" s="967" t="s">
        <v>1591</v>
      </c>
      <c r="E309" s="335">
        <v>3426.9333333333334</v>
      </c>
      <c r="F309" s="310" t="s">
        <v>236</v>
      </c>
    </row>
    <row r="310" spans="1:6" ht="14" customHeight="1">
      <c r="A310" s="986"/>
      <c r="B310" s="982" t="s">
        <v>1765</v>
      </c>
      <c r="C310" s="983"/>
      <c r="D310" s="967" t="s">
        <v>1593</v>
      </c>
      <c r="E310" s="335">
        <v>3538.7666666666673</v>
      </c>
      <c r="F310" s="310" t="s">
        <v>236</v>
      </c>
    </row>
    <row r="311" spans="1:6" ht="14" customHeight="1">
      <c r="A311" s="981"/>
      <c r="B311" s="982"/>
      <c r="C311" s="962"/>
      <c r="D311" s="967"/>
      <c r="E311" s="335"/>
      <c r="F311" s="389"/>
    </row>
    <row r="312" spans="1:6" ht="14" customHeight="1">
      <c r="A312" s="986"/>
      <c r="B312" s="982"/>
      <c r="D312" s="967"/>
      <c r="E312" s="335"/>
      <c r="F312" s="389"/>
    </row>
    <row r="313" spans="1:6" ht="14" customHeight="1">
      <c r="A313" s="981"/>
      <c r="B313" s="982"/>
      <c r="C313" s="983"/>
      <c r="D313" s="967"/>
      <c r="E313" s="335"/>
      <c r="F313" s="389"/>
    </row>
    <row r="314" spans="1:6" ht="14" customHeight="1">
      <c r="A314" s="981"/>
      <c r="B314" s="984"/>
      <c r="C314" s="983"/>
      <c r="D314" s="967"/>
      <c r="E314" s="335"/>
      <c r="F314" s="389"/>
    </row>
    <row r="315" spans="1:6" ht="14" customHeight="1">
      <c r="A315" s="981"/>
      <c r="B315" s="984"/>
      <c r="C315" s="983"/>
      <c r="D315" s="967"/>
      <c r="E315" s="335"/>
      <c r="F315" s="389"/>
    </row>
    <row r="316" spans="1:6" ht="14" customHeight="1">
      <c r="A316" s="955"/>
      <c r="B316" s="989"/>
      <c r="C316" s="979" t="s">
        <v>1766</v>
      </c>
      <c r="D316" s="990"/>
      <c r="E316" s="341"/>
      <c r="F316" s="391"/>
    </row>
    <row r="317" spans="1:6" ht="14" customHeight="1">
      <c r="A317" s="981"/>
      <c r="B317" s="982" t="s">
        <v>1611</v>
      </c>
      <c r="C317" s="983" t="s">
        <v>1767</v>
      </c>
      <c r="D317" s="967" t="s">
        <v>1586</v>
      </c>
      <c r="E317" s="442">
        <v>4533.3333333333339</v>
      </c>
      <c r="F317" s="352" t="s">
        <v>236</v>
      </c>
    </row>
    <row r="318" spans="1:6" ht="14" customHeight="1">
      <c r="A318" s="981"/>
      <c r="B318" s="982" t="s">
        <v>1613</v>
      </c>
      <c r="C318" s="983" t="s">
        <v>1576</v>
      </c>
      <c r="D318" s="967" t="s">
        <v>1588</v>
      </c>
      <c r="E318" s="442">
        <v>5657</v>
      </c>
      <c r="F318" s="352" t="s">
        <v>236</v>
      </c>
    </row>
    <row r="319" spans="1:6" ht="14" customHeight="1">
      <c r="A319" s="981"/>
      <c r="B319" s="982" t="s">
        <v>1614</v>
      </c>
      <c r="C319" s="968" t="s">
        <v>1590</v>
      </c>
      <c r="D319" s="967" t="s">
        <v>1591</v>
      </c>
      <c r="E319" s="442">
        <v>5692.7833333333338</v>
      </c>
      <c r="F319" s="352" t="s">
        <v>236</v>
      </c>
    </row>
    <row r="320" spans="1:6" ht="14" customHeight="1">
      <c r="A320" s="981"/>
      <c r="B320" s="982" t="s">
        <v>1616</v>
      </c>
      <c r="C320" s="988"/>
      <c r="D320" s="967" t="s">
        <v>1593</v>
      </c>
      <c r="E320" s="442">
        <v>5836.833333333333</v>
      </c>
      <c r="F320" s="352" t="s">
        <v>236</v>
      </c>
    </row>
    <row r="321" spans="1:63" ht="14" customHeight="1">
      <c r="A321" s="981"/>
      <c r="B321" s="982"/>
      <c r="C321" s="962"/>
      <c r="D321" s="967"/>
      <c r="E321" s="442"/>
      <c r="F321" s="389"/>
    </row>
    <row r="322" spans="1:63" ht="14" customHeight="1">
      <c r="A322" s="981"/>
      <c r="B322" s="982"/>
      <c r="C322" s="962"/>
      <c r="D322" s="967"/>
      <c r="E322" s="442"/>
      <c r="F322" s="377"/>
    </row>
    <row r="323" spans="1:63" ht="14" customHeight="1">
      <c r="A323" s="981"/>
      <c r="B323" s="982"/>
      <c r="C323" s="962"/>
      <c r="D323" s="967"/>
      <c r="E323" s="442"/>
      <c r="F323" s="377"/>
    </row>
    <row r="324" spans="1:63" ht="14" customHeight="1">
      <c r="A324" s="981"/>
      <c r="B324" s="984"/>
      <c r="C324" s="962"/>
      <c r="D324" s="967"/>
      <c r="E324" s="442"/>
      <c r="F324" s="321"/>
    </row>
    <row r="325" spans="1:63" ht="14" customHeight="1">
      <c r="A325" s="981"/>
      <c r="B325" s="984"/>
      <c r="C325" s="983"/>
      <c r="D325" s="967"/>
      <c r="E325" s="442"/>
      <c r="F325" s="321"/>
    </row>
    <row r="326" spans="1:63" ht="14" customHeight="1">
      <c r="A326" s="981"/>
      <c r="B326" s="984"/>
      <c r="C326" s="983"/>
      <c r="D326" s="967"/>
      <c r="E326" s="443"/>
      <c r="F326" s="321"/>
    </row>
    <row r="327" spans="1:63" s="934" customFormat="1" ht="15" customHeight="1">
      <c r="A327" s="935" t="s">
        <v>1560</v>
      </c>
      <c r="B327" s="936"/>
      <c r="C327" s="1513" t="s">
        <v>1768</v>
      </c>
      <c r="D327" s="935"/>
      <c r="E327" s="328"/>
      <c r="F327" s="328"/>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1562</v>
      </c>
      <c r="B328" s="943"/>
      <c r="C328" s="1514"/>
      <c r="D328" s="944"/>
      <c r="E328" s="379"/>
      <c r="F328" s="379"/>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405</v>
      </c>
      <c r="B329" s="952" t="s">
        <v>406</v>
      </c>
      <c r="C329" s="294" t="s">
        <v>407</v>
      </c>
      <c r="D329" s="951" t="s">
        <v>408</v>
      </c>
      <c r="E329" s="295" t="s">
        <v>409</v>
      </c>
      <c r="F329" s="296" t="s">
        <v>1563</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 customHeight="1">
      <c r="A330" s="977"/>
      <c r="B330" s="978"/>
      <c r="C330" s="979" t="s">
        <v>1639</v>
      </c>
      <c r="D330" s="980"/>
      <c r="E330" s="303"/>
      <c r="F330" s="304"/>
    </row>
    <row r="331" spans="1:63" ht="14" customHeight="1">
      <c r="A331" s="981"/>
      <c r="B331" s="1005" t="s">
        <v>1769</v>
      </c>
      <c r="C331" s="983" t="s">
        <v>1770</v>
      </c>
      <c r="D331" s="967" t="s">
        <v>1574</v>
      </c>
      <c r="E331" s="335">
        <v>1644.1666666666667</v>
      </c>
      <c r="F331" s="310" t="s">
        <v>236</v>
      </c>
    </row>
    <row r="332" spans="1:63" ht="14" customHeight="1">
      <c r="A332" s="981"/>
      <c r="B332" s="984" t="s">
        <v>1771</v>
      </c>
      <c r="C332" s="983" t="s">
        <v>1576</v>
      </c>
      <c r="D332" s="967" t="s">
        <v>1577</v>
      </c>
      <c r="E332" s="335">
        <v>1774.4833333333336</v>
      </c>
      <c r="F332" s="310" t="s">
        <v>236</v>
      </c>
    </row>
    <row r="333" spans="1:63" ht="14" customHeight="1">
      <c r="A333" s="981"/>
      <c r="B333" s="984" t="s">
        <v>1772</v>
      </c>
      <c r="C333" s="968" t="s">
        <v>1579</v>
      </c>
      <c r="D333" s="967" t="s">
        <v>1580</v>
      </c>
      <c r="E333" s="335">
        <v>1835.4333333333334</v>
      </c>
      <c r="F333" s="310" t="s">
        <v>236</v>
      </c>
    </row>
    <row r="334" spans="1:63" ht="14" customHeight="1">
      <c r="A334" s="981"/>
      <c r="B334" s="984" t="s">
        <v>1773</v>
      </c>
      <c r="C334" s="983"/>
      <c r="D334" s="967" t="s">
        <v>1582</v>
      </c>
      <c r="E334" s="335">
        <v>1839.6833333333334</v>
      </c>
      <c r="F334" s="310" t="s">
        <v>236</v>
      </c>
    </row>
    <row r="335" spans="1:63" ht="14" customHeight="1">
      <c r="A335" s="981"/>
      <c r="B335" s="984" t="s">
        <v>1774</v>
      </c>
      <c r="C335" s="983"/>
      <c r="D335" s="967" t="s">
        <v>1584</v>
      </c>
      <c r="E335" s="335">
        <v>1894.95</v>
      </c>
      <c r="F335" s="310" t="s">
        <v>236</v>
      </c>
    </row>
    <row r="336" spans="1:63" ht="14" customHeight="1">
      <c r="A336" s="981"/>
      <c r="B336" s="984"/>
      <c r="C336" s="983"/>
      <c r="D336" s="967"/>
      <c r="E336" s="335"/>
      <c r="F336" s="389"/>
    </row>
    <row r="337" spans="1:6" ht="14" customHeight="1">
      <c r="A337" s="981"/>
      <c r="B337" s="984"/>
      <c r="C337" s="983"/>
      <c r="D337" s="967"/>
      <c r="E337" s="335"/>
      <c r="F337" s="389"/>
    </row>
    <row r="338" spans="1:6" ht="14" customHeight="1">
      <c r="A338" s="981"/>
      <c r="B338" s="984"/>
      <c r="C338" s="983"/>
      <c r="D338" s="967"/>
      <c r="E338" s="335"/>
      <c r="F338" s="389"/>
    </row>
    <row r="339" spans="1:6" ht="14" customHeight="1">
      <c r="A339" s="981"/>
      <c r="B339" s="984"/>
      <c r="C339" s="983"/>
      <c r="D339" s="967"/>
      <c r="E339" s="335"/>
      <c r="F339" s="389"/>
    </row>
    <row r="340" spans="1:6" ht="14" customHeight="1">
      <c r="A340" s="981"/>
      <c r="B340" s="984" t="s">
        <v>1775</v>
      </c>
      <c r="C340" s="983" t="s">
        <v>1770</v>
      </c>
      <c r="D340" s="967" t="s">
        <v>1586</v>
      </c>
      <c r="E340" s="335">
        <v>2324.0166666666669</v>
      </c>
      <c r="F340" s="310" t="s">
        <v>236</v>
      </c>
    </row>
    <row r="341" spans="1:6" ht="14" customHeight="1">
      <c r="A341" s="981"/>
      <c r="B341" s="984" t="s">
        <v>1776</v>
      </c>
      <c r="C341" s="983" t="s">
        <v>1576</v>
      </c>
      <c r="D341" s="967" t="s">
        <v>1588</v>
      </c>
      <c r="E341" s="335">
        <v>2489.916666666667</v>
      </c>
      <c r="F341" s="310" t="s">
        <v>236</v>
      </c>
    </row>
    <row r="342" spans="1:6" ht="14" customHeight="1">
      <c r="A342" s="981"/>
      <c r="B342" s="1005" t="s">
        <v>1777</v>
      </c>
      <c r="C342" s="968" t="s">
        <v>1615</v>
      </c>
      <c r="D342" s="967" t="s">
        <v>1591</v>
      </c>
      <c r="E342" s="335">
        <v>2525.9333333333334</v>
      </c>
      <c r="F342" s="310" t="s">
        <v>236</v>
      </c>
    </row>
    <row r="343" spans="1:6" ht="14" customHeight="1">
      <c r="A343" s="981"/>
      <c r="B343" s="1005" t="s">
        <v>1778</v>
      </c>
      <c r="C343" s="983"/>
      <c r="D343" s="967" t="s">
        <v>1593</v>
      </c>
      <c r="E343" s="335">
        <v>2700.1</v>
      </c>
      <c r="F343" s="310" t="s">
        <v>236</v>
      </c>
    </row>
    <row r="344" spans="1:6" ht="14" customHeight="1">
      <c r="A344" s="981"/>
      <c r="B344" s="982"/>
      <c r="C344" s="921"/>
      <c r="D344" s="967"/>
      <c r="E344" s="335"/>
      <c r="F344" s="389"/>
    </row>
    <row r="345" spans="1:6" ht="14" customHeight="1">
      <c r="A345" s="981"/>
      <c r="B345" s="984"/>
      <c r="C345" s="921"/>
      <c r="D345" s="967"/>
      <c r="E345" s="335"/>
      <c r="F345" s="373"/>
    </row>
    <row r="346" spans="1:6" ht="14" customHeight="1">
      <c r="A346" s="981"/>
      <c r="B346" s="984"/>
      <c r="C346" s="983"/>
      <c r="D346" s="967"/>
      <c r="E346" s="335"/>
      <c r="F346" s="389"/>
    </row>
    <row r="347" spans="1:6" ht="14" customHeight="1">
      <c r="A347" s="981"/>
      <c r="B347" s="984"/>
      <c r="C347" s="983"/>
      <c r="D347" s="967"/>
      <c r="E347" s="335"/>
      <c r="F347" s="389"/>
    </row>
    <row r="348" spans="1:6" ht="14" customHeight="1">
      <c r="A348" s="977"/>
      <c r="B348" s="978"/>
      <c r="C348" s="979" t="s">
        <v>1650</v>
      </c>
      <c r="D348" s="980"/>
      <c r="E348" s="985"/>
      <c r="F348" s="980"/>
    </row>
    <row r="349" spans="1:6" ht="14" customHeight="1">
      <c r="A349" s="981"/>
      <c r="B349" s="1005" t="s">
        <v>1779</v>
      </c>
      <c r="C349" s="983" t="s">
        <v>1780</v>
      </c>
      <c r="D349" s="967" t="s">
        <v>1574</v>
      </c>
      <c r="E349" s="335">
        <v>1644.1666666666667</v>
      </c>
      <c r="F349" s="310" t="s">
        <v>236</v>
      </c>
    </row>
    <row r="350" spans="1:6" ht="14" customHeight="1">
      <c r="A350" s="981"/>
      <c r="B350" s="984" t="s">
        <v>1781</v>
      </c>
      <c r="C350" s="983" t="s">
        <v>1576</v>
      </c>
      <c r="D350" s="967" t="s">
        <v>1577</v>
      </c>
      <c r="E350" s="335">
        <v>1774.4833333333336</v>
      </c>
      <c r="F350" s="310" t="s">
        <v>236</v>
      </c>
    </row>
    <row r="351" spans="1:6" ht="14" customHeight="1">
      <c r="A351" s="981"/>
      <c r="B351" s="984" t="s">
        <v>1782</v>
      </c>
      <c r="C351" s="968" t="s">
        <v>1579</v>
      </c>
      <c r="D351" s="967" t="s">
        <v>1580</v>
      </c>
      <c r="E351" s="335">
        <v>1835.4333333333334</v>
      </c>
      <c r="F351" s="310" t="s">
        <v>236</v>
      </c>
    </row>
    <row r="352" spans="1:6" ht="14" customHeight="1">
      <c r="A352" s="981"/>
      <c r="B352" s="984" t="s">
        <v>1783</v>
      </c>
      <c r="C352" s="983"/>
      <c r="D352" s="967" t="s">
        <v>1582</v>
      </c>
      <c r="E352" s="335">
        <v>1839.6833333333334</v>
      </c>
      <c r="F352" s="310" t="s">
        <v>236</v>
      </c>
    </row>
    <row r="353" spans="1:6" ht="14" customHeight="1">
      <c r="A353" s="981"/>
      <c r="B353" s="984" t="s">
        <v>1784</v>
      </c>
      <c r="C353" s="983"/>
      <c r="D353" s="967" t="s">
        <v>1584</v>
      </c>
      <c r="E353" s="335">
        <v>1894.95</v>
      </c>
      <c r="F353" s="310" t="s">
        <v>236</v>
      </c>
    </row>
    <row r="354" spans="1:6" ht="14" customHeight="1">
      <c r="A354" s="981"/>
      <c r="B354" s="984"/>
      <c r="C354" s="983"/>
      <c r="D354" s="967"/>
      <c r="E354" s="335"/>
      <c r="F354" s="389"/>
    </row>
    <row r="355" spans="1:6" ht="14" customHeight="1">
      <c r="A355" s="981"/>
      <c r="B355" s="984"/>
      <c r="C355" s="983"/>
      <c r="D355" s="967"/>
      <c r="E355" s="335"/>
      <c r="F355" s="389"/>
    </row>
    <row r="356" spans="1:6" ht="14" customHeight="1">
      <c r="A356" s="981"/>
      <c r="B356" s="984"/>
      <c r="C356" s="983"/>
      <c r="D356" s="967"/>
      <c r="E356" s="335"/>
      <c r="F356" s="389"/>
    </row>
    <row r="357" spans="1:6" ht="14" customHeight="1">
      <c r="A357" s="981"/>
      <c r="B357" s="984"/>
      <c r="C357" s="983"/>
      <c r="D357" s="967"/>
      <c r="E357" s="335"/>
      <c r="F357" s="389"/>
    </row>
    <row r="358" spans="1:6" ht="14" customHeight="1">
      <c r="A358" s="981"/>
      <c r="B358" s="984" t="s">
        <v>1785</v>
      </c>
      <c r="C358" s="983" t="s">
        <v>1780</v>
      </c>
      <c r="D358" s="967" t="s">
        <v>1586</v>
      </c>
      <c r="E358" s="335">
        <v>2324.0166666666669</v>
      </c>
      <c r="F358" s="310" t="s">
        <v>236</v>
      </c>
    </row>
    <row r="359" spans="1:6" ht="14" customHeight="1">
      <c r="A359" s="981"/>
      <c r="B359" s="984" t="s">
        <v>1786</v>
      </c>
      <c r="C359" s="983" t="s">
        <v>1576</v>
      </c>
      <c r="D359" s="967" t="s">
        <v>1588</v>
      </c>
      <c r="E359" s="335">
        <v>2489.916666666667</v>
      </c>
      <c r="F359" s="310" t="s">
        <v>236</v>
      </c>
    </row>
    <row r="360" spans="1:6" ht="14" customHeight="1">
      <c r="A360" s="981"/>
      <c r="B360" s="1005" t="s">
        <v>1787</v>
      </c>
      <c r="C360" s="968" t="s">
        <v>1615</v>
      </c>
      <c r="D360" s="967" t="s">
        <v>1591</v>
      </c>
      <c r="E360" s="335">
        <v>2525.9333333333334</v>
      </c>
      <c r="F360" s="310" t="s">
        <v>236</v>
      </c>
    </row>
    <row r="361" spans="1:6" ht="14" customHeight="1">
      <c r="A361" s="981"/>
      <c r="B361" s="1005" t="s">
        <v>1788</v>
      </c>
      <c r="C361" s="968"/>
      <c r="D361" s="967" t="s">
        <v>1593</v>
      </c>
      <c r="E361" s="335">
        <v>2700.1</v>
      </c>
      <c r="F361" s="310" t="s">
        <v>236</v>
      </c>
    </row>
    <row r="362" spans="1:6" ht="14" customHeight="1">
      <c r="A362" s="981"/>
      <c r="B362" s="982"/>
      <c r="C362" s="921"/>
      <c r="D362" s="967"/>
      <c r="E362" s="335"/>
      <c r="F362" s="389"/>
    </row>
    <row r="363" spans="1:6" ht="14" customHeight="1">
      <c r="A363" s="981"/>
      <c r="B363" s="982"/>
      <c r="C363" s="921"/>
      <c r="D363" s="967"/>
      <c r="E363" s="335"/>
      <c r="F363" s="373"/>
    </row>
    <row r="364" spans="1:6" ht="14" customHeight="1">
      <c r="A364" s="981"/>
      <c r="B364" s="984"/>
      <c r="C364" s="983"/>
      <c r="D364" s="967"/>
      <c r="E364" s="335"/>
      <c r="F364" s="389"/>
    </row>
    <row r="365" spans="1:6" ht="14" customHeight="1">
      <c r="A365" s="981"/>
      <c r="B365" s="984"/>
      <c r="C365" s="983"/>
      <c r="D365" s="967"/>
      <c r="E365" s="335"/>
      <c r="F365" s="389"/>
    </row>
    <row r="366" spans="1:6" ht="14" customHeight="1">
      <c r="A366" s="977"/>
      <c r="B366" s="978"/>
      <c r="C366" s="979" t="s">
        <v>1661</v>
      </c>
      <c r="D366" s="980"/>
      <c r="E366" s="303"/>
      <c r="F366" s="304"/>
    </row>
    <row r="367" spans="1:6" ht="14" customHeight="1">
      <c r="A367" s="981"/>
      <c r="B367" s="1005" t="s">
        <v>1789</v>
      </c>
      <c r="C367" s="983" t="s">
        <v>1790</v>
      </c>
      <c r="D367" s="967" t="s">
        <v>1574</v>
      </c>
      <c r="E367" s="335">
        <v>1552.5166666666667</v>
      </c>
      <c r="F367" s="310" t="s">
        <v>236</v>
      </c>
    </row>
    <row r="368" spans="1:6" ht="14" customHeight="1">
      <c r="A368" s="981"/>
      <c r="B368" s="984" t="s">
        <v>1791</v>
      </c>
      <c r="C368" s="983" t="s">
        <v>1576</v>
      </c>
      <c r="D368" s="967" t="s">
        <v>1577</v>
      </c>
      <c r="E368" s="335">
        <v>1601.2666666666667</v>
      </c>
      <c r="F368" s="310" t="s">
        <v>236</v>
      </c>
    </row>
    <row r="369" spans="1:6" ht="14" customHeight="1">
      <c r="A369" s="981"/>
      <c r="B369" s="984" t="s">
        <v>1792</v>
      </c>
      <c r="C369" s="968" t="s">
        <v>1579</v>
      </c>
      <c r="D369" s="967" t="s">
        <v>1580</v>
      </c>
      <c r="E369" s="335">
        <v>1672.3333333333333</v>
      </c>
      <c r="F369" s="310" t="s">
        <v>236</v>
      </c>
    </row>
    <row r="370" spans="1:6" ht="14" customHeight="1">
      <c r="A370" s="981"/>
      <c r="B370" s="984" t="s">
        <v>1793</v>
      </c>
      <c r="C370" s="983"/>
      <c r="D370" s="967" t="s">
        <v>1582</v>
      </c>
      <c r="E370" s="335">
        <v>1684.8166666666666</v>
      </c>
      <c r="F370" s="310" t="s">
        <v>236</v>
      </c>
    </row>
    <row r="371" spans="1:6" ht="14" customHeight="1">
      <c r="A371" s="981"/>
      <c r="B371" s="984" t="s">
        <v>1794</v>
      </c>
      <c r="C371" s="983"/>
      <c r="D371" s="967" t="s">
        <v>1584</v>
      </c>
      <c r="E371" s="335">
        <v>1750.95</v>
      </c>
      <c r="F371" s="310" t="s">
        <v>236</v>
      </c>
    </row>
    <row r="372" spans="1:6" ht="14" customHeight="1">
      <c r="A372" s="981"/>
      <c r="B372" s="984"/>
      <c r="C372" s="983"/>
      <c r="D372" s="967"/>
      <c r="E372" s="335"/>
      <c r="F372" s="389"/>
    </row>
    <row r="373" spans="1:6" ht="14" customHeight="1">
      <c r="A373" s="981"/>
      <c r="B373" s="984"/>
      <c r="C373" s="983"/>
      <c r="D373" s="967"/>
      <c r="E373" s="335"/>
      <c r="F373" s="389"/>
    </row>
    <row r="374" spans="1:6" ht="14" customHeight="1">
      <c r="A374" s="981"/>
      <c r="B374" s="984"/>
      <c r="C374" s="983"/>
      <c r="D374" s="967"/>
      <c r="E374" s="335"/>
      <c r="F374" s="389"/>
    </row>
    <row r="375" spans="1:6" ht="14" customHeight="1">
      <c r="A375" s="981"/>
      <c r="B375" s="984"/>
      <c r="C375" s="983"/>
      <c r="D375" s="967"/>
      <c r="E375" s="335"/>
      <c r="F375" s="389"/>
    </row>
    <row r="376" spans="1:6" ht="14" customHeight="1">
      <c r="A376" s="981"/>
      <c r="B376" s="984" t="s">
        <v>1795</v>
      </c>
      <c r="C376" s="983" t="s">
        <v>1796</v>
      </c>
      <c r="D376" s="967" t="s">
        <v>1586</v>
      </c>
      <c r="E376" s="335">
        <v>2034.3166666666666</v>
      </c>
      <c r="F376" s="310" t="s">
        <v>236</v>
      </c>
    </row>
    <row r="377" spans="1:6" ht="14" customHeight="1">
      <c r="A377" s="981"/>
      <c r="B377" s="984" t="s">
        <v>1797</v>
      </c>
      <c r="C377" s="983" t="s">
        <v>1576</v>
      </c>
      <c r="D377" s="967" t="s">
        <v>1588</v>
      </c>
      <c r="E377" s="335">
        <v>2160.2833333333338</v>
      </c>
      <c r="F377" s="310" t="s">
        <v>236</v>
      </c>
    </row>
    <row r="378" spans="1:6" ht="14" customHeight="1">
      <c r="A378" s="981"/>
      <c r="B378" s="1005" t="s">
        <v>1798</v>
      </c>
      <c r="C378" s="968" t="s">
        <v>1615</v>
      </c>
      <c r="D378" s="967" t="s">
        <v>1591</v>
      </c>
      <c r="E378" s="335">
        <v>2204.5500000000002</v>
      </c>
      <c r="F378" s="310" t="s">
        <v>236</v>
      </c>
    </row>
    <row r="379" spans="1:6" ht="14" customHeight="1">
      <c r="A379" s="981"/>
      <c r="B379" s="1005" t="s">
        <v>1799</v>
      </c>
      <c r="C379" s="983"/>
      <c r="D379" s="967" t="s">
        <v>1593</v>
      </c>
      <c r="E379" s="335">
        <v>2390.1</v>
      </c>
      <c r="F379" s="310" t="s">
        <v>236</v>
      </c>
    </row>
    <row r="380" spans="1:6" ht="14" customHeight="1">
      <c r="A380" s="981"/>
      <c r="B380" s="982"/>
      <c r="C380" s="921"/>
      <c r="D380" s="967"/>
      <c r="E380" s="335"/>
      <c r="F380" s="389"/>
    </row>
    <row r="381" spans="1:6" ht="14" customHeight="1">
      <c r="A381" s="981"/>
      <c r="B381" s="984"/>
      <c r="C381" s="921"/>
      <c r="D381" s="967"/>
      <c r="E381" s="335"/>
      <c r="F381" s="373"/>
    </row>
    <row r="382" spans="1:6" ht="14" customHeight="1">
      <c r="A382" s="981"/>
      <c r="B382" s="984"/>
      <c r="C382" s="983"/>
      <c r="D382" s="967"/>
      <c r="E382" s="335"/>
      <c r="F382" s="389"/>
    </row>
    <row r="383" spans="1:6" ht="14" customHeight="1">
      <c r="A383" s="981"/>
      <c r="B383" s="984"/>
      <c r="C383" s="983"/>
      <c r="D383" s="967"/>
      <c r="E383" s="335"/>
      <c r="F383" s="389"/>
    </row>
    <row r="384" spans="1:6" ht="14" customHeight="1">
      <c r="A384" s="996"/>
      <c r="B384" s="997"/>
      <c r="C384" s="998"/>
      <c r="D384" s="997"/>
      <c r="E384" s="429"/>
      <c r="F384" s="430"/>
    </row>
    <row r="385" spans="1:6" ht="14" customHeight="1">
      <c r="A385" s="981"/>
      <c r="B385" s="999"/>
      <c r="C385" s="1000"/>
      <c r="D385" s="999"/>
      <c r="E385" s="433"/>
      <c r="F385" s="434"/>
    </row>
    <row r="386" spans="1:6" ht="14" customHeight="1">
      <c r="A386" s="981"/>
      <c r="B386" s="999"/>
      <c r="C386" s="1000"/>
      <c r="D386" s="999"/>
      <c r="E386" s="433"/>
      <c r="F386" s="434"/>
    </row>
    <row r="387" spans="1:6" ht="14" customHeight="1">
      <c r="A387" s="981"/>
      <c r="B387" s="999"/>
      <c r="C387" s="1000"/>
      <c r="D387" s="999"/>
      <c r="E387" s="433"/>
      <c r="F387" s="434"/>
    </row>
    <row r="388" spans="1:6" ht="14" customHeight="1">
      <c r="A388" s="981"/>
      <c r="B388" s="999"/>
      <c r="C388" s="1000"/>
      <c r="D388" s="999"/>
      <c r="E388" s="433"/>
      <c r="F388" s="434"/>
    </row>
    <row r="389" spans="1:6" ht="14" customHeight="1">
      <c r="A389" s="981"/>
      <c r="B389" s="999"/>
      <c r="C389" s="1000"/>
      <c r="D389" s="999"/>
      <c r="E389" s="433"/>
      <c r="F389" s="434"/>
    </row>
    <row r="390" spans="1:6" ht="14" customHeight="1">
      <c r="A390" s="981"/>
      <c r="B390" s="999"/>
      <c r="C390" s="1000"/>
      <c r="D390" s="999"/>
      <c r="E390" s="433"/>
      <c r="F390" s="434"/>
    </row>
    <row r="391" spans="1:6" ht="14" customHeight="1">
      <c r="A391" s="981"/>
      <c r="B391" s="999"/>
      <c r="C391" s="1000"/>
      <c r="D391" s="999"/>
      <c r="E391" s="433"/>
      <c r="F391" s="434"/>
    </row>
    <row r="392" spans="1:6" ht="14" customHeight="1">
      <c r="A392" s="981"/>
      <c r="B392" s="999"/>
      <c r="C392" s="1000"/>
      <c r="D392" s="999"/>
      <c r="E392" s="433"/>
      <c r="F392" s="434"/>
    </row>
    <row r="393" spans="1:6" ht="14" customHeight="1">
      <c r="A393" s="981"/>
      <c r="B393" s="999"/>
      <c r="C393" s="1000"/>
      <c r="D393" s="999"/>
      <c r="E393" s="433"/>
      <c r="F393" s="434"/>
    </row>
    <row r="394" spans="1:6" ht="14" customHeight="1">
      <c r="A394" s="981"/>
      <c r="B394" s="999"/>
      <c r="C394" s="1000"/>
      <c r="D394" s="999"/>
      <c r="E394" s="433"/>
      <c r="F394" s="434"/>
    </row>
    <row r="395" spans="1:6" ht="14" customHeight="1">
      <c r="A395" s="981"/>
      <c r="B395" s="999"/>
      <c r="C395" s="1000"/>
      <c r="D395" s="999"/>
      <c r="E395" s="433"/>
      <c r="F395" s="434"/>
    </row>
    <row r="396" spans="1:6" ht="14" customHeight="1">
      <c r="A396" s="981"/>
      <c r="B396" s="999"/>
      <c r="C396" s="1000"/>
      <c r="D396" s="999"/>
      <c r="E396" s="433"/>
      <c r="F396" s="434"/>
    </row>
    <row r="397" spans="1:6" ht="14" customHeight="1">
      <c r="A397" s="981"/>
      <c r="B397" s="999"/>
      <c r="C397" s="1000"/>
      <c r="D397" s="999"/>
      <c r="E397" s="433"/>
      <c r="F397" s="434"/>
    </row>
    <row r="398" spans="1:6" ht="14" customHeight="1">
      <c r="A398" s="981"/>
      <c r="B398" s="999"/>
      <c r="C398" s="1000"/>
      <c r="D398" s="999"/>
      <c r="E398" s="433"/>
      <c r="F398" s="434"/>
    </row>
    <row r="399" spans="1:6" ht="14" customHeight="1">
      <c r="A399" s="981"/>
      <c r="B399" s="999"/>
      <c r="C399" s="1000"/>
      <c r="D399" s="999"/>
      <c r="E399" s="433"/>
      <c r="F399" s="434"/>
    </row>
    <row r="400" spans="1:6" ht="14" customHeight="1">
      <c r="A400" s="981"/>
      <c r="B400" s="999"/>
      <c r="C400" s="1000"/>
      <c r="D400" s="999"/>
      <c r="E400" s="433"/>
      <c r="F400" s="434"/>
    </row>
    <row r="401" spans="1:6" ht="14" customHeight="1">
      <c r="A401" s="981"/>
      <c r="B401" s="999"/>
      <c r="C401" s="1000"/>
      <c r="D401" s="999"/>
      <c r="E401" s="433"/>
      <c r="F401" s="434"/>
    </row>
    <row r="402" spans="1:6" ht="14" customHeight="1">
      <c r="A402" s="981"/>
      <c r="B402" s="999"/>
      <c r="C402" s="1000"/>
      <c r="D402" s="999"/>
      <c r="E402" s="433"/>
      <c r="F402" s="434"/>
    </row>
    <row r="403" spans="1:6" ht="14" customHeight="1">
      <c r="A403" s="981"/>
      <c r="B403" s="999"/>
      <c r="C403" s="1000"/>
      <c r="D403" s="999"/>
      <c r="E403" s="433"/>
      <c r="F403" s="434"/>
    </row>
    <row r="404" spans="1:6" ht="14" customHeight="1">
      <c r="A404" s="981"/>
      <c r="B404" s="999"/>
      <c r="C404" s="1000"/>
      <c r="D404" s="999"/>
      <c r="E404" s="433"/>
      <c r="F404" s="434"/>
    </row>
    <row r="405" spans="1:6" ht="14" customHeight="1">
      <c r="A405" s="981"/>
      <c r="B405" s="999"/>
      <c r="C405" s="1000"/>
      <c r="D405" s="999"/>
      <c r="E405" s="433"/>
      <c r="F405" s="434"/>
    </row>
    <row r="406" spans="1:6" ht="14" customHeight="1">
      <c r="A406" s="981"/>
      <c r="B406" s="999"/>
      <c r="C406" s="1000"/>
      <c r="D406" s="999"/>
      <c r="E406" s="433"/>
      <c r="F406" s="434"/>
    </row>
    <row r="407" spans="1:6" ht="14" customHeight="1">
      <c r="A407" s="981"/>
      <c r="B407" s="999"/>
      <c r="C407" s="1000"/>
      <c r="D407" s="999"/>
      <c r="E407" s="433"/>
      <c r="F407" s="434"/>
    </row>
    <row r="408" spans="1:6" ht="14" customHeight="1">
      <c r="A408" s="981"/>
      <c r="B408" s="999"/>
      <c r="C408" s="1000"/>
      <c r="D408" s="999"/>
      <c r="E408" s="433"/>
      <c r="F408" s="434"/>
    </row>
    <row r="409" spans="1:6" ht="14" customHeight="1">
      <c r="A409" s="981"/>
      <c r="B409" s="999"/>
      <c r="C409" s="1000"/>
      <c r="D409" s="999"/>
      <c r="E409" s="433"/>
      <c r="F409" s="434"/>
    </row>
    <row r="410" spans="1:6" ht="14" customHeight="1">
      <c r="A410" s="1001"/>
      <c r="B410" s="1002"/>
      <c r="C410" s="1003"/>
      <c r="D410" s="1002"/>
      <c r="E410" s="438"/>
      <c r="F410" s="439"/>
    </row>
    <row r="411" spans="1:6" ht="15" customHeight="1">
      <c r="A411" s="977"/>
      <c r="B411" s="978"/>
      <c r="C411" s="979" t="s">
        <v>1672</v>
      </c>
      <c r="D411" s="980"/>
      <c r="E411" s="980"/>
      <c r="F411" s="980"/>
    </row>
    <row r="412" spans="1:6" ht="14" customHeight="1">
      <c r="A412" s="981"/>
      <c r="B412" s="982" t="s">
        <v>1673</v>
      </c>
      <c r="C412" s="962" t="s">
        <v>1674</v>
      </c>
      <c r="D412" s="967" t="s">
        <v>1580</v>
      </c>
      <c r="E412" s="335">
        <v>388.76656346749235</v>
      </c>
      <c r="F412" s="310" t="s">
        <v>236</v>
      </c>
    </row>
    <row r="413" spans="1:6" ht="14" customHeight="1">
      <c r="A413" s="981"/>
      <c r="B413" s="982" t="s">
        <v>1675</v>
      </c>
      <c r="C413" s="983" t="s">
        <v>1676</v>
      </c>
      <c r="D413" s="967" t="s">
        <v>1582</v>
      </c>
      <c r="E413" s="335">
        <v>414.46393188854495</v>
      </c>
      <c r="F413" s="310" t="s">
        <v>236</v>
      </c>
    </row>
    <row r="414" spans="1:6" ht="14" customHeight="1">
      <c r="A414" s="981"/>
      <c r="B414" s="982" t="s">
        <v>1677</v>
      </c>
      <c r="C414" s="962"/>
      <c r="D414" s="967" t="s">
        <v>1584</v>
      </c>
      <c r="E414" s="335">
        <v>420.02275541795677</v>
      </c>
      <c r="F414" s="310" t="s">
        <v>236</v>
      </c>
    </row>
    <row r="415" spans="1:6" ht="14" customHeight="1">
      <c r="A415" s="981"/>
      <c r="B415" s="982" t="s">
        <v>1678</v>
      </c>
      <c r="C415" s="962"/>
      <c r="D415" s="967" t="s">
        <v>1679</v>
      </c>
      <c r="E415" s="335">
        <v>461.55789473684234</v>
      </c>
      <c r="F415" s="310" t="s">
        <v>236</v>
      </c>
    </row>
    <row r="416" spans="1:6" ht="14" customHeight="1">
      <c r="A416" s="981"/>
      <c r="B416" s="982" t="s">
        <v>1680</v>
      </c>
      <c r="C416" s="962"/>
      <c r="D416" s="967" t="s">
        <v>1586</v>
      </c>
      <c r="E416" s="335">
        <v>467.116718266254</v>
      </c>
      <c r="F416" s="310" t="s">
        <v>236</v>
      </c>
    </row>
    <row r="417" spans="1:63" ht="14" customHeight="1">
      <c r="A417" s="981"/>
      <c r="B417" s="982" t="s">
        <v>1681</v>
      </c>
      <c r="C417" s="962"/>
      <c r="D417" s="967" t="s">
        <v>1682</v>
      </c>
      <c r="E417" s="335">
        <v>536.09001547987634</v>
      </c>
      <c r="F417" s="310" t="s">
        <v>236</v>
      </c>
    </row>
    <row r="418" spans="1:63" ht="14" customHeight="1">
      <c r="A418" s="981"/>
      <c r="B418" s="982" t="s">
        <v>1683</v>
      </c>
      <c r="C418" s="962"/>
      <c r="D418" s="967" t="s">
        <v>1588</v>
      </c>
      <c r="E418" s="335">
        <v>541.64883900928805</v>
      </c>
      <c r="F418" s="310" t="s">
        <v>236</v>
      </c>
    </row>
    <row r="419" spans="1:63" ht="14" customHeight="1">
      <c r="A419" s="981"/>
      <c r="B419" s="982" t="s">
        <v>1684</v>
      </c>
      <c r="C419" s="962"/>
      <c r="D419" s="967" t="s">
        <v>1685</v>
      </c>
      <c r="E419" s="335">
        <v>637.14845201238393</v>
      </c>
      <c r="F419" s="310" t="s">
        <v>236</v>
      </c>
    </row>
    <row r="420" spans="1:63" ht="14" customHeight="1">
      <c r="A420" s="981"/>
      <c r="B420" s="982" t="s">
        <v>1686</v>
      </c>
      <c r="C420" s="962"/>
      <c r="D420" s="967" t="s">
        <v>1593</v>
      </c>
      <c r="E420" s="335">
        <v>642.70727554179575</v>
      </c>
      <c r="F420" s="310" t="s">
        <v>236</v>
      </c>
    </row>
    <row r="421" spans="1:63" ht="14" customHeight="1">
      <c r="A421" s="981"/>
      <c r="B421" s="982" t="s">
        <v>1687</v>
      </c>
      <c r="C421" s="962"/>
      <c r="D421" s="967" t="s">
        <v>1688</v>
      </c>
      <c r="E421" s="335">
        <v>648.26609907120758</v>
      </c>
      <c r="F421" s="310" t="s">
        <v>236</v>
      </c>
    </row>
    <row r="422" spans="1:63" ht="14" customHeight="1">
      <c r="A422" s="981"/>
      <c r="B422" s="982" t="s">
        <v>1689</v>
      </c>
      <c r="C422" s="962"/>
      <c r="D422" s="967" t="s">
        <v>1690</v>
      </c>
      <c r="E422" s="335">
        <v>663.27492260061922</v>
      </c>
      <c r="F422" s="310" t="s">
        <v>236</v>
      </c>
    </row>
    <row r="423" spans="1:63" ht="14" customHeight="1">
      <c r="A423" s="981"/>
      <c r="B423" s="982" t="s">
        <v>1691</v>
      </c>
      <c r="C423" s="962"/>
      <c r="D423" s="967" t="s">
        <v>1692</v>
      </c>
      <c r="E423" s="335">
        <v>678.28374613003109</v>
      </c>
      <c r="F423" s="310" t="s">
        <v>236</v>
      </c>
    </row>
    <row r="424" spans="1:63" ht="14" customHeight="1">
      <c r="A424" s="981"/>
      <c r="B424" s="982" t="s">
        <v>1693</v>
      </c>
      <c r="C424" s="962"/>
      <c r="D424" s="967" t="s">
        <v>1694</v>
      </c>
      <c r="E424" s="335">
        <v>873.1741486068114</v>
      </c>
      <c r="F424" s="310" t="s">
        <v>236</v>
      </c>
    </row>
    <row r="425" spans="1:63" ht="14" customHeight="1">
      <c r="A425" s="981"/>
      <c r="B425" s="982" t="s">
        <v>1695</v>
      </c>
      <c r="C425" s="962"/>
      <c r="D425" s="967" t="s">
        <v>1696</v>
      </c>
      <c r="E425" s="335">
        <v>893.08781642688041</v>
      </c>
      <c r="F425" s="310" t="s">
        <v>236</v>
      </c>
    </row>
    <row r="426" spans="1:63" s="934" customFormat="1" ht="15" customHeight="1">
      <c r="A426" s="935" t="s">
        <v>1560</v>
      </c>
      <c r="B426" s="936"/>
      <c r="C426" s="1513" t="s">
        <v>1800</v>
      </c>
      <c r="D426" s="935"/>
      <c r="E426" s="328"/>
      <c r="F426" s="328"/>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1801</v>
      </c>
      <c r="B427" s="943"/>
      <c r="C427" s="1514"/>
      <c r="D427" s="944"/>
      <c r="E427" s="379"/>
      <c r="F427" s="379"/>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405</v>
      </c>
      <c r="B428" s="952" t="s">
        <v>406</v>
      </c>
      <c r="C428" s="294" t="s">
        <v>407</v>
      </c>
      <c r="D428" s="951" t="s">
        <v>408</v>
      </c>
      <c r="E428" s="295" t="s">
        <v>409</v>
      </c>
      <c r="F428" s="296" t="s">
        <v>1563</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1802</v>
      </c>
      <c r="D429" s="980"/>
      <c r="E429" s="980"/>
      <c r="F429" s="304"/>
    </row>
    <row r="430" spans="1:63" ht="14" customHeight="1">
      <c r="A430" s="981"/>
      <c r="B430" s="1006" t="s">
        <v>1803</v>
      </c>
      <c r="C430" s="1007" t="s">
        <v>1804</v>
      </c>
      <c r="D430" s="999" t="s">
        <v>1584</v>
      </c>
      <c r="E430" s="457">
        <v>1323.4628516645193</v>
      </c>
      <c r="F430" s="310" t="s">
        <v>236</v>
      </c>
    </row>
    <row r="431" spans="1:63" ht="14" customHeight="1">
      <c r="A431" s="981"/>
      <c r="B431" s="1006" t="s">
        <v>1805</v>
      </c>
      <c r="C431" s="1008" t="s">
        <v>1806</v>
      </c>
      <c r="D431" s="999" t="s">
        <v>1679</v>
      </c>
      <c r="E431" s="457">
        <v>1399.4761830171046</v>
      </c>
      <c r="F431" s="310" t="s">
        <v>236</v>
      </c>
    </row>
    <row r="432" spans="1:63" ht="14" customHeight="1">
      <c r="A432" s="981"/>
      <c r="B432" s="1006" t="s">
        <v>1807</v>
      </c>
      <c r="C432" s="1008" t="s">
        <v>1808</v>
      </c>
      <c r="D432" s="999" t="s">
        <v>1586</v>
      </c>
      <c r="E432" s="457">
        <v>1475.4895143696908</v>
      </c>
      <c r="F432" s="310" t="s">
        <v>236</v>
      </c>
    </row>
    <row r="433" spans="1:64" ht="14" customHeight="1">
      <c r="A433" s="981"/>
      <c r="B433" s="1006" t="s">
        <v>1809</v>
      </c>
      <c r="C433" s="1009"/>
      <c r="D433" s="999" t="s">
        <v>1682</v>
      </c>
      <c r="E433" s="457">
        <v>1551.5028457222763</v>
      </c>
      <c r="F433" s="310" t="s">
        <v>236</v>
      </c>
    </row>
    <row r="434" spans="1:64" ht="14" customHeight="1">
      <c r="A434" s="981"/>
      <c r="B434" s="1006" t="s">
        <v>1810</v>
      </c>
      <c r="C434" s="1009"/>
      <c r="D434" s="999" t="s">
        <v>1588</v>
      </c>
      <c r="E434" s="457">
        <v>1654.0340342177192</v>
      </c>
      <c r="F434" s="310" t="s">
        <v>236</v>
      </c>
    </row>
    <row r="435" spans="1:64" ht="14" customHeight="1">
      <c r="A435" s="981"/>
      <c r="B435" s="1006" t="s">
        <v>1811</v>
      </c>
      <c r="C435" s="1009"/>
      <c r="D435" s="999" t="s">
        <v>1685</v>
      </c>
      <c r="E435" s="457">
        <v>1743.3062941417336</v>
      </c>
      <c r="F435" s="310" t="s">
        <v>236</v>
      </c>
    </row>
    <row r="436" spans="1:64" ht="14" customHeight="1">
      <c r="A436" s="981"/>
      <c r="B436" s="1006" t="s">
        <v>1812</v>
      </c>
      <c r="C436" s="1008"/>
      <c r="D436" s="999" t="s">
        <v>1593</v>
      </c>
      <c r="E436" s="457">
        <v>1832.5785540657478</v>
      </c>
      <c r="F436" s="310" t="s">
        <v>236</v>
      </c>
    </row>
    <row r="437" spans="1:64" ht="14" customHeight="1">
      <c r="A437" s="981"/>
      <c r="B437" s="994"/>
      <c r="C437" s="1010"/>
      <c r="D437" s="999"/>
      <c r="E437" s="457"/>
      <c r="F437" s="377"/>
    </row>
    <row r="438" spans="1:64" ht="14" customHeight="1">
      <c r="A438" s="977"/>
      <c r="B438" s="980"/>
      <c r="C438" s="979" t="s">
        <v>1813</v>
      </c>
      <c r="D438" s="1011"/>
      <c r="E438" s="1011"/>
      <c r="F438" s="458"/>
    </row>
    <row r="439" spans="1:64" ht="14" customHeight="1">
      <c r="A439" s="981"/>
      <c r="B439" s="1012" t="s">
        <v>1814</v>
      </c>
      <c r="C439" s="1007" t="s">
        <v>1815</v>
      </c>
      <c r="D439" s="999" t="s">
        <v>1580</v>
      </c>
      <c r="E439" s="453">
        <v>1487.6833333333334</v>
      </c>
      <c r="F439" s="310" t="s">
        <v>236</v>
      </c>
    </row>
    <row r="440" spans="1:64" ht="14" customHeight="1">
      <c r="A440" s="981"/>
      <c r="B440" s="1012" t="s">
        <v>1816</v>
      </c>
      <c r="C440" s="1008" t="s">
        <v>1817</v>
      </c>
      <c r="D440" s="999" t="s">
        <v>1679</v>
      </c>
      <c r="E440" s="453">
        <v>1735.6</v>
      </c>
      <c r="F440" s="310" t="s">
        <v>236</v>
      </c>
    </row>
    <row r="441" spans="1:64" ht="14" customHeight="1">
      <c r="A441" s="981"/>
      <c r="B441" s="967"/>
      <c r="C441" s="1008"/>
      <c r="D441" s="999"/>
      <c r="E441" s="335"/>
      <c r="F441" s="459"/>
    </row>
    <row r="442" spans="1:64" ht="14" customHeight="1">
      <c r="A442" s="1013"/>
      <c r="B442" s="967"/>
      <c r="C442" s="1009"/>
      <c r="D442" s="999"/>
      <c r="E442" s="335"/>
      <c r="F442" s="459"/>
    </row>
    <row r="443" spans="1:64" ht="14" customHeight="1">
      <c r="A443" s="1013"/>
      <c r="B443" s="1012"/>
      <c r="C443" s="1009"/>
      <c r="D443" s="999"/>
      <c r="E443" s="335"/>
      <c r="F443" s="459"/>
    </row>
    <row r="444" spans="1:64" ht="13.5" customHeight="1">
      <c r="A444" s="981"/>
      <c r="B444" s="1012"/>
      <c r="C444" s="1009"/>
      <c r="D444" s="999"/>
      <c r="E444" s="335"/>
      <c r="F444" s="459"/>
    </row>
    <row r="445" spans="1:64" ht="14" customHeight="1">
      <c r="A445" s="981"/>
      <c r="B445" s="967"/>
      <c r="C445" s="1014"/>
      <c r="D445" s="999"/>
      <c r="E445" s="335"/>
      <c r="F445" s="459"/>
    </row>
    <row r="446" spans="1:64" ht="14" customHeight="1">
      <c r="A446" s="996"/>
      <c r="B446" s="997"/>
      <c r="C446" s="998"/>
      <c r="D446" s="997"/>
      <c r="E446" s="429"/>
      <c r="F446" s="430"/>
      <c r="N446" s="921"/>
      <c r="O446" s="921"/>
      <c r="P446" s="921"/>
      <c r="Q446" s="921"/>
      <c r="BI446" s="922"/>
      <c r="BJ446" s="922"/>
      <c r="BK446" s="922"/>
      <c r="BL446" s="922"/>
    </row>
    <row r="447" spans="1:64" ht="14" customHeight="1">
      <c r="A447" s="981"/>
      <c r="B447" s="999"/>
      <c r="C447" s="1000"/>
      <c r="D447" s="999"/>
      <c r="E447" s="433"/>
      <c r="F447" s="434"/>
      <c r="N447" s="921"/>
      <c r="O447" s="921"/>
      <c r="P447" s="921"/>
      <c r="Q447" s="921"/>
      <c r="BI447" s="922"/>
      <c r="BJ447" s="922"/>
      <c r="BK447" s="922"/>
      <c r="BL447" s="922"/>
    </row>
    <row r="448" spans="1:64" ht="14" customHeight="1">
      <c r="A448" s="981"/>
      <c r="B448" s="999"/>
      <c r="C448" s="1000"/>
      <c r="D448" s="999"/>
      <c r="E448" s="433"/>
      <c r="F448" s="434"/>
      <c r="N448" s="921"/>
      <c r="O448" s="921"/>
      <c r="P448" s="921"/>
      <c r="Q448" s="921"/>
      <c r="BI448" s="922"/>
      <c r="BJ448" s="922"/>
      <c r="BK448" s="922"/>
      <c r="BL448" s="922"/>
    </row>
    <row r="449" spans="1:64" ht="14" customHeight="1">
      <c r="A449" s="981"/>
      <c r="B449" s="999"/>
      <c r="C449" s="1000"/>
      <c r="D449" s="999"/>
      <c r="E449" s="433"/>
      <c r="F449" s="434"/>
      <c r="N449" s="921"/>
      <c r="O449" s="921"/>
      <c r="P449" s="921"/>
      <c r="Q449" s="921"/>
      <c r="BI449" s="922"/>
      <c r="BJ449" s="922"/>
      <c r="BK449" s="922"/>
      <c r="BL449" s="922"/>
    </row>
    <row r="450" spans="1:64" ht="14" customHeight="1">
      <c r="A450" s="981"/>
      <c r="B450" s="999"/>
      <c r="C450" s="1000"/>
      <c r="D450" s="999"/>
      <c r="E450" s="433"/>
      <c r="F450" s="434"/>
      <c r="N450" s="921"/>
      <c r="O450" s="921"/>
      <c r="P450" s="921"/>
      <c r="Q450" s="921"/>
      <c r="BI450" s="922"/>
      <c r="BJ450" s="922"/>
      <c r="BK450" s="922"/>
      <c r="BL450" s="922"/>
    </row>
    <row r="451" spans="1:64" ht="14" customHeight="1">
      <c r="A451" s="981"/>
      <c r="B451" s="999"/>
      <c r="C451" s="1000"/>
      <c r="D451" s="999"/>
      <c r="E451" s="433"/>
      <c r="F451" s="434"/>
      <c r="N451" s="921"/>
      <c r="O451" s="921"/>
      <c r="P451" s="921"/>
      <c r="Q451" s="921"/>
      <c r="BI451" s="922"/>
      <c r="BJ451" s="922"/>
      <c r="BK451" s="922"/>
      <c r="BL451" s="922"/>
    </row>
    <row r="452" spans="1:64" ht="14" customHeight="1">
      <c r="A452" s="981"/>
      <c r="B452" s="999"/>
      <c r="C452" s="1000"/>
      <c r="D452" s="999"/>
      <c r="E452" s="433"/>
      <c r="F452" s="434"/>
      <c r="N452" s="921"/>
      <c r="O452" s="921"/>
      <c r="P452" s="921"/>
      <c r="Q452" s="921"/>
      <c r="BI452" s="922"/>
      <c r="BJ452" s="922"/>
      <c r="BK452" s="922"/>
      <c r="BL452" s="922"/>
    </row>
    <row r="453" spans="1:64" ht="14" customHeight="1">
      <c r="A453" s="981"/>
      <c r="B453" s="999"/>
      <c r="C453" s="1000"/>
      <c r="D453" s="999"/>
      <c r="E453" s="433"/>
      <c r="F453" s="434"/>
      <c r="N453" s="921"/>
      <c r="O453" s="921"/>
      <c r="P453" s="921"/>
      <c r="Q453" s="921"/>
      <c r="BI453" s="922"/>
      <c r="BJ453" s="922"/>
      <c r="BK453" s="922"/>
      <c r="BL453" s="922"/>
    </row>
    <row r="454" spans="1:64" ht="14" customHeight="1">
      <c r="A454" s="981"/>
      <c r="B454" s="999"/>
      <c r="C454" s="1000"/>
      <c r="D454" s="999"/>
      <c r="E454" s="433"/>
      <c r="F454" s="434"/>
      <c r="N454" s="921"/>
      <c r="O454" s="921"/>
      <c r="P454" s="921"/>
      <c r="Q454" s="921"/>
      <c r="BI454" s="922"/>
      <c r="BJ454" s="922"/>
      <c r="BK454" s="922"/>
      <c r="BL454" s="922"/>
    </row>
    <row r="455" spans="1:64" ht="14" customHeight="1">
      <c r="A455" s="981"/>
      <c r="B455" s="999"/>
      <c r="C455" s="1000"/>
      <c r="D455" s="999"/>
      <c r="E455" s="433"/>
      <c r="F455" s="434"/>
      <c r="N455" s="921"/>
      <c r="O455" s="921"/>
      <c r="P455" s="921"/>
      <c r="Q455" s="921"/>
      <c r="BI455" s="922"/>
      <c r="BJ455" s="922"/>
      <c r="BK455" s="922"/>
      <c r="BL455" s="922"/>
    </row>
    <row r="456" spans="1:64" ht="14" customHeight="1">
      <c r="A456" s="981"/>
      <c r="B456" s="999"/>
      <c r="C456" s="1000"/>
      <c r="D456" s="999"/>
      <c r="E456" s="433"/>
      <c r="F456" s="434"/>
      <c r="N456" s="921"/>
      <c r="O456" s="921"/>
      <c r="P456" s="921"/>
      <c r="Q456" s="921"/>
      <c r="BI456" s="922"/>
      <c r="BJ456" s="922"/>
      <c r="BK456" s="922"/>
      <c r="BL456" s="922"/>
    </row>
    <row r="457" spans="1:64" ht="14" customHeight="1">
      <c r="A457" s="981"/>
      <c r="B457" s="999"/>
      <c r="C457" s="1000"/>
      <c r="D457" s="999"/>
      <c r="E457" s="433"/>
      <c r="F457" s="434"/>
      <c r="N457" s="921"/>
      <c r="O457" s="921"/>
      <c r="P457" s="921"/>
      <c r="Q457" s="921"/>
      <c r="BI457" s="922"/>
      <c r="BJ457" s="922"/>
      <c r="BK457" s="922"/>
      <c r="BL457" s="922"/>
    </row>
    <row r="458" spans="1:64" ht="14" customHeight="1">
      <c r="A458" s="981"/>
      <c r="B458" s="999"/>
      <c r="C458" s="1000"/>
      <c r="D458" s="999"/>
      <c r="E458" s="433"/>
      <c r="F458" s="434"/>
      <c r="N458" s="921"/>
      <c r="O458" s="921"/>
      <c r="P458" s="921"/>
      <c r="Q458" s="921"/>
      <c r="BI458" s="922"/>
      <c r="BJ458" s="922"/>
      <c r="BK458" s="922"/>
      <c r="BL458" s="922"/>
    </row>
    <row r="459" spans="1:64" ht="14" customHeight="1">
      <c r="A459" s="981"/>
      <c r="B459" s="999"/>
      <c r="C459" s="1000"/>
      <c r="D459" s="999"/>
      <c r="E459" s="433"/>
      <c r="F459" s="434"/>
      <c r="N459" s="921"/>
      <c r="O459" s="921"/>
      <c r="P459" s="921"/>
      <c r="Q459" s="921"/>
      <c r="BI459" s="922"/>
      <c r="BJ459" s="922"/>
      <c r="BK459" s="922"/>
      <c r="BL459" s="922"/>
    </row>
    <row r="460" spans="1:64" ht="14" customHeight="1">
      <c r="A460" s="981"/>
      <c r="B460" s="999"/>
      <c r="C460" s="1000"/>
      <c r="D460" s="999"/>
      <c r="E460" s="433"/>
      <c r="F460" s="434"/>
      <c r="N460" s="921"/>
      <c r="O460" s="921"/>
      <c r="P460" s="921"/>
      <c r="Q460" s="921"/>
      <c r="BI460" s="922"/>
      <c r="BJ460" s="922"/>
      <c r="BK460" s="922"/>
      <c r="BL460" s="922"/>
    </row>
    <row r="461" spans="1:64" ht="14" customHeight="1">
      <c r="A461" s="981"/>
      <c r="B461" s="999"/>
      <c r="C461" s="1000"/>
      <c r="D461" s="999"/>
      <c r="E461" s="433"/>
      <c r="F461" s="434"/>
      <c r="N461" s="921"/>
      <c r="O461" s="921"/>
      <c r="P461" s="921"/>
      <c r="Q461" s="921"/>
      <c r="BI461" s="922"/>
      <c r="BJ461" s="922"/>
      <c r="BK461" s="922"/>
      <c r="BL461" s="922"/>
    </row>
    <row r="462" spans="1:64" ht="14" customHeight="1">
      <c r="A462" s="981"/>
      <c r="B462" s="999"/>
      <c r="C462" s="1000"/>
      <c r="D462" s="999"/>
      <c r="E462" s="433"/>
      <c r="F462" s="434"/>
      <c r="N462" s="921"/>
      <c r="O462" s="921"/>
      <c r="P462" s="921"/>
      <c r="Q462" s="921"/>
      <c r="BI462" s="922"/>
      <c r="BJ462" s="922"/>
      <c r="BK462" s="922"/>
      <c r="BL462" s="922"/>
    </row>
    <row r="463" spans="1:64" ht="14" customHeight="1">
      <c r="A463" s="981"/>
      <c r="B463" s="999"/>
      <c r="C463" s="1000"/>
      <c r="D463" s="999"/>
      <c r="E463" s="433"/>
      <c r="F463" s="434"/>
      <c r="N463" s="921"/>
      <c r="O463" s="921"/>
      <c r="P463" s="921"/>
      <c r="Q463" s="921"/>
      <c r="BI463" s="922"/>
      <c r="BJ463" s="922"/>
      <c r="BK463" s="922"/>
      <c r="BL463" s="922"/>
    </row>
    <row r="464" spans="1:64" ht="14" customHeight="1">
      <c r="A464" s="981"/>
      <c r="B464" s="999"/>
      <c r="C464" s="1000"/>
      <c r="D464" s="999"/>
      <c r="E464" s="433"/>
      <c r="F464" s="434"/>
      <c r="N464" s="921"/>
      <c r="O464" s="921"/>
      <c r="P464" s="921"/>
      <c r="Q464" s="921"/>
      <c r="BI464" s="922"/>
      <c r="BJ464" s="922"/>
      <c r="BK464" s="922"/>
      <c r="BL464" s="922"/>
    </row>
    <row r="465" spans="1:64" ht="14" customHeight="1">
      <c r="A465" s="1001"/>
      <c r="B465" s="1002"/>
      <c r="C465" s="1003"/>
      <c r="D465" s="1002"/>
      <c r="E465" s="438"/>
      <c r="F465" s="439"/>
      <c r="N465" s="921"/>
      <c r="O465" s="921"/>
      <c r="P465" s="921"/>
      <c r="Q465" s="921"/>
      <c r="BI465" s="922"/>
      <c r="BJ465" s="922"/>
      <c r="BK465" s="922"/>
      <c r="BL465" s="922"/>
    </row>
    <row r="466" spans="1:64" ht="15" customHeight="1">
      <c r="A466" s="1015"/>
      <c r="B466" s="1016"/>
      <c r="C466" s="1017" t="s">
        <v>1818</v>
      </c>
      <c r="D466" s="1018"/>
      <c r="E466" s="471"/>
      <c r="F466" s="472"/>
    </row>
    <row r="467" spans="1:64" ht="14" customHeight="1">
      <c r="A467" s="981"/>
      <c r="B467" s="1012" t="s">
        <v>1819</v>
      </c>
      <c r="C467" s="1007" t="s">
        <v>1820</v>
      </c>
      <c r="D467" s="999" t="s">
        <v>1574</v>
      </c>
      <c r="E467" s="473">
        <v>750</v>
      </c>
      <c r="F467" s="310" t="s">
        <v>1821</v>
      </c>
    </row>
    <row r="468" spans="1:64" ht="14" customHeight="1">
      <c r="A468" s="981"/>
      <c r="B468" s="1012" t="s">
        <v>1822</v>
      </c>
      <c r="C468" s="1008" t="s">
        <v>1823</v>
      </c>
      <c r="D468" s="999" t="s">
        <v>1584</v>
      </c>
      <c r="E468" s="473">
        <v>833.33333333333337</v>
      </c>
      <c r="F468" s="310" t="s">
        <v>1821</v>
      </c>
    </row>
    <row r="469" spans="1:64" ht="14" customHeight="1">
      <c r="A469" s="981"/>
      <c r="B469" s="967"/>
      <c r="C469" s="1008"/>
      <c r="D469" s="999"/>
      <c r="E469" s="473"/>
      <c r="F469" s="377"/>
    </row>
    <row r="470" spans="1:64" ht="14" customHeight="1">
      <c r="A470" s="981"/>
      <c r="B470" s="967"/>
      <c r="C470" s="1008"/>
      <c r="D470" s="999"/>
      <c r="E470" s="473"/>
      <c r="F470" s="377"/>
    </row>
    <row r="471" spans="1:64" ht="14" customHeight="1">
      <c r="A471" s="981"/>
      <c r="B471" s="967"/>
      <c r="C471" s="1008"/>
      <c r="D471" s="999"/>
      <c r="E471" s="473"/>
      <c r="F471" s="377"/>
    </row>
    <row r="472" spans="1:64" ht="14" customHeight="1">
      <c r="A472" s="981"/>
      <c r="B472" s="967"/>
      <c r="C472" s="1008"/>
      <c r="D472" s="999"/>
      <c r="E472" s="473"/>
      <c r="F472" s="377"/>
    </row>
    <row r="473" spans="1:64" ht="15" customHeight="1">
      <c r="A473" s="977"/>
      <c r="B473" s="978"/>
      <c r="C473" s="979" t="s">
        <v>1824</v>
      </c>
      <c r="D473" s="980"/>
      <c r="E473" s="980"/>
      <c r="F473" s="304"/>
    </row>
    <row r="474" spans="1:64" ht="14" customHeight="1">
      <c r="A474" s="981"/>
      <c r="B474" s="1012" t="s">
        <v>1825</v>
      </c>
      <c r="C474" s="1007" t="s">
        <v>1826</v>
      </c>
      <c r="D474" s="999" t="s">
        <v>1827</v>
      </c>
      <c r="E474" s="473" t="e">
        <v>#REF!</v>
      </c>
      <c r="F474" s="310" t="s">
        <v>1821</v>
      </c>
    </row>
    <row r="475" spans="1:64" ht="14" customHeight="1">
      <c r="A475" s="981"/>
      <c r="B475" s="967"/>
      <c r="C475" s="1008" t="s">
        <v>1823</v>
      </c>
      <c r="D475" s="999"/>
      <c r="E475" s="473"/>
      <c r="F475" s="377"/>
    </row>
    <row r="476" spans="1:64" ht="14" customHeight="1">
      <c r="A476" s="981"/>
      <c r="B476" s="967"/>
      <c r="C476" s="1013"/>
      <c r="D476" s="999"/>
      <c r="E476" s="474"/>
      <c r="F476" s="377"/>
    </row>
    <row r="477" spans="1:64" ht="14" customHeight="1">
      <c r="A477" s="981"/>
      <c r="B477" s="967"/>
      <c r="C477" s="1013"/>
      <c r="D477" s="999"/>
      <c r="E477" s="475"/>
      <c r="F477" s="321"/>
    </row>
    <row r="478" spans="1:64" ht="14" customHeight="1">
      <c r="A478" s="981"/>
      <c r="B478" s="967"/>
      <c r="C478" s="1019"/>
      <c r="D478" s="999"/>
      <c r="E478" s="475"/>
      <c r="F478" s="321"/>
    </row>
    <row r="479" spans="1:64" ht="15" customHeight="1">
      <c r="A479" s="977"/>
      <c r="B479" s="978"/>
      <c r="C479" s="979" t="s">
        <v>1828</v>
      </c>
      <c r="D479" s="980"/>
      <c r="E479" s="980"/>
      <c r="F479" s="980"/>
    </row>
    <row r="480" spans="1:64" ht="14" customHeight="1">
      <c r="A480" s="981"/>
      <c r="B480" s="982" t="s">
        <v>1829</v>
      </c>
      <c r="C480" s="1523" t="s">
        <v>1830</v>
      </c>
      <c r="D480" s="967" t="s">
        <v>1831</v>
      </c>
      <c r="E480" s="453">
        <v>347.60595766044685</v>
      </c>
      <c r="F480" s="310" t="s">
        <v>236</v>
      </c>
    </row>
    <row r="481" spans="1:6" ht="14" customHeight="1">
      <c r="A481" s="981"/>
      <c r="B481" s="982"/>
      <c r="C481" s="1523"/>
      <c r="D481" s="967"/>
      <c r="E481" s="453"/>
      <c r="F481" s="310"/>
    </row>
    <row r="482" spans="1:6" ht="14" customHeight="1">
      <c r="A482" s="981"/>
      <c r="B482" s="982"/>
      <c r="C482" s="1013"/>
      <c r="D482" s="967"/>
      <c r="E482" s="453"/>
      <c r="F482" s="310"/>
    </row>
    <row r="483" spans="1:6" ht="14" customHeight="1">
      <c r="A483" s="981"/>
      <c r="B483" s="982"/>
      <c r="C483" s="1013"/>
      <c r="D483" s="967"/>
      <c r="E483" s="453"/>
      <c r="F483" s="310"/>
    </row>
    <row r="484" spans="1:6" ht="14" customHeight="1">
      <c r="A484" s="981"/>
      <c r="B484" s="982" t="s">
        <v>1832</v>
      </c>
      <c r="C484" s="1523" t="s">
        <v>1833</v>
      </c>
      <c r="D484" s="967" t="s">
        <v>1834</v>
      </c>
      <c r="E484" s="453">
        <v>352.60595766044685</v>
      </c>
      <c r="F484" s="310" t="s">
        <v>236</v>
      </c>
    </row>
    <row r="485" spans="1:6" ht="14" customHeight="1">
      <c r="A485" s="981"/>
      <c r="B485" s="982"/>
      <c r="C485" s="1523"/>
      <c r="D485" s="967"/>
      <c r="E485" s="453"/>
      <c r="F485" s="310"/>
    </row>
    <row r="486" spans="1:6" ht="14" customHeight="1">
      <c r="A486" s="981"/>
      <c r="B486" s="982"/>
      <c r="C486" s="1013"/>
      <c r="D486" s="967"/>
      <c r="E486" s="453"/>
      <c r="F486" s="310"/>
    </row>
    <row r="487" spans="1:6" ht="14" customHeight="1">
      <c r="A487" s="981"/>
      <c r="B487" s="982"/>
      <c r="C487" s="1013"/>
      <c r="D487" s="967"/>
      <c r="E487" s="453"/>
      <c r="F487" s="310"/>
    </row>
    <row r="488" spans="1:6" ht="14" customHeight="1">
      <c r="A488" s="981"/>
      <c r="B488" s="982" t="s">
        <v>1835</v>
      </c>
      <c r="C488" s="1523" t="s">
        <v>1836</v>
      </c>
      <c r="D488" s="967" t="s">
        <v>1837</v>
      </c>
      <c r="E488" s="453">
        <v>360.87430340557285</v>
      </c>
      <c r="F488" s="310" t="s">
        <v>236</v>
      </c>
    </row>
    <row r="489" spans="1:6" ht="14" customHeight="1">
      <c r="A489" s="981"/>
      <c r="B489" s="982"/>
      <c r="C489" s="1523"/>
      <c r="D489" s="967"/>
      <c r="E489" s="453"/>
      <c r="F489" s="310"/>
    </row>
    <row r="490" spans="1:6" ht="14" customHeight="1">
      <c r="A490" s="981"/>
      <c r="B490" s="982"/>
      <c r="C490" s="1013"/>
      <c r="D490" s="967"/>
      <c r="E490" s="453"/>
      <c r="F490" s="310"/>
    </row>
    <row r="491" spans="1:6" ht="14" customHeight="1">
      <c r="A491" s="981"/>
      <c r="B491" s="982"/>
      <c r="C491" s="1013"/>
      <c r="D491" s="967"/>
      <c r="E491" s="453"/>
      <c r="F491" s="310"/>
    </row>
    <row r="492" spans="1:6" ht="14" customHeight="1">
      <c r="A492" s="981"/>
      <c r="B492" s="982" t="s">
        <v>1838</v>
      </c>
      <c r="C492" s="1523" t="s">
        <v>1839</v>
      </c>
      <c r="D492" s="967" t="s">
        <v>1840</v>
      </c>
      <c r="E492" s="453">
        <v>357.60595766044685</v>
      </c>
      <c r="F492" s="310" t="s">
        <v>236</v>
      </c>
    </row>
    <row r="493" spans="1:6" ht="14" customHeight="1">
      <c r="A493" s="981"/>
      <c r="B493" s="984"/>
      <c r="C493" s="1523"/>
      <c r="D493" s="967"/>
      <c r="E493" s="453"/>
      <c r="F493" s="373"/>
    </row>
    <row r="494" spans="1:6" ht="14" customHeight="1">
      <c r="A494" s="981"/>
      <c r="B494" s="984"/>
      <c r="C494" s="1008"/>
      <c r="D494" s="967"/>
      <c r="E494" s="453"/>
      <c r="F494" s="373"/>
    </row>
    <row r="495" spans="1:6" ht="14" customHeight="1">
      <c r="A495" s="981"/>
      <c r="B495" s="984"/>
      <c r="C495" s="1013"/>
      <c r="D495" s="967"/>
      <c r="E495" s="453"/>
      <c r="F495" s="377"/>
    </row>
    <row r="496" spans="1:6" ht="15" customHeight="1">
      <c r="A496" s="977"/>
      <c r="B496" s="978"/>
      <c r="C496" s="979" t="s">
        <v>1841</v>
      </c>
      <c r="D496" s="980"/>
      <c r="E496" s="980"/>
      <c r="F496" s="304"/>
    </row>
    <row r="497" spans="1:6" ht="14" customHeight="1">
      <c r="A497" s="981"/>
      <c r="B497" s="982" t="s">
        <v>1842</v>
      </c>
      <c r="C497" s="1007" t="s">
        <v>1843</v>
      </c>
      <c r="D497" s="967" t="s">
        <v>1831</v>
      </c>
      <c r="E497" s="453">
        <v>330.78500000000008</v>
      </c>
      <c r="F497" s="310" t="s">
        <v>236</v>
      </c>
    </row>
    <row r="498" spans="1:6" ht="14" customHeight="1">
      <c r="A498" s="981"/>
      <c r="B498" s="984"/>
      <c r="C498" s="1008" t="s">
        <v>1844</v>
      </c>
      <c r="D498" s="967"/>
      <c r="E498" s="453"/>
      <c r="F498" s="377"/>
    </row>
    <row r="499" spans="1:6" ht="14" customHeight="1">
      <c r="A499" s="981"/>
      <c r="B499" s="1020"/>
      <c r="C499" s="1021"/>
      <c r="D499" s="967"/>
      <c r="E499" s="453"/>
      <c r="F499" s="377"/>
    </row>
    <row r="500" spans="1:6" ht="14" customHeight="1">
      <c r="A500" s="981"/>
      <c r="B500" s="1020"/>
      <c r="C500" s="1021"/>
      <c r="D500" s="967"/>
      <c r="E500" s="453"/>
      <c r="F500" s="377"/>
    </row>
    <row r="501" spans="1:6" ht="14" customHeight="1">
      <c r="A501" s="981"/>
      <c r="B501" s="984"/>
      <c r="C501" s="1013"/>
      <c r="D501" s="967"/>
      <c r="E501" s="453"/>
      <c r="F501" s="377"/>
    </row>
    <row r="502" spans="1:6" ht="14" customHeight="1">
      <c r="A502" s="955"/>
      <c r="B502" s="956"/>
      <c r="C502" s="957" t="s">
        <v>1845</v>
      </c>
      <c r="D502" s="958"/>
      <c r="E502" s="958"/>
      <c r="F502" s="342"/>
    </row>
    <row r="503" spans="1:6" ht="14" customHeight="1">
      <c r="A503" s="1022"/>
      <c r="B503" s="1023" t="str">
        <v>SCBR-0380</v>
      </c>
      <c r="C503" s="962" t="s">
        <v>1846</v>
      </c>
      <c r="D503" s="967"/>
      <c r="E503" s="453">
        <v>552.66666666666674</v>
      </c>
      <c r="F503" s="310" t="s">
        <v>1821</v>
      </c>
    </row>
    <row r="504" spans="1:6" ht="14" customHeight="1">
      <c r="A504" s="1022"/>
      <c r="B504" s="984"/>
      <c r="C504" s="962" t="s">
        <v>1847</v>
      </c>
      <c r="D504" s="967"/>
      <c r="E504" s="453"/>
      <c r="F504" s="321"/>
    </row>
    <row r="505" spans="1:6" ht="14" customHeight="1">
      <c r="A505" s="1022"/>
      <c r="B505" s="984"/>
      <c r="C505" s="962"/>
      <c r="D505" s="967"/>
      <c r="E505" s="453"/>
      <c r="F505" s="321"/>
    </row>
    <row r="506" spans="1:6" ht="14" customHeight="1">
      <c r="A506" s="1022"/>
      <c r="B506" s="984"/>
      <c r="C506" s="1024"/>
      <c r="D506" s="967"/>
      <c r="E506" s="453"/>
      <c r="F506" s="321"/>
    </row>
    <row r="507" spans="1:6" ht="14" customHeight="1">
      <c r="A507" s="1022"/>
      <c r="B507" s="984"/>
      <c r="C507" s="1024"/>
      <c r="D507" s="967"/>
      <c r="E507" s="453"/>
      <c r="F507" s="321"/>
    </row>
    <row r="508" spans="1:6" ht="14" customHeight="1">
      <c r="A508" s="1025"/>
      <c r="B508" s="994"/>
      <c r="C508" s="972"/>
      <c r="D508" s="995"/>
      <c r="E508" s="453"/>
      <c r="F508" s="321"/>
    </row>
    <row r="509" spans="1:6" ht="14" customHeight="1">
      <c r="A509" s="955"/>
      <c r="B509" s="956"/>
      <c r="C509" s="957" t="s">
        <v>1845</v>
      </c>
      <c r="D509" s="958"/>
      <c r="E509" s="958"/>
      <c r="F509" s="342"/>
    </row>
    <row r="510" spans="1:6" ht="14" customHeight="1">
      <c r="A510" s="1022"/>
      <c r="B510" s="982" t="s">
        <v>1848</v>
      </c>
      <c r="C510" s="962" t="s">
        <v>1849</v>
      </c>
      <c r="D510" s="967" t="s">
        <v>1850</v>
      </c>
      <c r="E510" s="453">
        <v>316.66666666666669</v>
      </c>
      <c r="F510" s="310" t="s">
        <v>1821</v>
      </c>
    </row>
    <row r="511" spans="1:6" ht="14" customHeight="1">
      <c r="A511" s="1022"/>
      <c r="B511" s="984"/>
      <c r="C511" s="962" t="s">
        <v>1847</v>
      </c>
      <c r="D511" s="967"/>
      <c r="E511" s="453"/>
      <c r="F511" s="321"/>
    </row>
    <row r="512" spans="1:6" ht="14" customHeight="1">
      <c r="A512" s="1022"/>
      <c r="B512" s="984"/>
      <c r="C512" s="962"/>
      <c r="D512" s="967"/>
      <c r="E512" s="453"/>
      <c r="F512" s="321"/>
    </row>
    <row r="513" spans="1:60" ht="14" customHeight="1">
      <c r="A513" s="1022"/>
      <c r="B513" s="984"/>
      <c r="C513" s="1024"/>
      <c r="D513" s="967"/>
      <c r="E513" s="453"/>
      <c r="F513" s="321"/>
    </row>
    <row r="514" spans="1:60" ht="14" customHeight="1">
      <c r="A514" s="1022"/>
      <c r="B514" s="984"/>
      <c r="C514" s="1024"/>
      <c r="D514" s="967"/>
      <c r="E514" s="453"/>
      <c r="F514" s="321"/>
    </row>
    <row r="515" spans="1:60" ht="14" customHeight="1">
      <c r="A515" s="1025"/>
      <c r="B515" s="994"/>
      <c r="C515" s="972"/>
      <c r="D515" s="995"/>
      <c r="E515" s="453"/>
      <c r="F515" s="321"/>
    </row>
    <row r="516" spans="1:60" ht="15" customHeight="1">
      <c r="A516" s="977"/>
      <c r="B516" s="978"/>
      <c r="C516" s="979" t="s">
        <v>1851</v>
      </c>
      <c r="D516" s="980"/>
      <c r="E516" s="980"/>
      <c r="F516" s="304"/>
    </row>
    <row r="517" spans="1:60" ht="14" customHeight="1">
      <c r="A517" s="981"/>
      <c r="B517" s="982">
        <v>1</v>
      </c>
      <c r="C517" s="1026" t="s">
        <v>1852</v>
      </c>
      <c r="D517" s="967" t="s">
        <v>1853</v>
      </c>
      <c r="E517" s="453">
        <v>833.33333333333337</v>
      </c>
      <c r="F517" s="310" t="s">
        <v>1821</v>
      </c>
    </row>
    <row r="518" spans="1:60" ht="14" customHeight="1">
      <c r="A518" s="981"/>
      <c r="B518" s="984"/>
      <c r="C518" s="962" t="s">
        <v>1854</v>
      </c>
      <c r="D518" s="967"/>
      <c r="E518" s="475"/>
      <c r="F518" s="321"/>
    </row>
    <row r="519" spans="1:60" ht="14" customHeight="1">
      <c r="A519" s="981"/>
      <c r="B519" s="984"/>
      <c r="C519" s="962"/>
      <c r="D519" s="967"/>
      <c r="E519" s="475"/>
      <c r="F519" s="321"/>
    </row>
    <row r="520" spans="1:60" ht="14" customHeight="1">
      <c r="A520" s="981"/>
      <c r="B520" s="984"/>
      <c r="C520" s="972"/>
      <c r="D520" s="967"/>
      <c r="E520" s="475"/>
      <c r="F520" s="321"/>
    </row>
    <row r="521" spans="1:60" ht="14" customHeight="1">
      <c r="A521" s="981"/>
      <c r="B521" s="984"/>
      <c r="C521" s="972"/>
      <c r="D521" s="967"/>
      <c r="E521" s="475"/>
      <c r="F521" s="321"/>
    </row>
    <row r="522" spans="1:60" ht="14" customHeight="1">
      <c r="A522" s="981"/>
      <c r="B522" s="984"/>
      <c r="C522" s="972"/>
      <c r="D522" s="967"/>
      <c r="E522" s="475"/>
      <c r="F522" s="321"/>
    </row>
    <row r="523" spans="1:60" ht="14" customHeight="1">
      <c r="A523" s="981"/>
      <c r="B523" s="984"/>
      <c r="C523" s="972"/>
      <c r="D523" s="967"/>
      <c r="E523" s="475"/>
      <c r="F523" s="321"/>
    </row>
    <row r="524" spans="1:60" ht="14" customHeight="1">
      <c r="A524" s="981"/>
      <c r="B524" s="984"/>
      <c r="C524" s="972"/>
      <c r="D524" s="967"/>
      <c r="E524" s="475"/>
      <c r="F524" s="321"/>
    </row>
    <row r="525" spans="1:60" ht="14" customHeight="1">
      <c r="A525" s="981"/>
      <c r="B525" s="984"/>
      <c r="C525" s="972"/>
      <c r="D525" s="967"/>
      <c r="E525" s="475"/>
      <c r="F525" s="321"/>
    </row>
    <row r="526" spans="1:60" s="934" customFormat="1" ht="15" customHeight="1">
      <c r="A526" s="935" t="s">
        <v>1560</v>
      </c>
      <c r="B526" s="936"/>
      <c r="C526" s="1513" t="s">
        <v>1855</v>
      </c>
      <c r="D526" s="935"/>
      <c r="E526" s="328"/>
      <c r="F526" s="574"/>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1856</v>
      </c>
      <c r="B527" s="943"/>
      <c r="C527" s="1514"/>
      <c r="D527" s="944"/>
      <c r="E527" s="379"/>
      <c r="F527" s="575"/>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405</v>
      </c>
      <c r="B528" s="952" t="s">
        <v>406</v>
      </c>
      <c r="C528" s="294" t="s">
        <v>407</v>
      </c>
      <c r="D528" s="951" t="s">
        <v>408</v>
      </c>
      <c r="E528" s="295" t="s">
        <v>409</v>
      </c>
      <c r="F528" s="296" t="s">
        <v>1563</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 customHeight="1">
      <c r="A529" s="955"/>
      <c r="B529" s="956"/>
      <c r="C529" s="957" t="s">
        <v>1857</v>
      </c>
      <c r="D529" s="958"/>
      <c r="E529" s="543"/>
      <c r="F529" s="576"/>
    </row>
    <row r="530" spans="1:7" ht="14" customHeight="1">
      <c r="A530" s="981"/>
      <c r="B530" s="982" t="s">
        <v>1858</v>
      </c>
      <c r="C530" s="1026" t="s">
        <v>1859</v>
      </c>
      <c r="D530" s="967" t="s">
        <v>1860</v>
      </c>
      <c r="E530" s="453">
        <v>3333.3333333333335</v>
      </c>
      <c r="F530" s="310" t="s">
        <v>235</v>
      </c>
      <c r="G530" s="1027"/>
    </row>
    <row r="531" spans="1:7" ht="14" customHeight="1">
      <c r="A531" s="981"/>
      <c r="B531" s="982"/>
      <c r="C531" s="962" t="s">
        <v>1861</v>
      </c>
      <c r="D531" s="967"/>
      <c r="E531" s="453"/>
      <c r="F531" s="401"/>
    </row>
    <row r="532" spans="1:7" ht="14" customHeight="1">
      <c r="A532" s="981"/>
      <c r="B532" s="982"/>
      <c r="C532" s="962" t="s">
        <v>1862</v>
      </c>
      <c r="D532" s="967"/>
      <c r="E532" s="453"/>
      <c r="F532" s="401"/>
    </row>
    <row r="533" spans="1:7" ht="14" customHeight="1">
      <c r="A533" s="981"/>
      <c r="B533" s="982"/>
      <c r="C533" s="962" t="s">
        <v>1863</v>
      </c>
      <c r="D533" s="967"/>
      <c r="E533" s="453"/>
      <c r="F533" s="401"/>
    </row>
    <row r="534" spans="1:7" ht="14" customHeight="1">
      <c r="A534" s="981"/>
      <c r="B534" s="982"/>
      <c r="C534" s="962"/>
      <c r="D534" s="967"/>
      <c r="E534" s="453"/>
      <c r="F534" s="401"/>
      <c r="G534" s="1027"/>
    </row>
    <row r="535" spans="1:7" ht="14" customHeight="1">
      <c r="A535" s="981"/>
      <c r="B535" s="982"/>
      <c r="C535" s="962"/>
      <c r="D535" s="967"/>
      <c r="E535" s="453"/>
      <c r="F535" s="401"/>
    </row>
    <row r="536" spans="1:7" ht="14" customHeight="1">
      <c r="A536" s="981"/>
      <c r="B536" s="982"/>
      <c r="C536" s="962"/>
      <c r="D536" s="967"/>
      <c r="E536" s="453"/>
      <c r="F536" s="401"/>
    </row>
    <row r="537" spans="1:7" ht="14" customHeight="1">
      <c r="A537" s="981"/>
      <c r="B537" s="982"/>
      <c r="C537" s="962"/>
      <c r="D537" s="967"/>
      <c r="E537" s="453"/>
      <c r="F537" s="401"/>
    </row>
    <row r="538" spans="1:7" ht="14" customHeight="1">
      <c r="A538" s="981"/>
      <c r="B538" s="982"/>
      <c r="C538" s="962"/>
      <c r="D538" s="967"/>
      <c r="E538" s="453"/>
      <c r="F538" s="401"/>
      <c r="G538" s="1027"/>
    </row>
    <row r="539" spans="1:7" ht="14" customHeight="1">
      <c r="A539" s="981"/>
      <c r="B539" s="1012"/>
      <c r="C539" s="1028"/>
      <c r="D539" s="999"/>
      <c r="E539" s="453"/>
      <c r="F539" s="401"/>
    </row>
    <row r="540" spans="1:7" ht="14" customHeight="1">
      <c r="A540" s="981"/>
      <c r="B540" s="982" t="s">
        <v>1864</v>
      </c>
      <c r="C540" s="962" t="s">
        <v>1865</v>
      </c>
      <c r="D540" s="967" t="s">
        <v>1866</v>
      </c>
      <c r="E540" s="453">
        <v>3083.3333333333335</v>
      </c>
      <c r="F540" s="310" t="s">
        <v>235</v>
      </c>
    </row>
    <row r="541" spans="1:7" ht="14" customHeight="1">
      <c r="A541" s="981"/>
      <c r="B541" s="982"/>
      <c r="C541" s="962" t="s">
        <v>1867</v>
      </c>
      <c r="D541" s="967"/>
      <c r="E541" s="453"/>
      <c r="F541" s="401"/>
    </row>
    <row r="542" spans="1:7" ht="14" customHeight="1">
      <c r="A542" s="981"/>
      <c r="B542" s="982"/>
      <c r="C542" s="962" t="s">
        <v>1862</v>
      </c>
      <c r="D542" s="967"/>
      <c r="E542" s="453"/>
      <c r="F542" s="401"/>
    </row>
    <row r="543" spans="1:7" ht="14" customHeight="1">
      <c r="A543" s="981"/>
      <c r="B543" s="982"/>
      <c r="C543" s="962" t="s">
        <v>1863</v>
      </c>
      <c r="D543" s="967"/>
      <c r="E543" s="453"/>
      <c r="F543" s="401"/>
    </row>
    <row r="544" spans="1:7" ht="14" customHeight="1">
      <c r="A544" s="981"/>
      <c r="B544" s="982"/>
      <c r="C544" s="962"/>
      <c r="D544" s="967"/>
      <c r="E544" s="453"/>
      <c r="F544" s="401"/>
    </row>
    <row r="545" spans="1:251" ht="14" customHeight="1">
      <c r="A545" s="981"/>
      <c r="B545" s="982"/>
      <c r="C545" s="962"/>
      <c r="D545" s="967"/>
      <c r="E545" s="453"/>
      <c r="F545" s="401"/>
    </row>
    <row r="546" spans="1:251" ht="14" customHeight="1">
      <c r="A546" s="981"/>
      <c r="B546" s="982"/>
      <c r="C546" s="962"/>
      <c r="D546" s="967"/>
      <c r="E546" s="453"/>
      <c r="F546" s="401"/>
    </row>
    <row r="547" spans="1:251" ht="14" customHeight="1">
      <c r="A547" s="981"/>
      <c r="B547" s="982"/>
      <c r="C547" s="962"/>
      <c r="D547" s="967"/>
      <c r="E547" s="453"/>
      <c r="F547" s="401"/>
    </row>
    <row r="548" spans="1:251" ht="14" customHeight="1">
      <c r="A548" s="981"/>
      <c r="B548" s="982"/>
      <c r="C548" s="962"/>
      <c r="D548" s="967"/>
      <c r="E548" s="453"/>
      <c r="F548" s="401"/>
    </row>
    <row r="549" spans="1:251" ht="14" customHeight="1">
      <c r="A549" s="981"/>
      <c r="B549" s="982"/>
      <c r="C549" s="962"/>
      <c r="D549" s="967"/>
      <c r="E549" s="453"/>
      <c r="F549" s="401"/>
    </row>
    <row r="550" spans="1:251" ht="14" customHeight="1">
      <c r="A550" s="981"/>
      <c r="B550" s="982"/>
      <c r="C550" s="972"/>
      <c r="D550" s="967"/>
      <c r="E550" s="453"/>
      <c r="F550" s="401"/>
    </row>
    <row r="551" spans="1:251" ht="14" customHeight="1">
      <c r="A551" s="981"/>
      <c r="B551" s="982" t="s">
        <v>1868</v>
      </c>
      <c r="C551" s="962" t="s">
        <v>1869</v>
      </c>
      <c r="D551" s="967" t="s">
        <v>1870</v>
      </c>
      <c r="E551" s="453">
        <v>3000</v>
      </c>
      <c r="F551" s="310" t="s">
        <v>235</v>
      </c>
    </row>
    <row r="552" spans="1:251" ht="14" customHeight="1">
      <c r="A552" s="981"/>
      <c r="B552" s="982"/>
      <c r="C552" s="962" t="s">
        <v>1871</v>
      </c>
      <c r="D552" s="967"/>
      <c r="E552" s="453"/>
      <c r="F552" s="401"/>
    </row>
    <row r="553" spans="1:251" ht="14" customHeight="1">
      <c r="A553" s="981"/>
      <c r="B553" s="982"/>
      <c r="C553" s="962" t="s">
        <v>1872</v>
      </c>
      <c r="D553" s="967"/>
      <c r="E553" s="453"/>
      <c r="F553" s="401"/>
    </row>
    <row r="554" spans="1:251" ht="14" customHeight="1">
      <c r="A554" s="981"/>
      <c r="B554" s="982"/>
      <c r="C554" s="962" t="s">
        <v>1873</v>
      </c>
      <c r="D554" s="967"/>
      <c r="E554" s="453"/>
      <c r="F554" s="401"/>
    </row>
    <row r="555" spans="1:251" ht="14" customHeight="1">
      <c r="A555" s="981"/>
      <c r="B555" s="982"/>
      <c r="C555" s="972"/>
      <c r="D555" s="967"/>
      <c r="E555" s="453"/>
      <c r="F555" s="401"/>
    </row>
    <row r="556" spans="1:251" ht="14" customHeight="1">
      <c r="A556" s="981"/>
      <c r="B556" s="982"/>
      <c r="C556" s="972"/>
      <c r="D556" s="967"/>
      <c r="E556" s="453"/>
      <c r="F556" s="401"/>
    </row>
    <row r="557" spans="1:251" ht="14" customHeight="1">
      <c r="A557" s="981"/>
      <c r="B557" s="1029"/>
      <c r="C557" s="1030"/>
      <c r="D557" s="1031"/>
      <c r="E557" s="453"/>
      <c r="F557" s="401"/>
    </row>
    <row r="558" spans="1:251" ht="14" customHeight="1">
      <c r="A558" s="981"/>
      <c r="B558" s="1032"/>
      <c r="C558" s="1033"/>
      <c r="D558" s="1034"/>
      <c r="E558" s="453"/>
      <c r="F558" s="401"/>
    </row>
    <row r="559" spans="1:251" ht="14" customHeight="1">
      <c r="A559" s="981"/>
      <c r="B559" s="1032"/>
      <c r="C559" s="1033"/>
      <c r="D559" s="1034"/>
      <c r="E559" s="453"/>
      <c r="F559" s="401"/>
    </row>
    <row r="560" spans="1:251" s="934" customFormat="1" ht="15" customHeight="1">
      <c r="A560" s="935" t="s">
        <v>1560</v>
      </c>
      <c r="B560" s="936"/>
      <c r="C560" s="937" t="s">
        <v>1874</v>
      </c>
      <c r="D560" s="935"/>
      <c r="E560" s="328"/>
      <c r="F560" s="574"/>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1856</v>
      </c>
      <c r="B561" s="943"/>
      <c r="C561" s="1035"/>
      <c r="D561" s="944"/>
      <c r="E561" s="379"/>
      <c r="F561" s="575"/>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405</v>
      </c>
      <c r="B562" s="952" t="s">
        <v>406</v>
      </c>
      <c r="C562" s="294" t="s">
        <v>407</v>
      </c>
      <c r="D562" s="951" t="s">
        <v>408</v>
      </c>
      <c r="E562" s="295" t="s">
        <v>409</v>
      </c>
      <c r="F562" s="296" t="s">
        <v>1563</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 customHeight="1">
      <c r="A563" s="955"/>
      <c r="B563" s="956"/>
      <c r="C563" s="957" t="s">
        <v>1875</v>
      </c>
      <c r="D563" s="958"/>
      <c r="E563" s="543"/>
      <c r="F563" s="576"/>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 customHeight="1">
      <c r="A564" s="981"/>
      <c r="B564" s="1036" t="s">
        <v>1876</v>
      </c>
      <c r="C564" s="1037" t="s">
        <v>1877</v>
      </c>
      <c r="D564" s="1038" t="s">
        <v>1878</v>
      </c>
      <c r="E564" s="453">
        <v>5700</v>
      </c>
      <c r="F564" s="310" t="s">
        <v>235</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 customHeight="1">
      <c r="A565" s="981"/>
      <c r="B565" s="1039"/>
      <c r="C565" s="1037" t="s">
        <v>1879</v>
      </c>
      <c r="D565" s="1038"/>
      <c r="E565" s="453"/>
      <c r="F565" s="401"/>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 customHeight="1">
      <c r="A566" s="981"/>
      <c r="B566" s="1039"/>
      <c r="C566" s="1037" t="s">
        <v>1880</v>
      </c>
      <c r="D566" s="1038"/>
      <c r="E566" s="453"/>
      <c r="F566" s="401"/>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 customHeight="1">
      <c r="A567" s="981"/>
      <c r="B567" s="1039"/>
      <c r="C567" s="1037" t="s">
        <v>1881</v>
      </c>
      <c r="D567" s="1038"/>
      <c r="E567" s="453"/>
      <c r="F567" s="401"/>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 customHeight="1">
      <c r="A568" s="981"/>
      <c r="B568" s="984"/>
      <c r="C568" s="962"/>
      <c r="D568" s="967"/>
      <c r="E568" s="453"/>
      <c r="F568" s="401"/>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 customHeight="1">
      <c r="A569" s="981"/>
      <c r="B569" s="984"/>
      <c r="C569" s="962"/>
      <c r="D569" s="967"/>
      <c r="E569" s="453"/>
      <c r="F569" s="401"/>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 customHeight="1">
      <c r="A570" s="981"/>
      <c r="B570" s="984"/>
      <c r="C570" s="962"/>
      <c r="D570" s="967"/>
      <c r="E570" s="453"/>
      <c r="F570" s="401"/>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 customHeight="1">
      <c r="A571" s="981"/>
      <c r="B571" s="984"/>
      <c r="C571" s="962"/>
      <c r="D571" s="967"/>
      <c r="E571" s="453"/>
      <c r="F571" s="401"/>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 customHeight="1">
      <c r="A572" s="981"/>
      <c r="B572" s="984"/>
      <c r="C572" s="962"/>
      <c r="D572" s="967"/>
      <c r="E572" s="453"/>
      <c r="F572" s="401"/>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 customHeight="1">
      <c r="A573" s="981"/>
      <c r="B573" s="967"/>
      <c r="C573" s="1028"/>
      <c r="D573" s="999"/>
      <c r="E573" s="453"/>
      <c r="F573" s="401"/>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 customHeight="1">
      <c r="A574" s="981"/>
      <c r="B574" s="1039" t="s">
        <v>1882</v>
      </c>
      <c r="C574" s="1040" t="s">
        <v>1883</v>
      </c>
      <c r="D574" s="1041" t="s">
        <v>1884</v>
      </c>
      <c r="E574" s="453">
        <v>7800</v>
      </c>
      <c r="F574" s="310" t="s">
        <v>236</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 customHeight="1">
      <c r="A575" s="981"/>
      <c r="B575" s="1042"/>
      <c r="C575" s="1040" t="s">
        <v>1885</v>
      </c>
      <c r="D575" s="1041"/>
      <c r="E575" s="453"/>
      <c r="F575" s="389"/>
      <c r="H575" s="592"/>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 customHeight="1">
      <c r="A576" s="981"/>
      <c r="B576" s="1042"/>
      <c r="C576" s="1040" t="s">
        <v>1886</v>
      </c>
      <c r="D576" s="1041"/>
      <c r="E576" s="453"/>
      <c r="F576" s="389"/>
      <c r="H576" s="592"/>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 customHeight="1">
      <c r="A577" s="981"/>
      <c r="B577" s="1042"/>
      <c r="C577" s="1040" t="s">
        <v>1887</v>
      </c>
      <c r="D577" s="1041"/>
      <c r="E577" s="453"/>
      <c r="F577" s="389"/>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 customHeight="1">
      <c r="A578" s="981"/>
      <c r="B578" s="1042"/>
      <c r="C578" s="1040"/>
      <c r="D578" s="1041"/>
      <c r="E578" s="453"/>
      <c r="F578" s="389"/>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 customHeight="1">
      <c r="A579" s="981"/>
      <c r="B579" s="1042"/>
      <c r="C579" s="1040"/>
      <c r="D579" s="1041"/>
      <c r="E579" s="453"/>
      <c r="F579" s="389"/>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 customHeight="1">
      <c r="A580" s="981"/>
      <c r="B580" s="1042"/>
      <c r="C580" s="1040"/>
      <c r="D580" s="1041"/>
      <c r="E580" s="453"/>
      <c r="F580" s="389"/>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 customHeight="1">
      <c r="A581" s="981"/>
      <c r="B581" s="1042"/>
      <c r="C581" s="1040"/>
      <c r="D581" s="1041"/>
      <c r="E581" s="453"/>
      <c r="F581" s="389"/>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 customHeight="1">
      <c r="A582" s="981"/>
      <c r="B582" s="1039" t="s">
        <v>1888</v>
      </c>
      <c r="C582" s="1040" t="s">
        <v>1889</v>
      </c>
      <c r="D582" s="1041" t="s">
        <v>1890</v>
      </c>
      <c r="E582" s="453">
        <v>15380</v>
      </c>
      <c r="F582" s="310" t="s">
        <v>236</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 customHeight="1">
      <c r="A583" s="981"/>
      <c r="B583" s="1042"/>
      <c r="C583" s="1040" t="s">
        <v>1885</v>
      </c>
      <c r="D583" s="1041"/>
      <c r="E583" s="453"/>
      <c r="F583" s="389"/>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 customHeight="1">
      <c r="A584" s="981"/>
      <c r="B584" s="1042"/>
      <c r="C584" s="1040" t="s">
        <v>1886</v>
      </c>
      <c r="D584" s="1041"/>
      <c r="E584" s="453"/>
      <c r="F584" s="389"/>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 customHeight="1">
      <c r="A585" s="981"/>
      <c r="B585" s="1042"/>
      <c r="C585" s="1040" t="s">
        <v>1887</v>
      </c>
      <c r="D585" s="1041"/>
      <c r="E585" s="453"/>
      <c r="F585" s="593"/>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 customHeight="1">
      <c r="A586" s="981"/>
      <c r="B586" s="984"/>
      <c r="C586" s="962"/>
      <c r="D586" s="967"/>
      <c r="E586" s="453"/>
      <c r="F586" s="389"/>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 customHeight="1">
      <c r="A587" s="981"/>
      <c r="B587" s="984"/>
      <c r="C587" s="962"/>
      <c r="D587" s="967"/>
      <c r="E587" s="453"/>
      <c r="F587" s="389"/>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 customHeight="1">
      <c r="A588" s="981"/>
      <c r="B588" s="984"/>
      <c r="C588" s="962"/>
      <c r="D588" s="967"/>
      <c r="E588" s="453"/>
      <c r="F588" s="389"/>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 customHeight="1">
      <c r="A589" s="981"/>
      <c r="B589" s="984"/>
      <c r="C589" s="962"/>
      <c r="D589" s="967"/>
      <c r="E589" s="453"/>
      <c r="F589" s="389"/>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 customHeight="1">
      <c r="A590" s="981"/>
      <c r="B590" s="984"/>
      <c r="C590" s="962"/>
      <c r="D590" s="967"/>
      <c r="E590" s="453"/>
      <c r="F590" s="389"/>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 customHeight="1">
      <c r="A591" s="981"/>
      <c r="B591" s="1039" t="s">
        <v>1891</v>
      </c>
      <c r="C591" s="1040" t="s">
        <v>1892</v>
      </c>
      <c r="D591" s="1041" t="s">
        <v>1893</v>
      </c>
      <c r="E591" s="453">
        <v>16900</v>
      </c>
      <c r="F591" s="310" t="s">
        <v>236</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 customHeight="1">
      <c r="A592" s="981"/>
      <c r="B592" s="1042"/>
      <c r="C592" s="1040" t="s">
        <v>1885</v>
      </c>
      <c r="D592" s="1041"/>
      <c r="E592" s="453"/>
      <c r="F592" s="389"/>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 customHeight="1">
      <c r="A593" s="981"/>
      <c r="B593" s="1042"/>
      <c r="C593" s="1040" t="s">
        <v>1886</v>
      </c>
      <c r="D593" s="1041"/>
      <c r="E593" s="453"/>
      <c r="F593" s="389"/>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 customHeight="1">
      <c r="A594" s="981"/>
      <c r="B594" s="1042"/>
      <c r="C594" s="1040" t="s">
        <v>1887</v>
      </c>
      <c r="D594" s="1041"/>
      <c r="E594" s="453"/>
      <c r="F594" s="593"/>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 customHeight="1">
      <c r="A595" s="981"/>
      <c r="B595" s="984"/>
      <c r="C595" s="962"/>
      <c r="D595" s="967"/>
      <c r="E595" s="453"/>
      <c r="F595" s="389"/>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 customHeight="1">
      <c r="A596" s="981"/>
      <c r="B596" s="984"/>
      <c r="C596" s="962"/>
      <c r="D596" s="967"/>
      <c r="E596" s="453"/>
      <c r="F596" s="389"/>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 customHeight="1">
      <c r="A597" s="981"/>
      <c r="B597" s="984"/>
      <c r="C597" s="962"/>
      <c r="D597" s="967"/>
      <c r="E597" s="453"/>
      <c r="F597" s="389"/>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 customHeight="1">
      <c r="A598" s="981"/>
      <c r="B598" s="984"/>
      <c r="C598" s="962"/>
      <c r="D598" s="967"/>
      <c r="E598" s="453"/>
      <c r="F598" s="389"/>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 customHeight="1">
      <c r="A599" s="981"/>
      <c r="B599" s="984" t="s">
        <v>1894</v>
      </c>
      <c r="C599" s="1037" t="s">
        <v>1895</v>
      </c>
      <c r="D599" s="967" t="s">
        <v>1896</v>
      </c>
      <c r="E599" s="453">
        <v>9647.6470588235297</v>
      </c>
      <c r="F599" s="310" t="s">
        <v>236</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 customHeight="1">
      <c r="A600" s="981"/>
      <c r="B600" s="984"/>
      <c r="C600" s="1037" t="s">
        <v>1897</v>
      </c>
      <c r="D600" s="967"/>
      <c r="E600" s="453"/>
      <c r="F600" s="389"/>
      <c r="H600" s="594"/>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 customHeight="1">
      <c r="A601" s="981"/>
      <c r="B601" s="984"/>
      <c r="C601" s="1037" t="s">
        <v>1898</v>
      </c>
      <c r="D601" s="967"/>
      <c r="E601" s="453"/>
      <c r="F601" s="389"/>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 customHeight="1">
      <c r="A602" s="981"/>
      <c r="B602" s="984"/>
      <c r="C602" s="1024" t="s">
        <v>1899</v>
      </c>
      <c r="D602" s="967"/>
      <c r="E602" s="453"/>
      <c r="F602" s="389"/>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 customHeight="1">
      <c r="A603" s="981"/>
      <c r="B603" s="984"/>
      <c r="C603" s="1037"/>
      <c r="D603" s="967"/>
      <c r="E603" s="453"/>
      <c r="F603" s="389"/>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 customHeight="1">
      <c r="A604" s="981"/>
      <c r="B604" s="984"/>
      <c r="C604" s="1037"/>
      <c r="D604" s="967"/>
      <c r="E604" s="453"/>
      <c r="F604" s="389"/>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 customHeight="1">
      <c r="A605" s="981"/>
      <c r="B605" s="984"/>
      <c r="C605" s="962"/>
      <c r="D605" s="967"/>
      <c r="E605" s="453"/>
      <c r="F605" s="389"/>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 customHeight="1">
      <c r="A606" s="981"/>
      <c r="B606" s="984" t="s">
        <v>1900</v>
      </c>
      <c r="C606" s="1037" t="s">
        <v>1901</v>
      </c>
      <c r="D606" s="967" t="s">
        <v>1896</v>
      </c>
      <c r="E606" s="453">
        <v>12340.588235294119</v>
      </c>
      <c r="F606" s="310" t="s">
        <v>236</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 customHeight="1">
      <c r="A607" s="981"/>
      <c r="B607" s="984"/>
      <c r="C607" s="1037" t="s">
        <v>1902</v>
      </c>
      <c r="D607" s="967"/>
      <c r="E607" s="453"/>
      <c r="F607" s="389"/>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 customHeight="1">
      <c r="A608" s="981"/>
      <c r="B608" s="984"/>
      <c r="C608" s="1037" t="s">
        <v>1903</v>
      </c>
      <c r="D608" s="967"/>
      <c r="E608" s="453"/>
      <c r="F608" s="389"/>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 customHeight="1">
      <c r="A609" s="981"/>
      <c r="B609" s="984"/>
      <c r="C609" s="1037" t="s">
        <v>1904</v>
      </c>
      <c r="D609" s="967"/>
      <c r="E609" s="453"/>
      <c r="F609" s="389"/>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 customHeight="1">
      <c r="A610" s="981"/>
      <c r="B610" s="984"/>
      <c r="C610" s="1024" t="s">
        <v>1899</v>
      </c>
      <c r="D610" s="967"/>
      <c r="E610" s="453"/>
      <c r="F610" s="389"/>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 customHeight="1">
      <c r="A611" s="981"/>
      <c r="B611" s="984"/>
      <c r="C611" s="1037"/>
      <c r="D611" s="967"/>
      <c r="E611" s="453"/>
      <c r="F611" s="389"/>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 customHeight="1">
      <c r="A612" s="981"/>
      <c r="B612" s="984"/>
      <c r="C612" s="1037"/>
      <c r="D612" s="967"/>
      <c r="E612" s="569"/>
      <c r="F612" s="389"/>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1905</v>
      </c>
      <c r="B613" s="936"/>
      <c r="C613" s="1513" t="s">
        <v>1906</v>
      </c>
      <c r="D613" s="935"/>
      <c r="E613" s="328"/>
      <c r="F613" s="574"/>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1907</v>
      </c>
      <c r="B614" s="943"/>
      <c r="C614" s="1514"/>
      <c r="D614" s="944"/>
      <c r="E614" s="379"/>
      <c r="F614" s="575"/>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405</v>
      </c>
      <c r="B615" s="952" t="s">
        <v>406</v>
      </c>
      <c r="C615" s="294" t="s">
        <v>407</v>
      </c>
      <c r="D615" s="951" t="s">
        <v>408</v>
      </c>
      <c r="E615" s="295" t="s">
        <v>409</v>
      </c>
      <c r="F615" s="296" t="s">
        <v>1563</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 customHeight="1">
      <c r="A616" s="955"/>
      <c r="B616" s="956"/>
      <c r="C616" s="957" t="s">
        <v>1908</v>
      </c>
      <c r="D616" s="958"/>
      <c r="E616" s="543"/>
      <c r="F616" s="576"/>
    </row>
    <row r="617" spans="1:251" ht="14" customHeight="1">
      <c r="A617" s="996"/>
      <c r="B617" s="992" t="s">
        <v>1909</v>
      </c>
      <c r="C617" s="1007" t="s">
        <v>1910</v>
      </c>
      <c r="D617" s="963"/>
      <c r="E617" s="599">
        <v>2850</v>
      </c>
      <c r="F617" s="310" t="s">
        <v>236</v>
      </c>
    </row>
    <row r="618" spans="1:251" ht="14" customHeight="1">
      <c r="A618" s="981"/>
      <c r="B618" s="982"/>
      <c r="C618" s="1008" t="s">
        <v>1911</v>
      </c>
      <c r="D618" s="967"/>
      <c r="E618" s="473"/>
      <c r="F618" s="377"/>
    </row>
    <row r="619" spans="1:251" ht="14" customHeight="1">
      <c r="A619" s="981"/>
      <c r="B619" s="982"/>
      <c r="C619" s="1008" t="s">
        <v>1912</v>
      </c>
      <c r="D619" s="967"/>
      <c r="E619" s="473"/>
      <c r="F619" s="377"/>
    </row>
    <row r="620" spans="1:251" ht="14" customHeight="1">
      <c r="A620" s="981"/>
      <c r="B620" s="982"/>
      <c r="C620" s="1013"/>
      <c r="D620" s="967"/>
      <c r="E620" s="473"/>
      <c r="F620" s="377"/>
    </row>
    <row r="621" spans="1:251" ht="14" customHeight="1">
      <c r="A621" s="981"/>
      <c r="B621" s="982"/>
      <c r="C621" s="1043"/>
      <c r="D621" s="967"/>
      <c r="E621" s="473"/>
      <c r="F621" s="377"/>
    </row>
    <row r="622" spans="1:251" ht="14" customHeight="1">
      <c r="A622" s="981"/>
      <c r="B622" s="982"/>
      <c r="C622" s="1008"/>
      <c r="D622" s="967"/>
      <c r="E622" s="473"/>
      <c r="F622" s="377"/>
    </row>
    <row r="623" spans="1:251" ht="14" customHeight="1">
      <c r="A623" s="981"/>
      <c r="B623" s="982"/>
      <c r="C623" s="1043"/>
      <c r="D623" s="967"/>
      <c r="E623" s="473"/>
      <c r="F623" s="377"/>
    </row>
    <row r="624" spans="1:251" ht="14" customHeight="1">
      <c r="A624" s="981"/>
      <c r="B624" s="982"/>
      <c r="C624" s="1043"/>
      <c r="D624" s="967"/>
      <c r="E624" s="473"/>
      <c r="F624" s="377"/>
    </row>
    <row r="625" spans="1:6" ht="14" customHeight="1">
      <c r="A625" s="981"/>
      <c r="B625" s="1012"/>
      <c r="C625" s="1013"/>
      <c r="D625" s="999"/>
      <c r="E625" s="473"/>
      <c r="F625" s="377"/>
    </row>
    <row r="626" spans="1:6" ht="14" customHeight="1">
      <c r="A626" s="981"/>
      <c r="B626" s="982" t="s">
        <v>1913</v>
      </c>
      <c r="C626" s="1008" t="s">
        <v>1914</v>
      </c>
      <c r="D626" s="967"/>
      <c r="E626" s="453">
        <v>5130</v>
      </c>
      <c r="F626" s="310" t="s">
        <v>236</v>
      </c>
    </row>
    <row r="627" spans="1:6" ht="14" customHeight="1">
      <c r="A627" s="981"/>
      <c r="B627" s="982"/>
      <c r="C627" s="1008" t="s">
        <v>1911</v>
      </c>
      <c r="D627" s="967"/>
      <c r="E627" s="473"/>
      <c r="F627" s="377"/>
    </row>
    <row r="628" spans="1:6" ht="14" customHeight="1">
      <c r="A628" s="981"/>
      <c r="B628" s="982"/>
      <c r="C628" s="1008" t="s">
        <v>1912</v>
      </c>
      <c r="D628" s="967"/>
      <c r="E628" s="473"/>
      <c r="F628" s="377"/>
    </row>
    <row r="629" spans="1:6" ht="14" customHeight="1">
      <c r="A629" s="981"/>
      <c r="B629" s="982"/>
      <c r="C629" s="1043"/>
      <c r="D629" s="967"/>
      <c r="E629" s="473"/>
      <c r="F629" s="600"/>
    </row>
    <row r="630" spans="1:6" ht="14" customHeight="1">
      <c r="A630" s="981"/>
      <c r="B630" s="982"/>
      <c r="C630" s="1043"/>
      <c r="D630" s="967"/>
      <c r="E630" s="473"/>
      <c r="F630" s="600"/>
    </row>
    <row r="631" spans="1:6" ht="14" customHeight="1">
      <c r="A631" s="981"/>
      <c r="B631" s="982"/>
      <c r="C631" s="1043"/>
      <c r="D631" s="967"/>
      <c r="E631" s="473"/>
      <c r="F631" s="600"/>
    </row>
    <row r="632" spans="1:6" ht="14" customHeight="1">
      <c r="A632" s="981"/>
      <c r="B632" s="982"/>
      <c r="C632" s="1043"/>
      <c r="D632" s="967"/>
      <c r="E632" s="473"/>
      <c r="F632" s="600"/>
    </row>
    <row r="633" spans="1:6" ht="14" customHeight="1">
      <c r="A633" s="1001"/>
      <c r="B633" s="994"/>
      <c r="C633" s="1003"/>
      <c r="D633" s="995"/>
      <c r="E633" s="601"/>
      <c r="F633" s="602"/>
    </row>
    <row r="634" spans="1:6">
      <c r="A634" s="922"/>
      <c r="B634" s="1044"/>
      <c r="C634" s="972"/>
      <c r="D634" s="922"/>
      <c r="E634" s="604"/>
      <c r="F634" s="605"/>
    </row>
    <row r="635" spans="1:6">
      <c r="A635" s="922"/>
      <c r="B635" s="1044"/>
      <c r="C635" s="972"/>
      <c r="D635" s="922"/>
      <c r="E635" s="604"/>
      <c r="F635" s="605"/>
    </row>
    <row r="636" spans="1:6">
      <c r="A636" s="922"/>
      <c r="B636" s="1044"/>
      <c r="C636" s="972"/>
      <c r="D636" s="922"/>
      <c r="E636" s="604"/>
      <c r="F636" s="605"/>
    </row>
    <row r="637" spans="1:6">
      <c r="A637" s="922"/>
      <c r="B637" s="1044"/>
      <c r="C637" s="972"/>
      <c r="D637" s="922"/>
      <c r="E637" s="604"/>
      <c r="F637" s="605"/>
    </row>
    <row r="638" spans="1:6">
      <c r="A638" s="922"/>
      <c r="B638" s="1044"/>
      <c r="C638" s="972"/>
      <c r="D638" s="922"/>
      <c r="E638" s="604"/>
      <c r="F638" s="605"/>
    </row>
    <row r="639" spans="1:6">
      <c r="A639" s="922"/>
      <c r="B639" s="1044"/>
      <c r="C639" s="972"/>
      <c r="D639" s="922"/>
      <c r="E639" s="604"/>
      <c r="F639" s="605"/>
    </row>
    <row r="640" spans="1:6">
      <c r="A640" s="922"/>
      <c r="B640" s="1044"/>
      <c r="C640" s="972"/>
      <c r="D640" s="922"/>
      <c r="E640" s="604"/>
      <c r="F640" s="605"/>
    </row>
    <row r="641" spans="1:6">
      <c r="A641" s="922"/>
      <c r="B641" s="1044"/>
      <c r="C641" s="972"/>
      <c r="D641" s="922"/>
      <c r="E641" s="604"/>
      <c r="F641" s="605"/>
    </row>
    <row r="642" spans="1:6">
      <c r="A642" s="922"/>
      <c r="B642" s="1044"/>
      <c r="C642" s="972"/>
      <c r="D642" s="922"/>
      <c r="E642" s="604"/>
      <c r="F642" s="605"/>
    </row>
    <row r="643" spans="1:6">
      <c r="A643" s="922"/>
      <c r="B643" s="1044"/>
      <c r="C643" s="972"/>
      <c r="D643" s="922"/>
      <c r="E643" s="604"/>
      <c r="F643" s="605"/>
    </row>
    <row r="644" spans="1:6">
      <c r="A644" s="922"/>
      <c r="B644" s="1044"/>
      <c r="C644" s="972"/>
      <c r="D644" s="922"/>
      <c r="E644" s="604"/>
      <c r="F644" s="605"/>
    </row>
    <row r="645" spans="1:6">
      <c r="A645" s="922"/>
      <c r="B645" s="1044"/>
      <c r="C645" s="972"/>
      <c r="D645" s="922"/>
      <c r="E645" s="604"/>
      <c r="F645" s="605"/>
    </row>
    <row r="646" spans="1:6">
      <c r="A646" s="922"/>
      <c r="B646" s="1044"/>
      <c r="C646" s="972"/>
      <c r="D646" s="922"/>
      <c r="E646" s="604"/>
      <c r="F646" s="605"/>
    </row>
    <row r="647" spans="1:6">
      <c r="A647" s="922"/>
      <c r="B647" s="1044"/>
      <c r="C647" s="972"/>
      <c r="D647" s="922"/>
      <c r="E647" s="604"/>
      <c r="F647" s="605"/>
    </row>
    <row r="648" spans="1:6">
      <c r="A648" s="922"/>
      <c r="B648" s="1044"/>
      <c r="C648" s="972"/>
      <c r="D648" s="922"/>
      <c r="E648" s="604"/>
      <c r="F648" s="605"/>
    </row>
    <row r="649" spans="1:6">
      <c r="A649" s="922"/>
      <c r="B649" s="1044"/>
      <c r="C649" s="972"/>
      <c r="D649" s="922"/>
      <c r="E649" s="604"/>
      <c r="F649" s="605"/>
    </row>
    <row r="650" spans="1:6">
      <c r="A650" s="922"/>
      <c r="B650" s="1044"/>
      <c r="C650" s="972"/>
      <c r="D650" s="922"/>
      <c r="E650" s="604"/>
      <c r="F650" s="605"/>
    </row>
    <row r="651" spans="1:6">
      <c r="A651" s="922"/>
      <c r="B651" s="1044"/>
      <c r="C651" s="972"/>
      <c r="D651" s="922"/>
      <c r="E651" s="604"/>
      <c r="F651" s="605"/>
    </row>
    <row r="652" spans="1:6">
      <c r="A652" s="922"/>
      <c r="B652" s="1044"/>
      <c r="C652" s="972"/>
      <c r="D652" s="922"/>
      <c r="E652" s="604"/>
      <c r="F652" s="605"/>
    </row>
    <row r="653" spans="1:6">
      <c r="A653" s="922"/>
      <c r="B653" s="1044"/>
      <c r="C653" s="972"/>
      <c r="D653" s="922"/>
      <c r="E653" s="604"/>
      <c r="F653" s="605"/>
    </row>
    <row r="654" spans="1:6">
      <c r="A654" s="922"/>
      <c r="B654" s="1044"/>
      <c r="C654" s="972"/>
      <c r="D654" s="922"/>
      <c r="E654" s="604"/>
      <c r="F654" s="605"/>
    </row>
    <row r="655" spans="1:6">
      <c r="A655" s="922"/>
      <c r="B655" s="1044"/>
      <c r="C655" s="972"/>
      <c r="D655" s="922"/>
      <c r="E655" s="604"/>
      <c r="F655" s="605"/>
    </row>
    <row r="656" spans="1:6">
      <c r="A656" s="922"/>
      <c r="B656" s="1044"/>
      <c r="C656" s="972"/>
      <c r="D656" s="922"/>
      <c r="E656" s="604"/>
      <c r="F656" s="605"/>
    </row>
    <row r="657" spans="1:6">
      <c r="A657" s="922"/>
      <c r="B657" s="1044"/>
      <c r="C657" s="972"/>
      <c r="D657" s="922"/>
      <c r="E657" s="604"/>
      <c r="F657" s="605"/>
    </row>
    <row r="658" spans="1:6">
      <c r="A658" s="922"/>
      <c r="B658" s="1044"/>
      <c r="C658" s="972"/>
      <c r="D658" s="922"/>
      <c r="E658" s="604"/>
      <c r="F658" s="605"/>
    </row>
    <row r="659" spans="1:6">
      <c r="A659" s="922"/>
      <c r="B659" s="1044"/>
      <c r="C659" s="972"/>
      <c r="D659" s="922"/>
      <c r="E659" s="604"/>
      <c r="F659" s="605"/>
    </row>
    <row r="660" spans="1:6">
      <c r="A660" s="922"/>
      <c r="B660" s="1044"/>
      <c r="C660" s="972"/>
      <c r="D660" s="922"/>
      <c r="E660" s="604"/>
      <c r="F660" s="605"/>
    </row>
    <row r="661" spans="1:6">
      <c r="A661" s="922"/>
      <c r="B661" s="1044"/>
      <c r="C661" s="972"/>
      <c r="D661" s="922"/>
      <c r="E661" s="604"/>
      <c r="F661" s="605"/>
    </row>
    <row r="662" spans="1:6">
      <c r="A662" s="922"/>
      <c r="B662" s="1044"/>
      <c r="C662" s="972"/>
      <c r="D662" s="922"/>
      <c r="E662" s="604"/>
      <c r="F662" s="605"/>
    </row>
    <row r="663" spans="1:6">
      <c r="A663" s="922"/>
      <c r="B663" s="1044"/>
      <c r="C663" s="972"/>
      <c r="D663" s="922"/>
      <c r="E663" s="604"/>
      <c r="F663" s="605"/>
    </row>
    <row r="664" spans="1:6">
      <c r="A664" s="922"/>
      <c r="B664" s="1044"/>
      <c r="C664" s="972"/>
      <c r="D664" s="922"/>
      <c r="E664" s="604"/>
      <c r="F664" s="605"/>
    </row>
    <row r="665" spans="1:6">
      <c r="A665" s="922"/>
      <c r="B665" s="1044"/>
      <c r="C665" s="972"/>
      <c r="D665" s="922"/>
      <c r="E665" s="604"/>
      <c r="F665" s="605"/>
    </row>
    <row r="666" spans="1:6">
      <c r="A666" s="922"/>
      <c r="B666" s="1044"/>
      <c r="C666" s="972"/>
      <c r="D666" s="922"/>
      <c r="E666" s="604"/>
      <c r="F666" s="605"/>
    </row>
    <row r="667" spans="1:6">
      <c r="A667" s="922"/>
      <c r="B667" s="1044"/>
      <c r="C667" s="972"/>
      <c r="D667" s="922"/>
      <c r="E667" s="604"/>
      <c r="F667" s="605"/>
    </row>
    <row r="668" spans="1:6">
      <c r="A668" s="922"/>
      <c r="B668" s="1044"/>
      <c r="C668" s="972"/>
      <c r="D668" s="922"/>
      <c r="E668" s="604"/>
      <c r="F668" s="605"/>
    </row>
    <row r="669" spans="1:6">
      <c r="A669" s="922"/>
      <c r="B669" s="1044"/>
      <c r="C669" s="972"/>
      <c r="D669" s="922"/>
      <c r="E669" s="604"/>
      <c r="F669" s="605"/>
    </row>
    <row r="670" spans="1:6">
      <c r="A670" s="922"/>
      <c r="B670" s="1044"/>
      <c r="C670" s="972"/>
      <c r="D670" s="922"/>
      <c r="E670" s="604"/>
      <c r="F670" s="605"/>
    </row>
    <row r="671" spans="1:6">
      <c r="A671" s="922"/>
      <c r="B671" s="1044"/>
      <c r="C671" s="972"/>
      <c r="D671" s="922"/>
      <c r="E671" s="604"/>
      <c r="F671" s="605"/>
    </row>
    <row r="672" spans="1:6">
      <c r="A672" s="922"/>
      <c r="B672" s="1044"/>
      <c r="C672" s="972"/>
      <c r="D672" s="922"/>
      <c r="E672" s="604"/>
      <c r="F672" s="605"/>
    </row>
    <row r="673" spans="1:6">
      <c r="A673" s="922"/>
      <c r="B673" s="1044"/>
      <c r="C673" s="972"/>
      <c r="D673" s="922"/>
      <c r="E673" s="604"/>
      <c r="F673" s="605"/>
    </row>
    <row r="674" spans="1:6">
      <c r="A674" s="922"/>
      <c r="B674" s="1044"/>
      <c r="C674" s="972"/>
      <c r="D674" s="922"/>
      <c r="E674" s="604"/>
      <c r="F674" s="605"/>
    </row>
    <row r="675" spans="1:6">
      <c r="A675" s="922"/>
      <c r="B675" s="1044"/>
      <c r="C675" s="972"/>
      <c r="D675" s="922"/>
      <c r="E675" s="604"/>
      <c r="F675" s="605"/>
    </row>
    <row r="676" spans="1:6">
      <c r="A676" s="922"/>
      <c r="B676" s="1044"/>
      <c r="C676" s="972"/>
      <c r="D676" s="922"/>
      <c r="E676" s="604"/>
      <c r="F676" s="605"/>
    </row>
    <row r="677" spans="1:6">
      <c r="A677" s="922"/>
      <c r="B677" s="1044"/>
      <c r="C677" s="972"/>
      <c r="D677" s="922"/>
      <c r="E677" s="604"/>
      <c r="F677" s="605"/>
    </row>
    <row r="678" spans="1:6">
      <c r="A678" s="922"/>
      <c r="B678" s="1044"/>
      <c r="C678" s="972"/>
      <c r="D678" s="922"/>
      <c r="E678" s="604"/>
      <c r="F678" s="605"/>
    </row>
    <row r="679" spans="1:6">
      <c r="A679" s="922"/>
      <c r="B679" s="1044"/>
      <c r="C679" s="972"/>
      <c r="D679" s="922"/>
      <c r="E679" s="604"/>
      <c r="F679" s="605"/>
    </row>
    <row r="680" spans="1:6">
      <c r="A680" s="922"/>
      <c r="B680" s="1044"/>
      <c r="C680" s="972"/>
      <c r="D680" s="922"/>
      <c r="E680" s="604"/>
      <c r="F680" s="605"/>
    </row>
    <row r="681" spans="1:6">
      <c r="A681" s="922"/>
      <c r="B681" s="1044"/>
      <c r="C681" s="972"/>
      <c r="D681" s="922"/>
      <c r="E681" s="604"/>
      <c r="F681" s="605"/>
    </row>
    <row r="682" spans="1:6">
      <c r="A682" s="922"/>
      <c r="B682" s="1044"/>
      <c r="C682" s="972"/>
      <c r="D682" s="922"/>
      <c r="E682" s="604"/>
      <c r="F682" s="605"/>
    </row>
    <row r="683" spans="1:6">
      <c r="A683" s="922"/>
      <c r="B683" s="1044"/>
      <c r="C683" s="972"/>
      <c r="D683" s="922"/>
      <c r="E683" s="604"/>
      <c r="F683" s="605"/>
    </row>
    <row r="684" spans="1:6">
      <c r="A684" s="922"/>
      <c r="B684" s="1044"/>
      <c r="C684" s="972"/>
      <c r="D684" s="922"/>
      <c r="E684" s="604"/>
      <c r="F684" s="605"/>
    </row>
    <row r="685" spans="1:6">
      <c r="A685" s="922"/>
      <c r="B685" s="1044"/>
      <c r="C685" s="972"/>
      <c r="D685" s="922"/>
      <c r="E685" s="604"/>
      <c r="F685" s="605"/>
    </row>
    <row r="686" spans="1:6">
      <c r="A686" s="922"/>
      <c r="B686" s="1044"/>
      <c r="C686" s="972"/>
      <c r="D686" s="922"/>
      <c r="E686" s="604"/>
      <c r="F686" s="605"/>
    </row>
    <row r="687" spans="1:6">
      <c r="A687" s="922"/>
      <c r="B687" s="1044"/>
      <c r="C687" s="972"/>
      <c r="D687" s="922"/>
      <c r="E687" s="604"/>
      <c r="F687" s="605"/>
    </row>
    <row r="688" spans="1:6">
      <c r="A688" s="922"/>
      <c r="B688" s="1044"/>
      <c r="C688" s="972"/>
      <c r="D688" s="922"/>
      <c r="E688" s="604"/>
      <c r="F688" s="605"/>
    </row>
    <row r="689" spans="1:6">
      <c r="A689" s="922"/>
      <c r="B689" s="1044"/>
      <c r="C689" s="972"/>
      <c r="D689" s="922"/>
      <c r="E689" s="604"/>
      <c r="F689" s="605"/>
    </row>
    <row r="690" spans="1:6">
      <c r="A690" s="922"/>
      <c r="B690" s="1044"/>
      <c r="C690" s="972"/>
      <c r="D690" s="922"/>
      <c r="E690" s="604"/>
      <c r="F690" s="605"/>
    </row>
    <row r="691" spans="1:6">
      <c r="A691" s="922"/>
      <c r="B691" s="1044"/>
      <c r="C691" s="972"/>
      <c r="D691" s="922"/>
      <c r="E691" s="604"/>
      <c r="F691" s="605"/>
    </row>
    <row r="692" spans="1:6">
      <c r="A692" s="922"/>
      <c r="B692" s="1044"/>
      <c r="C692" s="972"/>
      <c r="D692" s="922"/>
      <c r="E692" s="604"/>
      <c r="F692" s="605"/>
    </row>
    <row r="693" spans="1:6">
      <c r="A693" s="922"/>
      <c r="B693" s="1044"/>
      <c r="C693" s="972"/>
      <c r="D693" s="922"/>
      <c r="E693" s="604"/>
      <c r="F693" s="605"/>
    </row>
    <row r="694" spans="1:6">
      <c r="A694" s="922"/>
      <c r="B694" s="1044"/>
      <c r="C694" s="972"/>
      <c r="D694" s="922"/>
      <c r="E694" s="604"/>
      <c r="F694" s="605"/>
    </row>
    <row r="695" spans="1:6">
      <c r="A695" s="922"/>
      <c r="B695" s="1044"/>
      <c r="C695" s="972"/>
      <c r="D695" s="922"/>
      <c r="E695" s="604"/>
      <c r="F695" s="605"/>
    </row>
    <row r="696" spans="1:6">
      <c r="A696" s="922"/>
      <c r="B696" s="1044"/>
      <c r="C696" s="972"/>
      <c r="D696" s="922"/>
      <c r="E696" s="604"/>
      <c r="F696" s="605"/>
    </row>
    <row r="697" spans="1:6">
      <c r="A697" s="922"/>
      <c r="B697" s="1044"/>
      <c r="C697" s="972"/>
      <c r="D697" s="922"/>
      <c r="E697" s="604"/>
      <c r="F697" s="605"/>
    </row>
    <row r="698" spans="1:6">
      <c r="A698" s="922"/>
      <c r="B698" s="1044"/>
      <c r="C698" s="972"/>
      <c r="D698" s="922"/>
      <c r="E698" s="604"/>
      <c r="F698" s="605"/>
    </row>
    <row r="699" spans="1:6">
      <c r="A699" s="922"/>
      <c r="B699" s="1044"/>
      <c r="C699" s="972"/>
      <c r="D699" s="922"/>
      <c r="E699" s="604"/>
      <c r="F699" s="605"/>
    </row>
    <row r="700" spans="1:6">
      <c r="A700" s="922"/>
      <c r="B700" s="1044"/>
      <c r="C700" s="972"/>
      <c r="D700" s="922"/>
      <c r="E700" s="604"/>
      <c r="F700" s="605"/>
    </row>
    <row r="701" spans="1:6">
      <c r="A701" s="922"/>
      <c r="B701" s="1044"/>
      <c r="C701" s="972"/>
      <c r="D701" s="922"/>
      <c r="E701" s="604"/>
      <c r="F701" s="605"/>
    </row>
    <row r="702" spans="1:6">
      <c r="A702" s="922"/>
      <c r="B702" s="1044"/>
      <c r="C702" s="972"/>
      <c r="D702" s="922"/>
      <c r="E702" s="604"/>
      <c r="F702" s="605"/>
    </row>
    <row r="703" spans="1:6">
      <c r="A703" s="922"/>
      <c r="B703" s="1044"/>
      <c r="C703" s="972"/>
      <c r="D703" s="922"/>
      <c r="E703" s="604"/>
      <c r="F703" s="605"/>
    </row>
    <row r="704" spans="1:6">
      <c r="A704" s="922"/>
      <c r="B704" s="1044"/>
      <c r="C704" s="972"/>
      <c r="D704" s="922"/>
      <c r="E704" s="604"/>
      <c r="F704" s="605"/>
    </row>
    <row r="705" spans="1:6">
      <c r="A705" s="922"/>
      <c r="B705" s="1044"/>
      <c r="C705" s="972"/>
      <c r="D705" s="922"/>
      <c r="E705" s="604"/>
      <c r="F705" s="605"/>
    </row>
    <row r="706" spans="1:6">
      <c r="A706" s="922"/>
      <c r="B706" s="1044"/>
      <c r="C706" s="972"/>
      <c r="D706" s="922"/>
      <c r="E706" s="604"/>
      <c r="F706" s="605"/>
    </row>
    <row r="707" spans="1:6">
      <c r="A707" s="922"/>
      <c r="B707" s="1044"/>
      <c r="C707" s="972"/>
      <c r="D707" s="922"/>
      <c r="E707" s="604"/>
      <c r="F707" s="605"/>
    </row>
    <row r="708" spans="1:6">
      <c r="A708" s="922"/>
      <c r="B708" s="1044"/>
      <c r="C708" s="972"/>
      <c r="D708" s="922"/>
      <c r="E708" s="604"/>
      <c r="F708" s="605"/>
    </row>
    <row r="709" spans="1:6">
      <c r="A709" s="922"/>
      <c r="B709" s="1044"/>
      <c r="C709" s="972"/>
      <c r="D709" s="922"/>
      <c r="E709" s="604"/>
      <c r="F709" s="605"/>
    </row>
    <row r="710" spans="1:6">
      <c r="A710" s="922"/>
      <c r="B710" s="1044"/>
      <c r="C710" s="972"/>
      <c r="D710" s="922"/>
      <c r="E710" s="604"/>
      <c r="F710" s="605"/>
    </row>
    <row r="711" spans="1:6">
      <c r="A711" s="922"/>
      <c r="B711" s="1044"/>
      <c r="C711" s="972"/>
      <c r="D711" s="922"/>
      <c r="E711" s="604"/>
      <c r="F711" s="605"/>
    </row>
    <row r="712" spans="1:6">
      <c r="A712" s="922"/>
      <c r="B712" s="1044"/>
      <c r="C712" s="972"/>
      <c r="D712" s="922"/>
      <c r="E712" s="604"/>
      <c r="F712" s="605"/>
    </row>
    <row r="713" spans="1:6">
      <c r="A713" s="922"/>
      <c r="B713" s="1044"/>
      <c r="C713" s="972"/>
      <c r="D713" s="922"/>
      <c r="E713" s="604"/>
      <c r="F713" s="605"/>
    </row>
    <row r="714" spans="1:6">
      <c r="A714" s="922"/>
      <c r="B714" s="1044"/>
      <c r="C714" s="972"/>
      <c r="D714" s="922"/>
      <c r="E714" s="604"/>
      <c r="F714" s="605"/>
    </row>
    <row r="715" spans="1:6">
      <c r="A715" s="922"/>
      <c r="B715" s="1044"/>
      <c r="C715" s="972"/>
      <c r="D715" s="922"/>
      <c r="E715" s="604"/>
      <c r="F715" s="605"/>
    </row>
    <row r="716" spans="1:6">
      <c r="A716" s="922"/>
      <c r="B716" s="1044"/>
      <c r="C716" s="972"/>
      <c r="D716" s="922"/>
      <c r="E716" s="604"/>
      <c r="F716" s="605"/>
    </row>
    <row r="717" spans="1:6">
      <c r="A717" s="922"/>
      <c r="B717" s="1044"/>
      <c r="C717" s="972"/>
      <c r="D717" s="922"/>
      <c r="E717" s="604"/>
      <c r="F717" s="605"/>
    </row>
    <row r="718" spans="1:6">
      <c r="A718" s="922"/>
      <c r="B718" s="1044"/>
      <c r="C718" s="972"/>
      <c r="D718" s="922"/>
      <c r="E718" s="604"/>
      <c r="F718" s="605"/>
    </row>
    <row r="719" spans="1:6">
      <c r="A719" s="922"/>
      <c r="B719" s="1044"/>
      <c r="C719" s="972"/>
      <c r="D719" s="922"/>
      <c r="E719" s="604"/>
      <c r="F719" s="605"/>
    </row>
    <row r="720" spans="1:6">
      <c r="A720" s="922"/>
      <c r="B720" s="1044"/>
      <c r="C720" s="972"/>
      <c r="D720" s="922"/>
      <c r="E720" s="604"/>
      <c r="F720" s="605"/>
    </row>
    <row r="721" spans="1:6">
      <c r="A721" s="922"/>
      <c r="B721" s="1044"/>
      <c r="C721" s="972"/>
      <c r="D721" s="922"/>
      <c r="E721" s="604"/>
      <c r="F721" s="605"/>
    </row>
    <row r="722" spans="1:6">
      <c r="A722" s="922"/>
      <c r="B722" s="1044"/>
      <c r="C722" s="972"/>
      <c r="D722" s="922"/>
      <c r="E722" s="604"/>
      <c r="F722" s="605"/>
    </row>
    <row r="723" spans="1:6">
      <c r="A723" s="922"/>
      <c r="B723" s="1044"/>
      <c r="C723" s="972"/>
      <c r="D723" s="922"/>
      <c r="E723" s="604"/>
      <c r="F723" s="605"/>
    </row>
    <row r="724" spans="1:6">
      <c r="A724" s="922"/>
      <c r="B724" s="1044"/>
      <c r="C724" s="972"/>
      <c r="D724" s="922"/>
      <c r="E724" s="604"/>
      <c r="F724" s="605"/>
    </row>
    <row r="725" spans="1:6">
      <c r="A725" s="922"/>
      <c r="B725" s="1044"/>
      <c r="C725" s="972"/>
      <c r="D725" s="922"/>
      <c r="E725" s="604"/>
      <c r="F725" s="605"/>
    </row>
    <row r="726" spans="1:6">
      <c r="A726" s="922"/>
      <c r="B726" s="1044"/>
      <c r="C726" s="972"/>
      <c r="D726" s="922"/>
      <c r="E726" s="604"/>
      <c r="F726" s="605"/>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263" customWidth="1"/>
    <col min="2" max="2" width="17.36328125" style="606" bestFit="1" customWidth="1"/>
    <col min="3" max="3" width="98.81640625" style="390" customWidth="1"/>
    <col min="4" max="4" width="17.81640625" style="263" customWidth="1"/>
    <col min="5" max="5" width="15.453125" style="423" customWidth="1"/>
    <col min="6" max="6" width="13.1796875" style="607" customWidth="1"/>
    <col min="7" max="8" width="12" style="263" bestFit="1" customWidth="1"/>
    <col min="9" max="13" width="10.81640625" style="263"/>
    <col min="14" max="60" width="10.81640625" style="264"/>
    <col min="61" max="16384" width="10.81640625" style="263"/>
  </cols>
  <sheetData>
    <row r="1" spans="1:60" ht="15" customHeight="1">
      <c r="A1" s="260"/>
      <c r="B1" s="261"/>
      <c r="C1" s="262"/>
      <c r="D1" s="1515" t="s">
        <v>1915</v>
      </c>
      <c r="E1" s="1515"/>
      <c r="F1" s="1516"/>
    </row>
    <row r="2" spans="1:60" s="269" customFormat="1" ht="27.75" customHeight="1">
      <c r="A2" s="265"/>
      <c r="B2" s="266"/>
      <c r="C2" s="267"/>
      <c r="D2" s="1528"/>
      <c r="E2" s="1528"/>
      <c r="F2" s="1529"/>
      <c r="G2" s="268"/>
    </row>
    <row r="3" spans="1:60" s="269" customFormat="1" ht="15" customHeight="1">
      <c r="A3" s="265"/>
      <c r="B3" s="266"/>
      <c r="C3" s="270"/>
      <c r="D3" s="1519" t="s">
        <v>1558</v>
      </c>
      <c r="E3" s="1519"/>
      <c r="F3" s="1520"/>
      <c r="G3" s="268"/>
    </row>
    <row r="4" spans="1:60" s="269" customFormat="1">
      <c r="A4" s="271"/>
      <c r="B4" s="272"/>
      <c r="C4" s="273"/>
      <c r="D4" s="1530" t="s">
        <v>1559</v>
      </c>
      <c r="E4" s="1530"/>
      <c r="F4" s="1531"/>
      <c r="G4" s="268"/>
    </row>
    <row r="5" spans="1:60" s="277" customFormat="1" ht="15" customHeight="1">
      <c r="A5" s="1524"/>
      <c r="B5" s="1525"/>
      <c r="C5" s="274" t="s">
        <v>400</v>
      </c>
      <c r="D5" s="275" t="s">
        <v>401</v>
      </c>
      <c r="E5" s="1507">
        <f ca="1">(TODAY())</f>
        <v>46181</v>
      </c>
      <c r="F5" s="1508"/>
      <c r="G5" s="268"/>
      <c r="H5" s="276"/>
      <c r="I5" s="276"/>
      <c r="J5" s="276"/>
      <c r="K5" s="276"/>
      <c r="L5" s="276"/>
      <c r="M5" s="276"/>
      <c r="N5" s="276"/>
      <c r="O5" s="276"/>
      <c r="P5" s="276"/>
      <c r="Q5" s="276"/>
      <c r="R5" s="276"/>
      <c r="S5" s="276"/>
      <c r="T5" s="276"/>
      <c r="U5" s="276"/>
    </row>
    <row r="6" spans="1:60" s="277" customFormat="1" ht="15" customHeight="1">
      <c r="A6" s="278" t="s">
        <v>1905</v>
      </c>
      <c r="B6" s="279"/>
      <c r="C6" s="1532" t="s">
        <v>1916</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1917</v>
      </c>
      <c r="B7" s="285"/>
      <c r="C7" s="1533"/>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405</v>
      </c>
      <c r="B8" s="293" t="s">
        <v>406</v>
      </c>
      <c r="C8" s="294" t="s">
        <v>407</v>
      </c>
      <c r="D8" s="292" t="s">
        <v>408</v>
      </c>
      <c r="E8" s="295" t="s">
        <v>409</v>
      </c>
      <c r="F8" s="296" t="s">
        <v>1563</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1918</v>
      </c>
      <c r="D9" s="302"/>
      <c r="E9" s="303"/>
      <c r="F9" s="304"/>
      <c r="G9" s="269"/>
    </row>
    <row r="10" spans="1:60" ht="14.25" customHeight="1">
      <c r="A10" s="305"/>
      <c r="B10" s="306" t="s">
        <v>1919</v>
      </c>
      <c r="C10" s="307" t="s">
        <v>1920</v>
      </c>
      <c r="D10" s="308" t="s">
        <v>1921</v>
      </c>
      <c r="E10" s="309">
        <v>36519.229836580729</v>
      </c>
      <c r="F10" s="310" t="s">
        <v>1821</v>
      </c>
    </row>
    <row r="11" spans="1:60" ht="14.25" customHeight="1">
      <c r="A11" s="305"/>
      <c r="B11" s="306" t="s">
        <v>1922</v>
      </c>
      <c r="C11" s="311" t="s">
        <v>1923</v>
      </c>
      <c r="D11" s="308" t="s">
        <v>1924</v>
      </c>
      <c r="E11" s="309">
        <v>37199.424331317576</v>
      </c>
      <c r="F11" s="310" t="s">
        <v>1821</v>
      </c>
    </row>
    <row r="12" spans="1:60" ht="14.25" customHeight="1">
      <c r="A12" s="305"/>
      <c r="B12" s="312" t="s">
        <v>1925</v>
      </c>
      <c r="C12" s="311" t="s">
        <v>1926</v>
      </c>
      <c r="D12" s="308" t="s">
        <v>1927</v>
      </c>
      <c r="E12" s="309">
        <v>36409.521047107046</v>
      </c>
      <c r="F12" s="310" t="s">
        <v>1821</v>
      </c>
    </row>
    <row r="13" spans="1:60" ht="14.25" customHeight="1">
      <c r="A13" s="305"/>
      <c r="B13" s="306" t="s">
        <v>1928</v>
      </c>
      <c r="C13" s="311"/>
      <c r="D13" s="308" t="s">
        <v>1929</v>
      </c>
      <c r="E13" s="309">
        <v>37089.715541843885</v>
      </c>
      <c r="F13" s="310" t="s">
        <v>1821</v>
      </c>
    </row>
    <row r="14" spans="1:60" ht="14.25" customHeight="1">
      <c r="A14" s="305"/>
      <c r="B14" s="306" t="s">
        <v>1930</v>
      </c>
      <c r="C14" s="311"/>
      <c r="D14" s="308" t="s">
        <v>1931</v>
      </c>
      <c r="E14" s="309">
        <v>37576.785442932473</v>
      </c>
      <c r="F14" s="310" t="s">
        <v>1821</v>
      </c>
    </row>
    <row r="15" spans="1:60" ht="14.25" customHeight="1">
      <c r="A15" s="305"/>
      <c r="B15" s="306" t="s">
        <v>1932</v>
      </c>
      <c r="C15" s="313"/>
      <c r="D15" s="308" t="s">
        <v>1933</v>
      </c>
      <c r="E15" s="309">
        <v>38256.979937669319</v>
      </c>
      <c r="F15" s="310" t="s">
        <v>1821</v>
      </c>
    </row>
    <row r="16" spans="1:60" ht="14.25" customHeight="1">
      <c r="A16" s="305"/>
      <c r="B16" s="306" t="s">
        <v>1934</v>
      </c>
      <c r="C16" s="313"/>
      <c r="D16" s="308" t="s">
        <v>1935</v>
      </c>
      <c r="E16" s="309">
        <v>38282.578655213176</v>
      </c>
      <c r="F16" s="310" t="s">
        <v>1821</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1936</v>
      </c>
      <c r="D19" s="302"/>
      <c r="E19" s="303"/>
      <c r="F19" s="304"/>
    </row>
    <row r="20" spans="1:60" ht="14.25" customHeight="1">
      <c r="A20" s="305"/>
      <c r="B20" s="322" t="s">
        <v>1937</v>
      </c>
      <c r="C20" s="307" t="s">
        <v>1938</v>
      </c>
      <c r="D20" s="308" t="s">
        <v>1939</v>
      </c>
      <c r="E20" s="323">
        <v>21705.294749570869</v>
      </c>
      <c r="F20" s="310" t="s">
        <v>236</v>
      </c>
    </row>
    <row r="21" spans="1:60" ht="14.25" customHeight="1">
      <c r="A21" s="305"/>
      <c r="B21" s="312" t="s">
        <v>1940</v>
      </c>
      <c r="C21" s="311" t="s">
        <v>1941</v>
      </c>
      <c r="D21" s="308" t="s">
        <v>1942</v>
      </c>
      <c r="E21" s="323">
        <v>22571.994186412969</v>
      </c>
      <c r="F21" s="310" t="s">
        <v>236</v>
      </c>
    </row>
    <row r="22" spans="1:60" ht="14.25" customHeight="1">
      <c r="A22" s="305"/>
      <c r="B22" s="312" t="s">
        <v>1943</v>
      </c>
      <c r="C22" s="311"/>
      <c r="D22" s="308" t="s">
        <v>1944</v>
      </c>
      <c r="E22" s="323">
        <v>22597.592903956836</v>
      </c>
      <c r="F22" s="310" t="s">
        <v>236</v>
      </c>
    </row>
    <row r="23" spans="1:60" ht="14.25" customHeight="1">
      <c r="A23" s="305"/>
      <c r="B23" s="312" t="s">
        <v>1945</v>
      </c>
      <c r="C23" s="311"/>
      <c r="D23" s="308" t="s">
        <v>1946</v>
      </c>
      <c r="E23" s="323">
        <v>22907.884934325692</v>
      </c>
      <c r="F23" s="310" t="s">
        <v>236</v>
      </c>
    </row>
    <row r="24" spans="1:60" ht="14.25" customHeight="1">
      <c r="A24" s="305"/>
      <c r="B24" s="312" t="s">
        <v>1947</v>
      </c>
      <c r="C24" s="311"/>
      <c r="D24" s="308" t="s">
        <v>1946</v>
      </c>
      <c r="E24" s="323">
        <v>22798.176144852001</v>
      </c>
      <c r="F24" s="310" t="s">
        <v>236</v>
      </c>
    </row>
    <row r="25" spans="1:60" ht="14.25" customHeight="1">
      <c r="A25" s="305"/>
      <c r="B25" s="312" t="s">
        <v>1948</v>
      </c>
      <c r="C25" s="313"/>
      <c r="D25" s="308" t="s">
        <v>1949</v>
      </c>
      <c r="E25" s="323">
        <v>22827.43182204499</v>
      </c>
      <c r="F25" s="310" t="s">
        <v>236</v>
      </c>
    </row>
    <row r="26" spans="1:60" ht="14.25" customHeight="1">
      <c r="A26" s="305"/>
      <c r="B26" s="312" t="s">
        <v>1950</v>
      </c>
      <c r="C26" s="313"/>
      <c r="D26" s="308" t="s">
        <v>1951</v>
      </c>
      <c r="E26" s="323">
        <v>23876.42970153665</v>
      </c>
      <c r="F26" s="310" t="s">
        <v>236</v>
      </c>
    </row>
    <row r="27" spans="1:60" ht="14.25" customHeight="1">
      <c r="A27" s="305"/>
      <c r="B27" s="312" t="s">
        <v>1952</v>
      </c>
      <c r="C27" s="313"/>
      <c r="D27" s="308" t="s">
        <v>1951</v>
      </c>
      <c r="E27" s="323">
        <v>23902.028419080507</v>
      </c>
      <c r="F27" s="310" t="s">
        <v>236</v>
      </c>
    </row>
    <row r="28" spans="1:60" ht="14.25" customHeight="1">
      <c r="A28" s="305"/>
      <c r="B28" s="312" t="s">
        <v>1953</v>
      </c>
      <c r="C28" s="313"/>
      <c r="D28" s="308" t="s">
        <v>1954</v>
      </c>
      <c r="E28" s="323">
        <v>23927.627136624371</v>
      </c>
      <c r="F28" s="310" t="s">
        <v>236</v>
      </c>
    </row>
    <row r="29" spans="1:60" ht="14.25" customHeight="1">
      <c r="A29" s="305"/>
      <c r="B29" s="312" t="s">
        <v>1955</v>
      </c>
      <c r="C29" s="311"/>
      <c r="D29" s="308" t="s">
        <v>1956</v>
      </c>
      <c r="E29" s="323">
        <v>24297.67432894103</v>
      </c>
      <c r="F29" s="310" t="s">
        <v>236</v>
      </c>
    </row>
    <row r="30" spans="1:60" ht="14.25" customHeight="1">
      <c r="A30" s="305"/>
      <c r="B30" s="312"/>
      <c r="C30" s="311"/>
      <c r="D30" s="308"/>
      <c r="E30" s="324"/>
      <c r="F30" s="310"/>
    </row>
    <row r="31" spans="1:60" s="277" customFormat="1" ht="15" customHeight="1">
      <c r="A31" s="325" t="s">
        <v>1905</v>
      </c>
      <c r="B31" s="326"/>
      <c r="C31" s="1526" t="s">
        <v>1957</v>
      </c>
      <c r="D31" s="1534"/>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1562</v>
      </c>
      <c r="B32" s="331"/>
      <c r="C32" s="1527"/>
      <c r="D32" s="1535"/>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405</v>
      </c>
      <c r="B33" s="293" t="s">
        <v>406</v>
      </c>
      <c r="C33" s="294" t="s">
        <v>407</v>
      </c>
      <c r="D33" s="292" t="s">
        <v>408</v>
      </c>
      <c r="E33" s="295" t="s">
        <v>409</v>
      </c>
      <c r="F33" s="296" t="s">
        <v>1563</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1958</v>
      </c>
      <c r="D34" s="302"/>
      <c r="E34" s="303"/>
      <c r="F34" s="304"/>
    </row>
    <row r="35" spans="1:60" s="264" customFormat="1" ht="14.25" customHeight="1">
      <c r="A35" s="305"/>
      <c r="B35" s="314" t="s">
        <v>1959</v>
      </c>
      <c r="C35" s="334" t="s">
        <v>1960</v>
      </c>
      <c r="D35" s="319" t="s">
        <v>1586</v>
      </c>
      <c r="E35" s="335">
        <v>27243.185062914192</v>
      </c>
      <c r="F35" s="310" t="s">
        <v>236</v>
      </c>
      <c r="H35" s="263"/>
    </row>
    <row r="36" spans="1:60" s="264" customFormat="1" ht="14.25" customHeight="1">
      <c r="A36" s="305"/>
      <c r="B36" s="314" t="s">
        <v>1961</v>
      </c>
      <c r="C36" s="336" t="s">
        <v>1962</v>
      </c>
      <c r="D36" s="319" t="s">
        <v>1682</v>
      </c>
      <c r="E36" s="335">
        <v>27842.787546726231</v>
      </c>
      <c r="F36" s="310" t="s">
        <v>236</v>
      </c>
      <c r="H36" s="263"/>
    </row>
    <row r="37" spans="1:60" s="264" customFormat="1" ht="14.25" customHeight="1">
      <c r="A37" s="305"/>
      <c r="B37" s="314" t="s">
        <v>1963</v>
      </c>
      <c r="C37" s="336" t="s">
        <v>1964</v>
      </c>
      <c r="D37" s="319" t="s">
        <v>1588</v>
      </c>
      <c r="E37" s="335">
        <v>28460.264519783836</v>
      </c>
      <c r="F37" s="310" t="s">
        <v>236</v>
      </c>
      <c r="H37" s="263"/>
    </row>
    <row r="38" spans="1:60" s="264" customFormat="1" ht="14.25" customHeight="1">
      <c r="A38" s="305"/>
      <c r="B38" s="314" t="s">
        <v>1965</v>
      </c>
      <c r="C38" s="336" t="s">
        <v>1966</v>
      </c>
      <c r="D38" s="319" t="s">
        <v>1685</v>
      </c>
      <c r="E38" s="335">
        <v>29021.522589538283</v>
      </c>
      <c r="F38" s="310" t="s">
        <v>236</v>
      </c>
      <c r="H38" s="263"/>
    </row>
    <row r="39" spans="1:60" s="264" customFormat="1" ht="14.25" customHeight="1">
      <c r="A39" s="305"/>
      <c r="B39" s="314" t="s">
        <v>1967</v>
      </c>
      <c r="C39" s="336" t="s">
        <v>1968</v>
      </c>
      <c r="D39" s="319" t="s">
        <v>1593</v>
      </c>
      <c r="E39" s="335">
        <v>29641.594998162349</v>
      </c>
      <c r="F39" s="310" t="s">
        <v>236</v>
      </c>
      <c r="H39" s="263"/>
    </row>
    <row r="40" spans="1:60" s="264" customFormat="1" ht="14.25" customHeight="1">
      <c r="A40" s="305"/>
      <c r="B40" s="314" t="s">
        <v>1969</v>
      </c>
      <c r="C40" s="318" t="s">
        <v>1970</v>
      </c>
      <c r="D40" s="319" t="s">
        <v>1688</v>
      </c>
      <c r="E40" s="335">
        <v>30241.197481974392</v>
      </c>
      <c r="F40" s="310" t="s">
        <v>236</v>
      </c>
      <c r="H40" s="263"/>
    </row>
    <row r="41" spans="1:60" s="264" customFormat="1" ht="14.25" customHeight="1">
      <c r="A41" s="305"/>
      <c r="B41" s="314" t="s">
        <v>1971</v>
      </c>
      <c r="C41" s="318"/>
      <c r="D41" s="319" t="s">
        <v>1690</v>
      </c>
      <c r="E41" s="335">
        <v>31004.559364282672</v>
      </c>
      <c r="F41" s="310" t="s">
        <v>236</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1972</v>
      </c>
      <c r="D44" s="340"/>
      <c r="E44" s="341"/>
      <c r="F44" s="342"/>
    </row>
    <row r="45" spans="1:60" s="264" customFormat="1" ht="14.25" customHeight="1">
      <c r="A45" s="305"/>
      <c r="B45" s="314" t="s">
        <v>1973</v>
      </c>
      <c r="C45" s="336" t="s">
        <v>1974</v>
      </c>
      <c r="D45" s="319" t="s">
        <v>1975</v>
      </c>
      <c r="E45" s="335">
        <v>36259.97174673064</v>
      </c>
      <c r="F45" s="310" t="s">
        <v>236</v>
      </c>
    </row>
    <row r="46" spans="1:60" s="264" customFormat="1" ht="14.25" customHeight="1">
      <c r="A46" s="305"/>
      <c r="B46" s="314" t="s">
        <v>1976</v>
      </c>
      <c r="C46" s="336" t="s">
        <v>1962</v>
      </c>
      <c r="D46" s="319" t="s">
        <v>1977</v>
      </c>
      <c r="E46" s="335">
        <v>36698.18671806038</v>
      </c>
      <c r="F46" s="310" t="s">
        <v>236</v>
      </c>
    </row>
    <row r="47" spans="1:60" s="264" customFormat="1" ht="14.25" customHeight="1">
      <c r="A47" s="305"/>
      <c r="B47" s="314" t="s">
        <v>1978</v>
      </c>
      <c r="C47" s="336" t="s">
        <v>1964</v>
      </c>
      <c r="D47" s="319" t="s">
        <v>1979</v>
      </c>
      <c r="E47" s="335">
        <v>37033.933762918517</v>
      </c>
      <c r="F47" s="310" t="s">
        <v>236</v>
      </c>
    </row>
    <row r="48" spans="1:60" s="264" customFormat="1" ht="14.25" customHeight="1">
      <c r="A48" s="305"/>
      <c r="B48" s="314" t="s">
        <v>1980</v>
      </c>
      <c r="C48" s="336" t="s">
        <v>1966</v>
      </c>
      <c r="D48" s="319" t="s">
        <v>1981</v>
      </c>
      <c r="E48" s="335">
        <v>37265.298147614689</v>
      </c>
      <c r="F48" s="310" t="s">
        <v>236</v>
      </c>
    </row>
    <row r="49" spans="1:10" s="264" customFormat="1" ht="14.25" customHeight="1">
      <c r="A49" s="305"/>
      <c r="B49" s="314" t="s">
        <v>1982</v>
      </c>
      <c r="C49" s="336" t="s">
        <v>1968</v>
      </c>
      <c r="D49" s="319" t="s">
        <v>1983</v>
      </c>
      <c r="E49" s="335">
        <v>37148.795338733697</v>
      </c>
      <c r="F49" s="310" t="s">
        <v>236</v>
      </c>
    </row>
    <row r="50" spans="1:10" s="264" customFormat="1" ht="14.25" customHeight="1">
      <c r="A50" s="305"/>
      <c r="B50" s="314" t="s">
        <v>1984</v>
      </c>
      <c r="C50" s="318" t="s">
        <v>1985</v>
      </c>
      <c r="D50" s="319" t="s">
        <v>1986</v>
      </c>
      <c r="E50" s="335">
        <v>37577.835990207837</v>
      </c>
      <c r="F50" s="310" t="s">
        <v>236</v>
      </c>
    </row>
    <row r="51" spans="1:10" s="264" customFormat="1" ht="14.25" customHeight="1">
      <c r="A51" s="305"/>
      <c r="B51" s="314" t="s">
        <v>1987</v>
      </c>
      <c r="C51" s="336"/>
      <c r="D51" s="319" t="s">
        <v>1988</v>
      </c>
      <c r="E51" s="335">
        <v>37985.676847511946</v>
      </c>
      <c r="F51" s="310" t="s">
        <v>236</v>
      </c>
    </row>
    <row r="52" spans="1:10" s="264" customFormat="1" ht="14.25" customHeight="1">
      <c r="A52" s="305"/>
      <c r="B52" s="314" t="s">
        <v>1989</v>
      </c>
      <c r="C52" s="343"/>
      <c r="D52" s="319" t="s">
        <v>1990</v>
      </c>
      <c r="E52" s="335">
        <v>38089.452348360159</v>
      </c>
      <c r="F52" s="310" t="s">
        <v>236</v>
      </c>
    </row>
    <row r="53" spans="1:10" s="264" customFormat="1" ht="14.25" customHeight="1">
      <c r="A53" s="305"/>
      <c r="B53" s="314"/>
      <c r="C53" s="343"/>
      <c r="E53" s="320"/>
      <c r="F53" s="321"/>
    </row>
    <row r="54" spans="1:10" ht="14.25" customHeight="1">
      <c r="A54" s="344"/>
      <c r="B54" s="345"/>
      <c r="C54" s="346" t="s">
        <v>1991</v>
      </c>
      <c r="D54" s="302"/>
      <c r="E54" s="303"/>
      <c r="F54" s="347"/>
    </row>
    <row r="55" spans="1:10" s="356" customFormat="1" ht="14.25" customHeight="1">
      <c r="A55" s="348"/>
      <c r="B55" s="349" t="s">
        <v>1992</v>
      </c>
      <c r="C55" s="350" t="s">
        <v>1993</v>
      </c>
      <c r="D55" s="351" t="s">
        <v>1994</v>
      </c>
      <c r="E55" s="335">
        <v>1791.812865497076</v>
      </c>
      <c r="F55" s="352" t="s">
        <v>236</v>
      </c>
      <c r="G55" s="353"/>
      <c r="H55" s="354"/>
      <c r="I55" s="355"/>
      <c r="J55" s="355"/>
    </row>
    <row r="56" spans="1:10" s="356" customFormat="1" ht="14.25" customHeight="1">
      <c r="A56" s="348"/>
      <c r="B56" s="349" t="s">
        <v>1995</v>
      </c>
      <c r="C56" s="350" t="s">
        <v>1996</v>
      </c>
      <c r="D56" s="351" t="s">
        <v>1997</v>
      </c>
      <c r="E56" s="335">
        <v>2107.6023391812864</v>
      </c>
      <c r="F56" s="352" t="s">
        <v>236</v>
      </c>
      <c r="G56" s="353"/>
      <c r="H56" s="354"/>
      <c r="I56" s="355"/>
      <c r="J56" s="355"/>
    </row>
    <row r="57" spans="1:10" s="356" customFormat="1" ht="14.25" customHeight="1">
      <c r="A57" s="348"/>
      <c r="B57" s="349" t="s">
        <v>1998</v>
      </c>
      <c r="C57" s="350" t="s">
        <v>1999</v>
      </c>
      <c r="D57" s="351" t="s">
        <v>2000</v>
      </c>
      <c r="E57" s="335">
        <v>2231.5789473684208</v>
      </c>
      <c r="F57" s="352" t="s">
        <v>236</v>
      </c>
      <c r="G57" s="353"/>
      <c r="H57" s="354"/>
      <c r="I57" s="355"/>
      <c r="J57" s="355"/>
    </row>
    <row r="58" spans="1:10" s="356" customFormat="1" ht="14.25" customHeight="1">
      <c r="A58" s="348"/>
      <c r="B58" s="349" t="s">
        <v>2001</v>
      </c>
      <c r="C58" s="350"/>
      <c r="D58" s="351" t="s">
        <v>2002</v>
      </c>
      <c r="E58" s="335">
        <v>2341.5204678362575</v>
      </c>
      <c r="F58" s="352" t="s">
        <v>236</v>
      </c>
      <c r="G58" s="353"/>
      <c r="H58" s="354"/>
      <c r="I58" s="355"/>
      <c r="J58" s="355"/>
    </row>
    <row r="59" spans="1:10" s="356" customFormat="1" ht="14.25" customHeight="1">
      <c r="A59" s="348"/>
      <c r="B59" s="349" t="s">
        <v>2003</v>
      </c>
      <c r="C59" s="350"/>
      <c r="D59" s="351" t="s">
        <v>2004</v>
      </c>
      <c r="E59" s="335">
        <v>2502.9239766081869</v>
      </c>
      <c r="F59" s="352" t="s">
        <v>236</v>
      </c>
      <c r="G59" s="353"/>
      <c r="H59" s="354"/>
      <c r="I59" s="355"/>
      <c r="J59" s="355"/>
    </row>
    <row r="60" spans="1:10" s="356" customFormat="1">
      <c r="A60" s="348"/>
      <c r="B60" s="349" t="s">
        <v>2005</v>
      </c>
      <c r="C60" s="350"/>
      <c r="D60" s="351" t="s">
        <v>2006</v>
      </c>
      <c r="E60" s="335">
        <v>2842.105263157895</v>
      </c>
      <c r="F60" s="352" t="s">
        <v>236</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2007</v>
      </c>
      <c r="D64" s="302"/>
      <c r="E64" s="303"/>
      <c r="F64" s="364"/>
    </row>
    <row r="65" spans="1:6" ht="14.25" customHeight="1">
      <c r="A65" s="365"/>
      <c r="B65" s="308" t="s">
        <v>2008</v>
      </c>
      <c r="C65" s="1536" t="s">
        <v>2009</v>
      </c>
      <c r="D65" s="367" t="s">
        <v>2010</v>
      </c>
      <c r="E65" s="368">
        <v>718.36680947873697</v>
      </c>
      <c r="F65" s="310" t="s">
        <v>236</v>
      </c>
    </row>
    <row r="66" spans="1:6" ht="14.25" customHeight="1">
      <c r="A66" s="365"/>
      <c r="B66" s="308" t="s">
        <v>2011</v>
      </c>
      <c r="C66" s="1537"/>
      <c r="D66" s="367" t="s">
        <v>2012</v>
      </c>
      <c r="E66" s="368">
        <v>958.23084025854109</v>
      </c>
      <c r="F66" s="310" t="s">
        <v>236</v>
      </c>
    </row>
    <row r="67" spans="1:6" ht="14.25" customHeight="1">
      <c r="A67" s="365"/>
      <c r="B67" s="308" t="s">
        <v>2013</v>
      </c>
      <c r="C67" s="1537"/>
      <c r="D67" s="367" t="s">
        <v>2014</v>
      </c>
      <c r="E67" s="368">
        <v>1244.6685133887352</v>
      </c>
      <c r="F67" s="310" t="s">
        <v>236</v>
      </c>
    </row>
    <row r="68" spans="1:6" ht="14.25" customHeight="1">
      <c r="A68" s="365"/>
      <c r="B68" s="308" t="s">
        <v>2015</v>
      </c>
      <c r="C68" s="1537"/>
      <c r="D68" s="367" t="s">
        <v>2016</v>
      </c>
      <c r="E68" s="368">
        <v>1387.926131117267</v>
      </c>
      <c r="F68" s="310" t="s">
        <v>236</v>
      </c>
    </row>
    <row r="69" spans="1:6" ht="14.25" customHeight="1">
      <c r="A69" s="365"/>
      <c r="B69" s="308" t="s">
        <v>2017</v>
      </c>
      <c r="C69" s="1537"/>
      <c r="D69" s="367" t="s">
        <v>2018</v>
      </c>
      <c r="E69" s="368">
        <v>1531.1837488457991</v>
      </c>
      <c r="F69" s="310" t="s">
        <v>236</v>
      </c>
    </row>
    <row r="70" spans="1:6" ht="14.25" customHeight="1">
      <c r="A70" s="365"/>
      <c r="B70" s="308" t="s">
        <v>2019</v>
      </c>
      <c r="C70" s="1537"/>
      <c r="D70" s="367" t="s">
        <v>2020</v>
      </c>
      <c r="E70" s="368">
        <v>1674.4672206832875</v>
      </c>
      <c r="F70" s="310" t="s">
        <v>236</v>
      </c>
    </row>
    <row r="71" spans="1:6" ht="14.25" customHeight="1">
      <c r="A71" s="365"/>
      <c r="B71" s="308" t="s">
        <v>2021</v>
      </c>
      <c r="C71" s="1537"/>
      <c r="D71" s="367" t="s">
        <v>2022</v>
      </c>
      <c r="E71" s="368">
        <v>1817.6214219759927</v>
      </c>
      <c r="F71" s="310" t="s">
        <v>236</v>
      </c>
    </row>
    <row r="72" spans="1:6" ht="14.25" customHeight="1">
      <c r="A72" s="365"/>
      <c r="B72" s="308" t="s">
        <v>2023</v>
      </c>
      <c r="C72" s="1537"/>
      <c r="D72" s="367" t="s">
        <v>2024</v>
      </c>
      <c r="E72" s="368">
        <v>1960.9048938134815</v>
      </c>
      <c r="F72" s="310" t="s">
        <v>236</v>
      </c>
    </row>
    <row r="73" spans="1:6" ht="14.25" customHeight="1">
      <c r="A73" s="365"/>
      <c r="B73" s="319"/>
      <c r="C73" s="1537"/>
      <c r="D73" s="367"/>
      <c r="E73" s="370"/>
      <c r="F73" s="371"/>
    </row>
    <row r="74" spans="1:6" ht="15" customHeight="1">
      <c r="A74" s="299"/>
      <c r="B74" s="300"/>
      <c r="C74" s="363" t="s">
        <v>2025</v>
      </c>
      <c r="D74" s="302"/>
      <c r="E74" s="303"/>
      <c r="F74" s="364"/>
    </row>
    <row r="75" spans="1:6" ht="14.25" customHeight="1">
      <c r="A75" s="365"/>
      <c r="B75" s="308" t="s">
        <v>2026</v>
      </c>
      <c r="C75" s="366" t="s">
        <v>2027</v>
      </c>
      <c r="D75" s="367" t="s">
        <v>2028</v>
      </c>
      <c r="E75" s="372">
        <v>3770.7602339181285</v>
      </c>
      <c r="F75" s="310" t="s">
        <v>236</v>
      </c>
    </row>
    <row r="76" spans="1:6" ht="14.25" customHeight="1">
      <c r="A76" s="365"/>
      <c r="B76" s="308"/>
      <c r="C76" s="369" t="s">
        <v>2029</v>
      </c>
      <c r="D76" s="367"/>
      <c r="E76" s="372"/>
      <c r="F76" s="373"/>
    </row>
    <row r="77" spans="1:6" ht="14.25" customHeight="1">
      <c r="A77" s="365"/>
      <c r="B77" s="308"/>
      <c r="C77" s="374"/>
      <c r="D77" s="367"/>
      <c r="E77" s="372"/>
      <c r="F77" s="373"/>
    </row>
    <row r="78" spans="1:6" ht="14.25" customHeight="1">
      <c r="A78" s="365"/>
      <c r="B78" s="308" t="s">
        <v>2030</v>
      </c>
      <c r="C78" s="369" t="s">
        <v>2027</v>
      </c>
      <c r="D78" s="367" t="s">
        <v>2031</v>
      </c>
      <c r="E78" s="372">
        <v>3992.9824561403507</v>
      </c>
      <c r="F78" s="310" t="s">
        <v>236</v>
      </c>
    </row>
    <row r="79" spans="1:6" ht="14.25" customHeight="1">
      <c r="A79" s="365"/>
      <c r="B79" s="308"/>
      <c r="C79" s="369" t="s">
        <v>2029</v>
      </c>
      <c r="D79" s="367"/>
      <c r="E79" s="372"/>
      <c r="F79" s="373"/>
    </row>
    <row r="80" spans="1:6" ht="14.25" customHeight="1">
      <c r="A80" s="365"/>
      <c r="B80" s="308"/>
      <c r="C80" s="374"/>
      <c r="D80" s="367"/>
      <c r="E80" s="372"/>
      <c r="F80" s="373"/>
    </row>
    <row r="81" spans="1:60" ht="14.25" customHeight="1">
      <c r="A81" s="365"/>
      <c r="B81" s="308" t="s">
        <v>2032</v>
      </c>
      <c r="C81" s="369" t="s">
        <v>2027</v>
      </c>
      <c r="D81" s="367" t="s">
        <v>2033</v>
      </c>
      <c r="E81" s="372">
        <v>4748.5380116959068</v>
      </c>
      <c r="F81" s="310" t="s">
        <v>236</v>
      </c>
    </row>
    <row r="82" spans="1:60" ht="14.25" customHeight="1">
      <c r="A82" s="365"/>
      <c r="B82" s="308"/>
      <c r="C82" s="369" t="s">
        <v>2029</v>
      </c>
      <c r="D82" s="367"/>
      <c r="E82" s="375"/>
      <c r="F82" s="373"/>
    </row>
    <row r="83" spans="1:60" ht="14.25" customHeight="1">
      <c r="A83" s="365"/>
      <c r="B83" s="308"/>
      <c r="C83" s="374"/>
      <c r="D83" s="367"/>
      <c r="E83" s="376"/>
      <c r="F83" s="377"/>
    </row>
    <row r="84" spans="1:60" s="277" customFormat="1" ht="15" customHeight="1">
      <c r="A84" s="325" t="s">
        <v>1905</v>
      </c>
      <c r="B84" s="326"/>
      <c r="C84" s="1526" t="s">
        <v>2034</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1562</v>
      </c>
      <c r="B85" s="331"/>
      <c r="C85" s="1527"/>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405</v>
      </c>
      <c r="B86" s="293" t="s">
        <v>406</v>
      </c>
      <c r="C86" s="294" t="s">
        <v>407</v>
      </c>
      <c r="D86" s="292" t="s">
        <v>408</v>
      </c>
      <c r="E86" s="295" t="s">
        <v>409</v>
      </c>
      <c r="F86" s="296" t="s">
        <v>1563</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1571</v>
      </c>
      <c r="D87" s="302"/>
      <c r="E87" s="303"/>
      <c r="F87" s="304"/>
    </row>
    <row r="88" spans="1:60" ht="14.25" customHeight="1">
      <c r="A88" s="305"/>
      <c r="B88" s="381" t="s">
        <v>2035</v>
      </c>
      <c r="C88" s="382" t="s">
        <v>2036</v>
      </c>
      <c r="D88" s="319" t="s">
        <v>1574</v>
      </c>
      <c r="E88" s="383">
        <v>5531.1281705664733</v>
      </c>
      <c r="F88" s="310" t="s">
        <v>1821</v>
      </c>
    </row>
    <row r="89" spans="1:60" ht="14.25" customHeight="1">
      <c r="A89" s="305"/>
      <c r="B89" s="384" t="s">
        <v>2037</v>
      </c>
      <c r="C89" s="382" t="s">
        <v>2038</v>
      </c>
      <c r="D89" s="319" t="s">
        <v>1577</v>
      </c>
      <c r="E89" s="383">
        <v>5633.4527711219453</v>
      </c>
      <c r="F89" s="310" t="s">
        <v>1821</v>
      </c>
    </row>
    <row r="90" spans="1:60" ht="14.25" customHeight="1">
      <c r="A90" s="305"/>
      <c r="B90" s="381" t="s">
        <v>2039</v>
      </c>
      <c r="C90" s="385" t="s">
        <v>2040</v>
      </c>
      <c r="D90" s="319" t="s">
        <v>1580</v>
      </c>
      <c r="E90" s="383">
        <v>5756.1546723952733</v>
      </c>
      <c r="F90" s="310" t="s">
        <v>1821</v>
      </c>
    </row>
    <row r="91" spans="1:60" ht="14.25" customHeight="1">
      <c r="A91" s="305"/>
      <c r="B91" s="381" t="s">
        <v>2041</v>
      </c>
      <c r="C91" s="382"/>
      <c r="D91" s="319" t="s">
        <v>1582</v>
      </c>
      <c r="E91" s="383">
        <v>5829.8687194175927</v>
      </c>
      <c r="F91" s="310" t="s">
        <v>1821</v>
      </c>
    </row>
    <row r="92" spans="1:60" ht="14.25" customHeight="1">
      <c r="A92" s="305"/>
      <c r="B92" s="381" t="s">
        <v>2042</v>
      </c>
      <c r="C92" s="382"/>
      <c r="D92" s="319" t="s">
        <v>1584</v>
      </c>
      <c r="E92" s="383">
        <v>5914.9549468910382</v>
      </c>
      <c r="F92" s="310" t="s">
        <v>1821</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2043</v>
      </c>
      <c r="C97" s="382" t="s">
        <v>2036</v>
      </c>
      <c r="D97" s="319" t="s">
        <v>1586</v>
      </c>
      <c r="E97" s="383">
        <v>6195.1569399689697</v>
      </c>
      <c r="F97" s="310" t="s">
        <v>236</v>
      </c>
    </row>
    <row r="98" spans="1:6" ht="14.25" customHeight="1">
      <c r="A98" s="305"/>
      <c r="B98" s="381" t="s">
        <v>2044</v>
      </c>
      <c r="C98" s="382" t="s">
        <v>2038</v>
      </c>
      <c r="D98" s="319" t="s">
        <v>1588</v>
      </c>
      <c r="E98" s="383">
        <v>6433.3655567490168</v>
      </c>
      <c r="F98" s="310" t="s">
        <v>236</v>
      </c>
    </row>
    <row r="99" spans="1:6" ht="14.25" customHeight="1">
      <c r="A99" s="305"/>
      <c r="B99" s="381" t="s">
        <v>2045</v>
      </c>
      <c r="C99" s="385" t="s">
        <v>2046</v>
      </c>
      <c r="D99" s="319" t="s">
        <v>2047</v>
      </c>
      <c r="E99" s="383">
        <v>6815.2935911206587</v>
      </c>
      <c r="F99" s="310" t="s">
        <v>236</v>
      </c>
    </row>
    <row r="100" spans="1:6" ht="14.25" customHeight="1">
      <c r="A100" s="305"/>
      <c r="B100" s="381" t="s">
        <v>2048</v>
      </c>
      <c r="C100" s="382"/>
      <c r="D100" s="319" t="s">
        <v>1593</v>
      </c>
      <c r="E100" s="383">
        <v>6992.5223773720018</v>
      </c>
      <c r="F100" s="310" t="s">
        <v>236</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1594</v>
      </c>
      <c r="D107" s="302"/>
      <c r="E107" s="303"/>
      <c r="F107" s="304"/>
    </row>
    <row r="108" spans="1:6" ht="14.25" customHeight="1">
      <c r="A108" s="305"/>
      <c r="B108" s="384" t="s">
        <v>2049</v>
      </c>
      <c r="C108" s="382" t="s">
        <v>2050</v>
      </c>
      <c r="D108" s="319" t="s">
        <v>1574</v>
      </c>
      <c r="E108" s="383">
        <v>5873.4422891963814</v>
      </c>
      <c r="F108" s="310" t="s">
        <v>236</v>
      </c>
    </row>
    <row r="109" spans="1:6" ht="14.25" customHeight="1">
      <c r="A109" s="305"/>
      <c r="B109" s="384" t="s">
        <v>2051</v>
      </c>
      <c r="C109" s="382" t="s">
        <v>2038</v>
      </c>
      <c r="D109" s="319" t="s">
        <v>1577</v>
      </c>
      <c r="E109" s="383">
        <v>5975.7668897518533</v>
      </c>
      <c r="F109" s="310" t="s">
        <v>236</v>
      </c>
    </row>
    <row r="110" spans="1:6" ht="14.25" customHeight="1">
      <c r="A110" s="305"/>
      <c r="B110" s="384" t="s">
        <v>2052</v>
      </c>
      <c r="C110" s="385" t="s">
        <v>2040</v>
      </c>
      <c r="D110" s="319" t="s">
        <v>1580</v>
      </c>
      <c r="E110" s="383">
        <v>6098.4687910251832</v>
      </c>
      <c r="F110" s="310" t="s">
        <v>236</v>
      </c>
    </row>
    <row r="111" spans="1:6" ht="14.25" customHeight="1">
      <c r="A111" s="305"/>
      <c r="B111" s="384" t="s">
        <v>2053</v>
      </c>
      <c r="C111" s="382"/>
      <c r="D111" s="319" t="s">
        <v>1582</v>
      </c>
      <c r="E111" s="383">
        <v>6172.1828380475008</v>
      </c>
      <c r="F111" s="310" t="s">
        <v>236</v>
      </c>
    </row>
    <row r="112" spans="1:6" ht="14.25" customHeight="1">
      <c r="A112" s="305"/>
      <c r="B112" s="384" t="s">
        <v>2054</v>
      </c>
      <c r="C112" s="382"/>
      <c r="D112" s="319" t="s">
        <v>1584</v>
      </c>
      <c r="E112" s="383">
        <v>6257.2690655209462</v>
      </c>
      <c r="F112" s="310" t="s">
        <v>236</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2055</v>
      </c>
      <c r="C118" s="382" t="s">
        <v>2050</v>
      </c>
      <c r="D118" s="319" t="s">
        <v>1586</v>
      </c>
      <c r="E118" s="383">
        <v>6797.7348132235347</v>
      </c>
      <c r="F118" s="310" t="s">
        <v>1821</v>
      </c>
    </row>
    <row r="119" spans="1:6" ht="14.25" customHeight="1">
      <c r="A119" s="305"/>
      <c r="B119" s="384" t="s">
        <v>2056</v>
      </c>
      <c r="C119" s="382" t="s">
        <v>2038</v>
      </c>
      <c r="D119" s="319" t="s">
        <v>1588</v>
      </c>
      <c r="E119" s="383">
        <v>7035.9434300035809</v>
      </c>
      <c r="F119" s="310" t="s">
        <v>1821</v>
      </c>
    </row>
    <row r="120" spans="1:6" ht="14.25" customHeight="1">
      <c r="A120" s="305"/>
      <c r="B120" s="384" t="s">
        <v>2057</v>
      </c>
      <c r="C120" s="385" t="s">
        <v>2058</v>
      </c>
      <c r="D120" s="319" t="s">
        <v>1685</v>
      </c>
      <c r="E120" s="383">
        <v>7417.8714643752246</v>
      </c>
      <c r="F120" s="310" t="s">
        <v>1821</v>
      </c>
    </row>
    <row r="121" spans="1:6" ht="14.25" customHeight="1">
      <c r="A121" s="305"/>
      <c r="B121" s="384" t="s">
        <v>2059</v>
      </c>
      <c r="C121" s="382"/>
      <c r="D121" s="319" t="s">
        <v>1593</v>
      </c>
      <c r="E121" s="383">
        <v>7595.1002506265677</v>
      </c>
      <c r="F121" s="310" t="s">
        <v>1821</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2060</v>
      </c>
      <c r="D127" s="302"/>
      <c r="E127" s="303"/>
      <c r="F127" s="304"/>
    </row>
    <row r="128" spans="1:6" ht="14.25" customHeight="1">
      <c r="A128" s="305"/>
      <c r="B128" s="384" t="s">
        <v>2061</v>
      </c>
      <c r="C128" s="382" t="s">
        <v>2062</v>
      </c>
      <c r="D128" s="319" t="s">
        <v>1574</v>
      </c>
      <c r="E128" s="383">
        <v>5531.1281705664733</v>
      </c>
      <c r="F128" s="310" t="s">
        <v>1821</v>
      </c>
    </row>
    <row r="129" spans="1:6" ht="14.25" customHeight="1">
      <c r="A129" s="305"/>
      <c r="B129" s="384" t="s">
        <v>2063</v>
      </c>
      <c r="C129" s="382" t="s">
        <v>2038</v>
      </c>
      <c r="D129" s="319" t="s">
        <v>1577</v>
      </c>
      <c r="E129" s="383">
        <v>5633.4527711219453</v>
      </c>
      <c r="F129" s="310" t="s">
        <v>1821</v>
      </c>
    </row>
    <row r="130" spans="1:6" ht="14.25" customHeight="1">
      <c r="A130" s="305"/>
      <c r="B130" s="384" t="s">
        <v>2064</v>
      </c>
      <c r="C130" s="385" t="s">
        <v>2040</v>
      </c>
      <c r="D130" s="319" t="s">
        <v>1580</v>
      </c>
      <c r="E130" s="383">
        <v>5756.1546723952733</v>
      </c>
      <c r="F130" s="310" t="s">
        <v>1821</v>
      </c>
    </row>
    <row r="131" spans="1:6" ht="14.25" customHeight="1">
      <c r="A131" s="305"/>
      <c r="B131" s="384" t="s">
        <v>2065</v>
      </c>
      <c r="C131" s="382"/>
      <c r="D131" s="319" t="s">
        <v>1582</v>
      </c>
      <c r="E131" s="383">
        <v>5829.8687194175927</v>
      </c>
      <c r="F131" s="310" t="s">
        <v>1821</v>
      </c>
    </row>
    <row r="132" spans="1:6" ht="14.25" customHeight="1">
      <c r="A132" s="305"/>
      <c r="B132" s="384" t="s">
        <v>2066</v>
      </c>
      <c r="C132" s="382"/>
      <c r="D132" s="319" t="s">
        <v>1584</v>
      </c>
      <c r="E132" s="383">
        <v>5914.9549468910382</v>
      </c>
      <c r="F132" s="310" t="s">
        <v>1821</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2067</v>
      </c>
      <c r="C136" s="382" t="s">
        <v>2062</v>
      </c>
      <c r="D136" s="319" t="s">
        <v>1586</v>
      </c>
      <c r="E136" s="383">
        <v>6195.1569399689697</v>
      </c>
      <c r="F136" s="310" t="s">
        <v>1821</v>
      </c>
    </row>
    <row r="137" spans="1:6" ht="14.25" customHeight="1">
      <c r="A137" s="305"/>
      <c r="B137" s="384" t="s">
        <v>2068</v>
      </c>
      <c r="C137" s="382" t="s">
        <v>2038</v>
      </c>
      <c r="D137" s="319" t="s">
        <v>1588</v>
      </c>
      <c r="E137" s="383">
        <v>6433.3655567490168</v>
      </c>
      <c r="F137" s="310" t="s">
        <v>1821</v>
      </c>
    </row>
    <row r="138" spans="1:6" ht="14.25" customHeight="1">
      <c r="A138" s="305"/>
      <c r="B138" s="384" t="s">
        <v>2069</v>
      </c>
      <c r="C138" s="385" t="s">
        <v>2058</v>
      </c>
      <c r="D138" s="319" t="s">
        <v>1591</v>
      </c>
      <c r="E138" s="383">
        <v>6815.2935911206587</v>
      </c>
      <c r="F138" s="310" t="s">
        <v>1821</v>
      </c>
    </row>
    <row r="139" spans="1:6" ht="14.25" customHeight="1">
      <c r="A139" s="305"/>
      <c r="B139" s="384" t="s">
        <v>2070</v>
      </c>
      <c r="C139" s="382"/>
      <c r="D139" s="319" t="s">
        <v>1593</v>
      </c>
      <c r="E139" s="383">
        <v>6992.5223773720018</v>
      </c>
      <c r="F139" s="310" t="s">
        <v>1821</v>
      </c>
    </row>
    <row r="140" spans="1:6" ht="14.25" customHeight="1">
      <c r="A140" s="305"/>
      <c r="B140" s="314"/>
      <c r="C140" s="382"/>
      <c r="D140" s="319"/>
      <c r="E140" s="320"/>
      <c r="F140" s="321"/>
    </row>
    <row r="141" spans="1:6" ht="14.25" customHeight="1">
      <c r="A141" s="299"/>
      <c r="B141" s="300"/>
      <c r="C141" s="301" t="s">
        <v>2071</v>
      </c>
      <c r="D141" s="302"/>
      <c r="E141" s="303"/>
      <c r="F141" s="304"/>
    </row>
    <row r="142" spans="1:6" ht="14.25" customHeight="1">
      <c r="A142" s="305"/>
      <c r="B142" s="384" t="s">
        <v>2072</v>
      </c>
      <c r="C142" s="382" t="s">
        <v>2062</v>
      </c>
      <c r="D142" s="319" t="s">
        <v>1574</v>
      </c>
      <c r="E142" s="383">
        <v>5873.4422891963814</v>
      </c>
      <c r="F142" s="310" t="s">
        <v>1821</v>
      </c>
    </row>
    <row r="143" spans="1:6" ht="14.25" customHeight="1">
      <c r="A143" s="305"/>
      <c r="B143" s="384" t="s">
        <v>2073</v>
      </c>
      <c r="C143" s="382" t="s">
        <v>2038</v>
      </c>
      <c r="D143" s="319" t="s">
        <v>1577</v>
      </c>
      <c r="E143" s="383">
        <v>5975.7668897518533</v>
      </c>
      <c r="F143" s="310" t="s">
        <v>1821</v>
      </c>
    </row>
    <row r="144" spans="1:6" ht="14.25" customHeight="1">
      <c r="A144" s="305"/>
      <c r="B144" s="384" t="s">
        <v>2074</v>
      </c>
      <c r="C144" s="385" t="s">
        <v>2040</v>
      </c>
      <c r="D144" s="319" t="s">
        <v>1580</v>
      </c>
      <c r="E144" s="383">
        <v>6098.4687910251832</v>
      </c>
      <c r="F144" s="310" t="s">
        <v>1821</v>
      </c>
    </row>
    <row r="145" spans="1:6" ht="14.25" customHeight="1">
      <c r="A145" s="305"/>
      <c r="B145" s="384" t="s">
        <v>2075</v>
      </c>
      <c r="C145" s="382"/>
      <c r="D145" s="319" t="s">
        <v>1582</v>
      </c>
      <c r="E145" s="383">
        <v>6172.1828380475008</v>
      </c>
      <c r="F145" s="310" t="s">
        <v>1821</v>
      </c>
    </row>
    <row r="146" spans="1:6" ht="14.25" customHeight="1">
      <c r="A146" s="305"/>
      <c r="B146" s="384" t="s">
        <v>2076</v>
      </c>
      <c r="C146" s="382"/>
      <c r="D146" s="319" t="s">
        <v>1584</v>
      </c>
      <c r="E146" s="383">
        <v>6257.2690655209462</v>
      </c>
      <c r="F146" s="310" t="s">
        <v>1821</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2077</v>
      </c>
      <c r="C150" s="382" t="s">
        <v>2062</v>
      </c>
      <c r="D150" s="319" t="s">
        <v>1586</v>
      </c>
      <c r="E150" s="383">
        <v>6797.7348132235347</v>
      </c>
      <c r="F150" s="310" t="s">
        <v>1821</v>
      </c>
    </row>
    <row r="151" spans="1:6" ht="14.25" customHeight="1">
      <c r="A151" s="305"/>
      <c r="B151" s="384" t="s">
        <v>2078</v>
      </c>
      <c r="C151" s="382" t="s">
        <v>2038</v>
      </c>
      <c r="D151" s="319" t="s">
        <v>1588</v>
      </c>
      <c r="E151" s="383">
        <v>7035.9434300035809</v>
      </c>
      <c r="F151" s="310" t="s">
        <v>1821</v>
      </c>
    </row>
    <row r="152" spans="1:6" ht="14.25" customHeight="1">
      <c r="A152" s="305"/>
      <c r="B152" s="384" t="s">
        <v>2079</v>
      </c>
      <c r="C152" s="385" t="s">
        <v>2058</v>
      </c>
      <c r="D152" s="319" t="s">
        <v>1591</v>
      </c>
      <c r="E152" s="383">
        <v>7417.8714643752246</v>
      </c>
      <c r="F152" s="310" t="s">
        <v>1821</v>
      </c>
    </row>
    <row r="153" spans="1:6" ht="14.25" customHeight="1">
      <c r="A153" s="305"/>
      <c r="B153" s="384" t="s">
        <v>2080</v>
      </c>
      <c r="C153" s="382"/>
      <c r="D153" s="319"/>
      <c r="E153" s="383"/>
      <c r="F153" s="310"/>
    </row>
    <row r="154" spans="1:6" ht="14.25" customHeight="1">
      <c r="A154" s="305"/>
      <c r="B154" s="314"/>
      <c r="C154" s="382"/>
      <c r="D154" s="319"/>
      <c r="E154" s="320"/>
      <c r="F154" s="321"/>
    </row>
    <row r="155" spans="1:6" ht="14.25" customHeight="1">
      <c r="A155" s="299"/>
      <c r="B155" s="300"/>
      <c r="C155" s="301" t="s">
        <v>1605</v>
      </c>
      <c r="D155" s="302"/>
      <c r="E155" s="303"/>
      <c r="F155" s="304"/>
    </row>
    <row r="156" spans="1:6" ht="14.25" customHeight="1">
      <c r="A156" s="305"/>
      <c r="B156" s="384" t="s">
        <v>2081</v>
      </c>
      <c r="C156" s="382" t="s">
        <v>2082</v>
      </c>
      <c r="D156" s="319" t="s">
        <v>1586</v>
      </c>
      <c r="E156" s="383">
        <v>4680.7771635378158</v>
      </c>
      <c r="F156" s="310" t="s">
        <v>236</v>
      </c>
    </row>
    <row r="157" spans="1:6" ht="14.25" customHeight="1">
      <c r="A157" s="305"/>
      <c r="B157" s="384" t="s">
        <v>2083</v>
      </c>
      <c r="C157" s="382" t="s">
        <v>1576</v>
      </c>
      <c r="D157" s="319" t="s">
        <v>1588</v>
      </c>
      <c r="E157" s="383">
        <v>4773.5499624080576</v>
      </c>
      <c r="F157" s="310" t="s">
        <v>236</v>
      </c>
    </row>
    <row r="158" spans="1:6" ht="14.25" customHeight="1">
      <c r="A158" s="305"/>
      <c r="B158" s="384" t="s">
        <v>2084</v>
      </c>
      <c r="C158" s="385" t="s">
        <v>2085</v>
      </c>
      <c r="D158" s="319" t="s">
        <v>1591</v>
      </c>
      <c r="E158" s="383">
        <v>4794.1897972893767</v>
      </c>
      <c r="F158" s="310" t="s">
        <v>236</v>
      </c>
    </row>
    <row r="159" spans="1:6" ht="14.25" customHeight="1">
      <c r="A159" s="387"/>
      <c r="B159" s="384" t="s">
        <v>2086</v>
      </c>
      <c r="C159" s="382"/>
      <c r="D159" s="319" t="s">
        <v>1593</v>
      </c>
      <c r="E159" s="383">
        <v>4960.1807809404554</v>
      </c>
      <c r="F159" s="310" t="s">
        <v>236</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1766</v>
      </c>
      <c r="D165" s="340"/>
      <c r="E165" s="341"/>
      <c r="F165" s="391"/>
    </row>
    <row r="166" spans="1:6" ht="14.25" customHeight="1">
      <c r="A166" s="305"/>
      <c r="B166" s="384" t="s">
        <v>2087</v>
      </c>
      <c r="C166" s="382" t="s">
        <v>2088</v>
      </c>
      <c r="D166" s="319" t="s">
        <v>1586</v>
      </c>
      <c r="E166" s="383">
        <v>8319.3610536035412</v>
      </c>
      <c r="F166" s="310" t="s">
        <v>236</v>
      </c>
    </row>
    <row r="167" spans="1:6" ht="14.25" customHeight="1">
      <c r="A167" s="305"/>
      <c r="B167" s="384" t="s">
        <v>2089</v>
      </c>
      <c r="C167" s="382" t="s">
        <v>1576</v>
      </c>
      <c r="D167" s="319" t="s">
        <v>1588</v>
      </c>
      <c r="E167" s="383">
        <v>7907.4320980878156</v>
      </c>
      <c r="F167" s="310" t="s">
        <v>236</v>
      </c>
    </row>
    <row r="168" spans="1:6" ht="14.25" customHeight="1">
      <c r="A168" s="305"/>
      <c r="B168" s="384" t="s">
        <v>2090</v>
      </c>
      <c r="C168" s="385" t="s">
        <v>2085</v>
      </c>
      <c r="D168" s="319" t="s">
        <v>1591</v>
      </c>
      <c r="E168" s="383">
        <v>7928.0719329691356</v>
      </c>
      <c r="F168" s="310" t="s">
        <v>236</v>
      </c>
    </row>
    <row r="169" spans="1:6" ht="14.25" customHeight="1">
      <c r="A169" s="305"/>
      <c r="B169" s="384" t="s">
        <v>2091</v>
      </c>
      <c r="C169" s="392"/>
      <c r="D169" s="319" t="s">
        <v>1593</v>
      </c>
      <c r="E169" s="383">
        <v>8077.5510487151587</v>
      </c>
      <c r="F169" s="310" t="s">
        <v>236</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1672</v>
      </c>
      <c r="D175" s="302"/>
      <c r="E175" s="303"/>
      <c r="F175" s="304"/>
    </row>
    <row r="176" spans="1:6" ht="14.25" customHeight="1">
      <c r="A176" s="393"/>
      <c r="B176" s="394" t="s">
        <v>2092</v>
      </c>
      <c r="C176" s="388" t="s">
        <v>2093</v>
      </c>
      <c r="D176" s="394" t="s">
        <v>2094</v>
      </c>
      <c r="E176" s="383">
        <v>1444.5842618396234</v>
      </c>
      <c r="F176" s="310" t="s">
        <v>1821</v>
      </c>
    </row>
    <row r="177" spans="1:60" ht="14.25" customHeight="1">
      <c r="A177" s="395"/>
      <c r="B177" s="394" t="s">
        <v>2095</v>
      </c>
      <c r="C177" s="382" t="s">
        <v>2096</v>
      </c>
      <c r="D177" s="394" t="s">
        <v>2097</v>
      </c>
      <c r="E177" s="383">
        <v>1549.4959707227617</v>
      </c>
      <c r="F177" s="310" t="s">
        <v>1821</v>
      </c>
    </row>
    <row r="178" spans="1:60" ht="14.25" customHeight="1">
      <c r="A178" s="395"/>
      <c r="B178" s="394" t="s">
        <v>2098</v>
      </c>
      <c r="C178" s="388"/>
      <c r="D178" s="394" t="s">
        <v>2099</v>
      </c>
      <c r="E178" s="383">
        <v>1599.0761338627419</v>
      </c>
      <c r="F178" s="310" t="s">
        <v>1821</v>
      </c>
    </row>
    <row r="179" spans="1:60" ht="14.25" customHeight="1">
      <c r="A179" s="395"/>
      <c r="B179" s="394" t="s">
        <v>2100</v>
      </c>
      <c r="C179" s="388"/>
      <c r="D179" s="394" t="s">
        <v>2101</v>
      </c>
      <c r="E179" s="383">
        <v>1605.1621728271268</v>
      </c>
      <c r="F179" s="310" t="s">
        <v>1821</v>
      </c>
    </row>
    <row r="180" spans="1:60" ht="14.25" customHeight="1">
      <c r="A180" s="395"/>
      <c r="B180" s="394" t="s">
        <v>2102</v>
      </c>
      <c r="C180" s="388"/>
      <c r="D180" s="394" t="s">
        <v>2103</v>
      </c>
      <c r="E180" s="383">
        <v>1675.2122607791371</v>
      </c>
      <c r="F180" s="310" t="s">
        <v>1821</v>
      </c>
    </row>
    <row r="181" spans="1:60" ht="14.25" customHeight="1">
      <c r="A181" s="395"/>
      <c r="B181" s="394" t="s">
        <v>2104</v>
      </c>
      <c r="C181" s="388"/>
      <c r="D181" s="394" t="s">
        <v>2105</v>
      </c>
      <c r="E181" s="383">
        <v>1704.3224991070872</v>
      </c>
      <c r="F181" s="310" t="s">
        <v>1821</v>
      </c>
    </row>
    <row r="182" spans="1:60" ht="14.25" customHeight="1">
      <c r="A182" s="395"/>
      <c r="B182" s="394" t="s">
        <v>2106</v>
      </c>
      <c r="C182" s="388"/>
      <c r="D182" s="394" t="s">
        <v>2107</v>
      </c>
      <c r="E182" s="383">
        <v>1770.2786020966919</v>
      </c>
      <c r="F182" s="310" t="s">
        <v>1821</v>
      </c>
    </row>
    <row r="183" spans="1:60" ht="14.25" customHeight="1">
      <c r="A183" s="395"/>
      <c r="B183" s="396" t="s">
        <v>2108</v>
      </c>
      <c r="C183" s="388"/>
      <c r="D183" s="396" t="s">
        <v>2109</v>
      </c>
      <c r="E183" s="383">
        <v>1836.2347050862963</v>
      </c>
      <c r="F183" s="310" t="s">
        <v>1821</v>
      </c>
    </row>
    <row r="184" spans="1:60" ht="14.25" customHeight="1">
      <c r="A184" s="395"/>
      <c r="B184" s="396" t="s">
        <v>2110</v>
      </c>
      <c r="C184" s="388"/>
      <c r="D184" s="396" t="s">
        <v>2111</v>
      </c>
      <c r="E184" s="383">
        <v>1960.7951984506351</v>
      </c>
      <c r="F184" s="310" t="s">
        <v>1821</v>
      </c>
    </row>
    <row r="185" spans="1:60" ht="14.25" customHeight="1">
      <c r="A185" s="395"/>
      <c r="B185" s="396" t="s">
        <v>2112</v>
      </c>
      <c r="C185" s="388"/>
      <c r="D185" s="396" t="s">
        <v>2113</v>
      </c>
      <c r="E185" s="383">
        <v>1984.5228509151298</v>
      </c>
      <c r="F185" s="310" t="s">
        <v>1821</v>
      </c>
    </row>
    <row r="186" spans="1:60" ht="14.25" customHeight="1">
      <c r="A186" s="395"/>
      <c r="B186" s="396" t="s">
        <v>2114</v>
      </c>
      <c r="C186" s="388"/>
      <c r="D186" s="396" t="s">
        <v>2115</v>
      </c>
      <c r="E186" s="383">
        <v>2058.6669238295458</v>
      </c>
      <c r="F186" s="310" t="s">
        <v>1821</v>
      </c>
    </row>
    <row r="187" spans="1:60" ht="14.25" customHeight="1">
      <c r="A187" s="395"/>
      <c r="B187" s="396" t="s">
        <v>2116</v>
      </c>
      <c r="C187" s="388"/>
      <c r="D187" s="396" t="s">
        <v>2117</v>
      </c>
      <c r="E187" s="383">
        <v>2132.8109967439623</v>
      </c>
      <c r="F187" s="310" t="s">
        <v>1821</v>
      </c>
    </row>
    <row r="188" spans="1:60" s="277" customFormat="1" ht="15" customHeight="1">
      <c r="A188" s="325" t="s">
        <v>1905</v>
      </c>
      <c r="B188" s="326"/>
      <c r="C188" s="1526" t="s">
        <v>2118</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1562</v>
      </c>
      <c r="B189" s="331"/>
      <c r="C189" s="1527"/>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405</v>
      </c>
      <c r="B190" s="293" t="s">
        <v>406</v>
      </c>
      <c r="C190" s="294" t="s">
        <v>407</v>
      </c>
      <c r="D190" s="292" t="s">
        <v>408</v>
      </c>
      <c r="E190" s="295" t="s">
        <v>409</v>
      </c>
      <c r="F190" s="296" t="s">
        <v>1563</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1571</v>
      </c>
      <c r="D191" s="302"/>
      <c r="E191" s="303"/>
      <c r="F191" s="304"/>
    </row>
    <row r="192" spans="1:60" ht="14.25" customHeight="1">
      <c r="A192" s="305"/>
      <c r="B192" s="306" t="s">
        <v>2119</v>
      </c>
      <c r="C192" s="382" t="s">
        <v>2120</v>
      </c>
      <c r="D192" s="319" t="s">
        <v>1574</v>
      </c>
      <c r="E192" s="335">
        <v>2560.7528108196184</v>
      </c>
      <c r="F192" s="310" t="s">
        <v>236</v>
      </c>
    </row>
    <row r="193" spans="1:6" ht="14.25" customHeight="1">
      <c r="A193" s="305"/>
      <c r="B193" s="306" t="s">
        <v>2121</v>
      </c>
      <c r="C193" s="382" t="s">
        <v>1576</v>
      </c>
      <c r="D193" s="319" t="s">
        <v>1577</v>
      </c>
      <c r="E193" s="335">
        <v>2617.4591276954002</v>
      </c>
      <c r="F193" s="310" t="s">
        <v>236</v>
      </c>
    </row>
    <row r="194" spans="1:6" ht="14.25" customHeight="1">
      <c r="A194" s="305"/>
      <c r="B194" s="306" t="s">
        <v>2122</v>
      </c>
      <c r="C194" s="318"/>
      <c r="D194" s="319" t="s">
        <v>1580</v>
      </c>
      <c r="E194" s="335">
        <v>2735.3614686871979</v>
      </c>
      <c r="F194" s="310" t="s">
        <v>236</v>
      </c>
    </row>
    <row r="195" spans="1:6" ht="14.25" customHeight="1">
      <c r="A195" s="305"/>
      <c r="B195" s="306" t="s">
        <v>2123</v>
      </c>
      <c r="C195" s="382"/>
      <c r="D195" s="319" t="s">
        <v>1582</v>
      </c>
      <c r="E195" s="335">
        <v>2768.9256422790731</v>
      </c>
      <c r="F195" s="310" t="s">
        <v>236</v>
      </c>
    </row>
    <row r="196" spans="1:6" ht="14.25" customHeight="1">
      <c r="A196" s="305"/>
      <c r="B196" s="306" t="s">
        <v>2124</v>
      </c>
      <c r="C196" s="382"/>
      <c r="D196" s="319" t="s">
        <v>1584</v>
      </c>
      <c r="E196" s="335">
        <v>2828.208136440172</v>
      </c>
      <c r="F196" s="310" t="s">
        <v>236</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2125</v>
      </c>
      <c r="C202" s="382" t="s">
        <v>2120</v>
      </c>
      <c r="D202" s="319" t="s">
        <v>1586</v>
      </c>
      <c r="E202" s="335">
        <v>3129.712280701754</v>
      </c>
      <c r="F202" s="310" t="s">
        <v>236</v>
      </c>
    </row>
    <row r="203" spans="1:6" ht="14.25" customHeight="1">
      <c r="A203" s="305"/>
      <c r="B203" s="306" t="s">
        <v>2126</v>
      </c>
      <c r="C203" s="382" t="s">
        <v>1576</v>
      </c>
      <c r="D203" s="319" t="s">
        <v>1588</v>
      </c>
      <c r="E203" s="335">
        <v>3369.9228070175441</v>
      </c>
      <c r="F203" s="310" t="s">
        <v>236</v>
      </c>
    </row>
    <row r="204" spans="1:6" ht="14.25" customHeight="1">
      <c r="A204" s="305"/>
      <c r="B204" s="306" t="s">
        <v>2127</v>
      </c>
      <c r="C204" s="382"/>
      <c r="D204" s="319" t="s">
        <v>1591</v>
      </c>
      <c r="E204" s="335">
        <v>3523.2350877192985</v>
      </c>
      <c r="F204" s="310" t="s">
        <v>236</v>
      </c>
    </row>
    <row r="205" spans="1:6" ht="14.25" customHeight="1">
      <c r="A205" s="305"/>
      <c r="B205" s="306" t="s">
        <v>2128</v>
      </c>
      <c r="C205" s="382"/>
      <c r="D205" s="319" t="s">
        <v>1593</v>
      </c>
      <c r="E205" s="335">
        <v>3575.1053717886052</v>
      </c>
      <c r="F205" s="310" t="s">
        <v>236</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1594</v>
      </c>
      <c r="D209" s="302"/>
      <c r="E209" s="303"/>
      <c r="F209" s="364"/>
    </row>
    <row r="210" spans="1:6" ht="14.25" customHeight="1">
      <c r="A210" s="305"/>
      <c r="B210" s="306" t="s">
        <v>2129</v>
      </c>
      <c r="C210" s="382" t="s">
        <v>2130</v>
      </c>
      <c r="D210" s="319" t="s">
        <v>1574</v>
      </c>
      <c r="E210" s="335">
        <v>3248.2456140350878</v>
      </c>
      <c r="F210" s="310" t="s">
        <v>236</v>
      </c>
    </row>
    <row r="211" spans="1:6" ht="14.25" customHeight="1">
      <c r="A211" s="305"/>
      <c r="B211" s="306" t="s">
        <v>2131</v>
      </c>
      <c r="C211" s="382" t="s">
        <v>1576</v>
      </c>
      <c r="D211" s="319" t="s">
        <v>1577</v>
      </c>
      <c r="E211" s="335">
        <v>3309.7473684210527</v>
      </c>
      <c r="F211" s="310" t="s">
        <v>236</v>
      </c>
    </row>
    <row r="212" spans="1:6" ht="14.25" customHeight="1">
      <c r="A212" s="305"/>
      <c r="B212" s="306" t="s">
        <v>2132</v>
      </c>
      <c r="C212" s="318"/>
      <c r="D212" s="319" t="s">
        <v>1580</v>
      </c>
      <c r="E212" s="335">
        <v>3401.582456140351</v>
      </c>
      <c r="F212" s="310" t="s">
        <v>236</v>
      </c>
    </row>
    <row r="213" spans="1:6" ht="14.25" customHeight="1">
      <c r="A213" s="305"/>
      <c r="B213" s="306" t="s">
        <v>2133</v>
      </c>
      <c r="C213" s="382"/>
      <c r="D213" s="319" t="s">
        <v>1582</v>
      </c>
      <c r="E213" s="335">
        <v>3463.0596491228071</v>
      </c>
      <c r="F213" s="310" t="s">
        <v>236</v>
      </c>
    </row>
    <row r="214" spans="1:6" ht="14.25" customHeight="1">
      <c r="A214" s="305"/>
      <c r="B214" s="306" t="s">
        <v>2134</v>
      </c>
      <c r="C214" s="382"/>
      <c r="D214" s="319" t="s">
        <v>1584</v>
      </c>
      <c r="E214" s="335">
        <v>3554.894736842105</v>
      </c>
      <c r="F214" s="310" t="s">
        <v>236</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2135</v>
      </c>
      <c r="C219" s="382" t="s">
        <v>2130</v>
      </c>
      <c r="D219" s="319" t="s">
        <v>1586</v>
      </c>
      <c r="E219" s="335">
        <v>5249.3122807017535</v>
      </c>
      <c r="F219" s="310" t="s">
        <v>236</v>
      </c>
    </row>
    <row r="220" spans="1:6" ht="14.25" customHeight="1">
      <c r="A220" s="305"/>
      <c r="B220" s="306" t="s">
        <v>2136</v>
      </c>
      <c r="C220" s="382" t="s">
        <v>1576</v>
      </c>
      <c r="D220" s="319" t="s">
        <v>1588</v>
      </c>
      <c r="E220" s="335">
        <v>5484.635087719299</v>
      </c>
      <c r="F220" s="310" t="s">
        <v>236</v>
      </c>
    </row>
    <row r="221" spans="1:6" ht="14.25" customHeight="1">
      <c r="A221" s="305"/>
      <c r="B221" s="306" t="s">
        <v>2137</v>
      </c>
      <c r="C221" s="385" t="s">
        <v>1615</v>
      </c>
      <c r="D221" s="319" t="s">
        <v>1591</v>
      </c>
      <c r="E221" s="335">
        <v>5634.8035087719309</v>
      </c>
      <c r="F221" s="310" t="s">
        <v>236</v>
      </c>
    </row>
    <row r="222" spans="1:6" ht="14.25" customHeight="1">
      <c r="A222" s="305"/>
      <c r="B222" s="306" t="s">
        <v>2138</v>
      </c>
      <c r="C222" s="263"/>
      <c r="D222" s="319" t="s">
        <v>1593</v>
      </c>
      <c r="E222" s="335">
        <v>5771.9052631578943</v>
      </c>
      <c r="F222" s="310" t="s">
        <v>236</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1605</v>
      </c>
      <c r="D228" s="302"/>
      <c r="E228" s="303"/>
      <c r="F228" s="364"/>
    </row>
    <row r="229" spans="1:6" ht="14.25" customHeight="1">
      <c r="A229" s="305"/>
      <c r="B229" s="306" t="s">
        <v>1606</v>
      </c>
      <c r="C229" s="382" t="s">
        <v>1607</v>
      </c>
      <c r="D229" s="319" t="s">
        <v>1586</v>
      </c>
      <c r="E229" s="335">
        <v>4300.264046379596</v>
      </c>
      <c r="F229" s="310" t="s">
        <v>236</v>
      </c>
    </row>
    <row r="230" spans="1:6" ht="14.25" customHeight="1">
      <c r="A230" s="305"/>
      <c r="B230" s="306" t="s">
        <v>1608</v>
      </c>
      <c r="C230" s="382" t="s">
        <v>1576</v>
      </c>
      <c r="D230" s="319" t="s">
        <v>1588</v>
      </c>
      <c r="E230" s="335">
        <v>4393.0368452498369</v>
      </c>
      <c r="F230" s="310" t="s">
        <v>236</v>
      </c>
    </row>
    <row r="231" spans="1:6" ht="14.25" customHeight="1">
      <c r="A231" s="305"/>
      <c r="B231" s="306" t="s">
        <v>1610</v>
      </c>
      <c r="C231" s="385" t="s">
        <v>1615</v>
      </c>
      <c r="D231" s="319" t="s">
        <v>1593</v>
      </c>
      <c r="E231" s="335">
        <v>4563.1557958771773</v>
      </c>
      <c r="F231" s="310" t="s">
        <v>236</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1766</v>
      </c>
      <c r="D238" s="340"/>
      <c r="E238" s="341"/>
      <c r="F238" s="391"/>
    </row>
    <row r="239" spans="1:6" ht="14.25" customHeight="1">
      <c r="A239" s="305"/>
      <c r="B239" s="306" t="s">
        <v>1611</v>
      </c>
      <c r="C239" s="382" t="s">
        <v>1612</v>
      </c>
      <c r="D239" s="319" t="s">
        <v>1586</v>
      </c>
      <c r="E239" s="309">
        <v>8319.3610536035412</v>
      </c>
      <c r="F239" s="310" t="s">
        <v>236</v>
      </c>
    </row>
    <row r="240" spans="1:6" ht="14.25" customHeight="1">
      <c r="A240" s="305"/>
      <c r="B240" s="306" t="s">
        <v>1613</v>
      </c>
      <c r="C240" s="382" t="s">
        <v>1576</v>
      </c>
      <c r="D240" s="319" t="s">
        <v>1588</v>
      </c>
      <c r="E240" s="309">
        <v>7907.4320980878156</v>
      </c>
      <c r="F240" s="310" t="s">
        <v>236</v>
      </c>
    </row>
    <row r="241" spans="1:6" ht="14.25" customHeight="1">
      <c r="A241" s="305"/>
      <c r="B241" s="306" t="s">
        <v>1614</v>
      </c>
      <c r="C241" s="385" t="s">
        <v>1615</v>
      </c>
      <c r="D241" s="319" t="s">
        <v>1591</v>
      </c>
      <c r="E241" s="309">
        <v>7928.0719329691356</v>
      </c>
      <c r="F241" s="310" t="s">
        <v>236</v>
      </c>
    </row>
    <row r="242" spans="1:6" ht="14.25" customHeight="1">
      <c r="A242" s="305"/>
      <c r="B242" s="306" t="s">
        <v>1616</v>
      </c>
      <c r="C242" s="392"/>
      <c r="D242" s="319" t="s">
        <v>1593</v>
      </c>
      <c r="E242" s="309">
        <v>8077.5510487151587</v>
      </c>
      <c r="F242" s="310" t="s">
        <v>236</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1617</v>
      </c>
      <c r="D248" s="340"/>
      <c r="E248" s="341"/>
      <c r="F248" s="391"/>
    </row>
    <row r="249" spans="1:6" ht="14.25" customHeight="1">
      <c r="A249" s="393"/>
      <c r="B249" s="306" t="s">
        <v>2139</v>
      </c>
      <c r="C249" s="382" t="s">
        <v>2140</v>
      </c>
      <c r="D249" s="319" t="s">
        <v>1574</v>
      </c>
      <c r="E249" s="335">
        <v>1755.3024636650152</v>
      </c>
      <c r="F249" s="310" t="s">
        <v>236</v>
      </c>
    </row>
    <row r="250" spans="1:6" ht="14.25" customHeight="1">
      <c r="A250" s="395"/>
      <c r="B250" s="306" t="s">
        <v>2141</v>
      </c>
      <c r="C250" s="382" t="s">
        <v>1576</v>
      </c>
      <c r="D250" s="319" t="s">
        <v>1577</v>
      </c>
      <c r="E250" s="335">
        <v>1812.0087805407959</v>
      </c>
      <c r="F250" s="310" t="s">
        <v>236</v>
      </c>
    </row>
    <row r="251" spans="1:6" ht="14.25" customHeight="1">
      <c r="A251" s="395"/>
      <c r="B251" s="306" t="s">
        <v>2142</v>
      </c>
      <c r="C251" s="318"/>
      <c r="D251" s="319" t="s">
        <v>1580</v>
      </c>
      <c r="E251" s="335">
        <v>1929.9111215325943</v>
      </c>
      <c r="F251" s="310" t="s">
        <v>236</v>
      </c>
    </row>
    <row r="252" spans="1:6" ht="14.25" customHeight="1">
      <c r="A252" s="395"/>
      <c r="B252" s="306" t="s">
        <v>2143</v>
      </c>
      <c r="C252" s="382"/>
      <c r="D252" s="319" t="s">
        <v>1582</v>
      </c>
      <c r="E252" s="335">
        <v>1963.4752951244686</v>
      </c>
      <c r="F252" s="310" t="s">
        <v>236</v>
      </c>
    </row>
    <row r="253" spans="1:6" ht="14.25" customHeight="1">
      <c r="A253" s="395"/>
      <c r="B253" s="306" t="s">
        <v>2144</v>
      </c>
      <c r="C253" s="382"/>
      <c r="D253" s="319" t="s">
        <v>1584</v>
      </c>
      <c r="E253" s="335">
        <v>2022.7577892855686</v>
      </c>
      <c r="F253" s="310" t="s">
        <v>236</v>
      </c>
    </row>
    <row r="254" spans="1:6" ht="14.25" customHeight="1">
      <c r="A254" s="395"/>
      <c r="B254" s="306"/>
      <c r="C254" s="382"/>
      <c r="D254" s="319"/>
      <c r="E254" s="335"/>
      <c r="F254" s="310"/>
    </row>
    <row r="255" spans="1:6" ht="14.25" customHeight="1">
      <c r="A255" s="395"/>
      <c r="B255" s="306" t="s">
        <v>2145</v>
      </c>
      <c r="C255" s="382" t="s">
        <v>2146</v>
      </c>
      <c r="D255" s="319" t="s">
        <v>1586</v>
      </c>
      <c r="E255" s="335">
        <v>2512.80350877193</v>
      </c>
      <c r="F255" s="310" t="s">
        <v>236</v>
      </c>
    </row>
    <row r="256" spans="1:6" ht="14.25" customHeight="1">
      <c r="A256" s="395"/>
      <c r="B256" s="306" t="s">
        <v>2147</v>
      </c>
      <c r="C256" s="382" t="s">
        <v>1576</v>
      </c>
      <c r="D256" s="319" t="s">
        <v>1588</v>
      </c>
      <c r="E256" s="335">
        <v>2753.0140350877191</v>
      </c>
      <c r="F256" s="310" t="s">
        <v>236</v>
      </c>
    </row>
    <row r="257" spans="1:6" ht="14.25" customHeight="1">
      <c r="A257" s="395"/>
      <c r="B257" s="306" t="s">
        <v>2148</v>
      </c>
      <c r="C257" s="385" t="s">
        <v>1615</v>
      </c>
      <c r="D257" s="319" t="s">
        <v>1593</v>
      </c>
      <c r="E257" s="335">
        <v>3076.4631578947369</v>
      </c>
      <c r="F257" s="310" t="s">
        <v>236</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1628</v>
      </c>
      <c r="D260" s="340"/>
      <c r="E260" s="341"/>
      <c r="F260" s="391"/>
    </row>
    <row r="261" spans="1:6" ht="14.25" customHeight="1">
      <c r="A261" s="305"/>
      <c r="B261" s="306" t="s">
        <v>2149</v>
      </c>
      <c r="C261" s="382" t="s">
        <v>2150</v>
      </c>
      <c r="D261" s="398" t="s">
        <v>1574</v>
      </c>
      <c r="E261" s="335">
        <v>2643.9368421052636</v>
      </c>
      <c r="F261" s="310" t="s">
        <v>236</v>
      </c>
    </row>
    <row r="262" spans="1:6" ht="14.25" customHeight="1">
      <c r="A262" s="305"/>
      <c r="B262" s="306" t="s">
        <v>2151</v>
      </c>
      <c r="C262" s="382" t="s">
        <v>1576</v>
      </c>
      <c r="D262" s="319" t="s">
        <v>1577</v>
      </c>
      <c r="E262" s="335">
        <v>2756.2807017543864</v>
      </c>
      <c r="F262" s="310" t="s">
        <v>236</v>
      </c>
    </row>
    <row r="263" spans="1:6" ht="14.25" customHeight="1">
      <c r="A263" s="305"/>
      <c r="B263" s="306" t="s">
        <v>2152</v>
      </c>
      <c r="C263" s="318"/>
      <c r="D263" s="319" t="s">
        <v>1580</v>
      </c>
      <c r="E263" s="335">
        <v>2797.2736842105269</v>
      </c>
      <c r="F263" s="310" t="s">
        <v>236</v>
      </c>
    </row>
    <row r="264" spans="1:6" ht="14.25" customHeight="1">
      <c r="A264" s="305"/>
      <c r="B264" s="306" t="s">
        <v>2153</v>
      </c>
      <c r="C264" s="382"/>
      <c r="D264" s="319" t="s">
        <v>1582</v>
      </c>
      <c r="E264" s="335">
        <v>2909.5929824561399</v>
      </c>
      <c r="F264" s="310" t="s">
        <v>236</v>
      </c>
    </row>
    <row r="265" spans="1:6" ht="14.25" customHeight="1">
      <c r="A265" s="305"/>
      <c r="B265" s="306" t="s">
        <v>2154</v>
      </c>
      <c r="C265" s="382"/>
      <c r="D265" s="319" t="s">
        <v>1584</v>
      </c>
      <c r="E265" s="335">
        <v>2950.5859649122808</v>
      </c>
      <c r="F265" s="310" t="s">
        <v>236</v>
      </c>
    </row>
    <row r="266" spans="1:6" ht="14.25" customHeight="1">
      <c r="A266" s="305"/>
      <c r="B266" s="306"/>
      <c r="C266" s="382"/>
      <c r="D266" s="319"/>
      <c r="E266" s="335"/>
      <c r="F266" s="310"/>
    </row>
    <row r="267" spans="1:6" ht="14.25" customHeight="1">
      <c r="A267" s="305"/>
      <c r="B267" s="306" t="s">
        <v>2155</v>
      </c>
      <c r="C267" s="382" t="s">
        <v>2156</v>
      </c>
      <c r="D267" s="319" t="s">
        <v>1586</v>
      </c>
      <c r="E267" s="335">
        <v>4645.0280701754391</v>
      </c>
      <c r="F267" s="310" t="s">
        <v>236</v>
      </c>
    </row>
    <row r="268" spans="1:6" ht="14.25" customHeight="1">
      <c r="A268" s="305"/>
      <c r="B268" s="306" t="s">
        <v>2157</v>
      </c>
      <c r="C268" s="382" t="s">
        <v>1576</v>
      </c>
      <c r="D268" s="319" t="s">
        <v>1588</v>
      </c>
      <c r="E268" s="335">
        <v>4880.3263157894735</v>
      </c>
      <c r="F268" s="310" t="s">
        <v>236</v>
      </c>
    </row>
    <row r="269" spans="1:6" ht="14.25" customHeight="1">
      <c r="A269" s="305"/>
      <c r="B269" s="306" t="s">
        <v>2158</v>
      </c>
      <c r="C269" s="385" t="s">
        <v>1615</v>
      </c>
      <c r="D269" s="319" t="s">
        <v>1593</v>
      </c>
      <c r="E269" s="335">
        <v>5200.6070175438599</v>
      </c>
      <c r="F269" s="310" t="s">
        <v>236</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1672</v>
      </c>
      <c r="D273" s="302"/>
      <c r="E273" s="303"/>
      <c r="F273" s="364"/>
    </row>
    <row r="274" spans="1:60" ht="14.25" customHeight="1">
      <c r="A274" s="305"/>
      <c r="B274" s="306" t="s">
        <v>1673</v>
      </c>
      <c r="C274" s="388" t="s">
        <v>1674</v>
      </c>
      <c r="D274" s="319" t="s">
        <v>1580</v>
      </c>
      <c r="E274" s="335">
        <v>545.63728205963844</v>
      </c>
      <c r="F274" s="310" t="s">
        <v>236</v>
      </c>
    </row>
    <row r="275" spans="1:60" ht="14.25" customHeight="1">
      <c r="A275" s="305"/>
      <c r="B275" s="306" t="s">
        <v>1675</v>
      </c>
      <c r="C275" s="382" t="s">
        <v>1676</v>
      </c>
      <c r="D275" s="319" t="s">
        <v>1582</v>
      </c>
      <c r="E275" s="335">
        <v>581.7037640540982</v>
      </c>
      <c r="F275" s="310" t="s">
        <v>236</v>
      </c>
    </row>
    <row r="276" spans="1:60" ht="14.25" customHeight="1">
      <c r="A276" s="305"/>
      <c r="B276" s="306" t="s">
        <v>1677</v>
      </c>
      <c r="C276" s="388"/>
      <c r="D276" s="319" t="s">
        <v>1584</v>
      </c>
      <c r="E276" s="335">
        <v>589.50562163923757</v>
      </c>
      <c r="F276" s="310" t="s">
        <v>236</v>
      </c>
    </row>
    <row r="277" spans="1:60" ht="14.25" customHeight="1">
      <c r="A277" s="305"/>
      <c r="B277" s="306" t="s">
        <v>1678</v>
      </c>
      <c r="C277" s="388"/>
      <c r="D277" s="319" t="s">
        <v>1679</v>
      </c>
      <c r="E277" s="335">
        <v>647.80055401662082</v>
      </c>
      <c r="F277" s="310" t="s">
        <v>236</v>
      </c>
    </row>
    <row r="278" spans="1:60" ht="14.25" customHeight="1">
      <c r="A278" s="305"/>
      <c r="B278" s="306" t="s">
        <v>1680</v>
      </c>
      <c r="C278" s="388"/>
      <c r="D278" s="319" t="s">
        <v>1586</v>
      </c>
      <c r="E278" s="335">
        <v>655.60241160175997</v>
      </c>
      <c r="F278" s="310" t="s">
        <v>236</v>
      </c>
    </row>
    <row r="279" spans="1:60" ht="14.25" customHeight="1">
      <c r="A279" s="305"/>
      <c r="B279" s="306" t="s">
        <v>1681</v>
      </c>
      <c r="C279" s="388"/>
      <c r="D279" s="319" t="s">
        <v>1682</v>
      </c>
      <c r="E279" s="335">
        <v>752.40703927000175</v>
      </c>
      <c r="F279" s="310" t="s">
        <v>236</v>
      </c>
    </row>
    <row r="280" spans="1:60" ht="14.25" customHeight="1">
      <c r="A280" s="305"/>
      <c r="B280" s="306" t="s">
        <v>1683</v>
      </c>
      <c r="C280" s="388"/>
      <c r="D280" s="319" t="s">
        <v>1588</v>
      </c>
      <c r="E280" s="335">
        <v>760.20889685514112</v>
      </c>
      <c r="F280" s="310" t="s">
        <v>236</v>
      </c>
    </row>
    <row r="281" spans="1:60" ht="14.25" customHeight="1">
      <c r="A281" s="305"/>
      <c r="B281" s="306" t="s">
        <v>1684</v>
      </c>
      <c r="C281" s="388"/>
      <c r="D281" s="319" t="s">
        <v>1685</v>
      </c>
      <c r="E281" s="335">
        <v>894.24344142088955</v>
      </c>
      <c r="F281" s="310" t="s">
        <v>236</v>
      </c>
    </row>
    <row r="282" spans="1:60" ht="14.25" customHeight="1">
      <c r="A282" s="305"/>
      <c r="B282" s="306" t="s">
        <v>1686</v>
      </c>
      <c r="C282" s="388"/>
      <c r="D282" s="319" t="s">
        <v>1593</v>
      </c>
      <c r="E282" s="335">
        <v>902.04529900602904</v>
      </c>
      <c r="F282" s="310" t="s">
        <v>236</v>
      </c>
    </row>
    <row r="283" spans="1:60" ht="14.25" customHeight="1">
      <c r="A283" s="305"/>
      <c r="B283" s="306" t="s">
        <v>1687</v>
      </c>
      <c r="C283" s="388"/>
      <c r="D283" s="319" t="s">
        <v>1688</v>
      </c>
      <c r="E283" s="335">
        <v>909.84715659116864</v>
      </c>
      <c r="F283" s="310" t="s">
        <v>236</v>
      </c>
    </row>
    <row r="284" spans="1:60" ht="14.25" customHeight="1">
      <c r="A284" s="305"/>
      <c r="B284" s="306" t="s">
        <v>1689</v>
      </c>
      <c r="C284" s="388"/>
      <c r="D284" s="319" t="s">
        <v>1690</v>
      </c>
      <c r="E284" s="335">
        <v>930.91217207104455</v>
      </c>
      <c r="F284" s="310" t="s">
        <v>236</v>
      </c>
    </row>
    <row r="285" spans="1:60" ht="14.25" customHeight="1">
      <c r="A285" s="305"/>
      <c r="B285" s="306" t="s">
        <v>1691</v>
      </c>
      <c r="C285" s="388"/>
      <c r="D285" s="319" t="s">
        <v>1692</v>
      </c>
      <c r="E285" s="335">
        <v>951.9771875509208</v>
      </c>
      <c r="F285" s="310" t="s">
        <v>236</v>
      </c>
    </row>
    <row r="286" spans="1:60" ht="14.25" customHeight="1">
      <c r="A286" s="305"/>
      <c r="B286" s="306" t="s">
        <v>1693</v>
      </c>
      <c r="C286" s="388"/>
      <c r="D286" s="319" t="s">
        <v>1694</v>
      </c>
      <c r="E286" s="335">
        <v>1225.5075769920161</v>
      </c>
      <c r="F286" s="310" t="s">
        <v>236</v>
      </c>
    </row>
    <row r="287" spans="1:60" ht="14.25" customHeight="1">
      <c r="A287" s="305"/>
      <c r="B287" s="306" t="s">
        <v>1695</v>
      </c>
      <c r="C287" s="388"/>
      <c r="D287" s="319" t="s">
        <v>1696</v>
      </c>
      <c r="E287" s="335">
        <v>1253.4565844587794</v>
      </c>
      <c r="F287" s="310" t="s">
        <v>236</v>
      </c>
    </row>
    <row r="288" spans="1:60" s="277" customFormat="1" ht="15" customHeight="1">
      <c r="A288" s="325" t="s">
        <v>1905</v>
      </c>
      <c r="B288" s="326"/>
      <c r="C288" s="1526" t="s">
        <v>2159</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1562</v>
      </c>
      <c r="B289" s="331"/>
      <c r="C289" s="1527"/>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405</v>
      </c>
      <c r="B290" s="293" t="s">
        <v>406</v>
      </c>
      <c r="C290" s="294" t="s">
        <v>407</v>
      </c>
      <c r="D290" s="292" t="s">
        <v>408</v>
      </c>
      <c r="E290" s="295" t="s">
        <v>409</v>
      </c>
      <c r="F290" s="296" t="s">
        <v>1563</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2160</v>
      </c>
      <c r="D291" s="302"/>
      <c r="E291" s="303"/>
      <c r="F291" s="304"/>
    </row>
    <row r="292" spans="1:60" ht="14.25" customHeight="1">
      <c r="A292" s="305"/>
      <c r="B292" s="310" t="s">
        <v>2161</v>
      </c>
      <c r="C292" s="334" t="s">
        <v>2162</v>
      </c>
      <c r="D292" s="319" t="s">
        <v>2163</v>
      </c>
      <c r="E292" s="335">
        <v>33665.551511053185</v>
      </c>
      <c r="F292" s="310" t="s">
        <v>236</v>
      </c>
    </row>
    <row r="293" spans="1:60" ht="14.25" customHeight="1">
      <c r="A293" s="305"/>
      <c r="B293" s="314"/>
      <c r="C293" s="336" t="s">
        <v>2164</v>
      </c>
      <c r="D293" s="319"/>
      <c r="E293" s="401"/>
      <c r="F293" s="389"/>
    </row>
    <row r="294" spans="1:60" ht="14.25" customHeight="1">
      <c r="A294" s="305"/>
      <c r="B294" s="314"/>
      <c r="C294" s="336" t="s">
        <v>2165</v>
      </c>
      <c r="D294" s="319"/>
      <c r="E294" s="401"/>
      <c r="F294" s="389"/>
    </row>
    <row r="295" spans="1:60" ht="14.25" customHeight="1">
      <c r="A295" s="305"/>
      <c r="B295" s="314"/>
      <c r="C295" s="336" t="s">
        <v>2166</v>
      </c>
      <c r="D295" s="319"/>
      <c r="E295" s="401"/>
      <c r="F295" s="389"/>
    </row>
    <row r="296" spans="1:60" ht="14.25" customHeight="1">
      <c r="A296" s="305"/>
      <c r="B296" s="314"/>
      <c r="C296" s="336" t="s">
        <v>2167</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2168</v>
      </c>
      <c r="D301" s="302"/>
      <c r="E301" s="302"/>
      <c r="F301" s="302"/>
    </row>
    <row r="302" spans="1:60" ht="14.25" customHeight="1">
      <c r="A302" s="305"/>
      <c r="B302" s="310" t="s">
        <v>2169</v>
      </c>
      <c r="C302" s="334" t="s">
        <v>2162</v>
      </c>
      <c r="D302" s="319" t="s">
        <v>2170</v>
      </c>
      <c r="E302" s="335">
        <v>65682.41495290288</v>
      </c>
      <c r="F302" s="310" t="s">
        <v>236</v>
      </c>
    </row>
    <row r="303" spans="1:60" ht="14.25" customHeight="1">
      <c r="A303" s="305"/>
      <c r="B303" s="314"/>
      <c r="C303" s="336" t="s">
        <v>2164</v>
      </c>
      <c r="D303" s="319"/>
      <c r="E303" s="335"/>
      <c r="F303" s="389"/>
    </row>
    <row r="304" spans="1:60" ht="14.25" customHeight="1">
      <c r="A304" s="305"/>
      <c r="B304" s="314"/>
      <c r="C304" s="336" t="s">
        <v>2165</v>
      </c>
      <c r="D304" s="319"/>
      <c r="E304" s="335"/>
      <c r="F304" s="389"/>
    </row>
    <row r="305" spans="1:6" ht="14.25" customHeight="1">
      <c r="A305" s="305"/>
      <c r="B305" s="314"/>
      <c r="C305" s="336" t="s">
        <v>2166</v>
      </c>
      <c r="D305" s="319"/>
      <c r="E305" s="335"/>
      <c r="F305" s="389"/>
    </row>
    <row r="306" spans="1:6" ht="14.25" customHeight="1">
      <c r="A306" s="305"/>
      <c r="B306" s="314"/>
      <c r="C306" s="336" t="s">
        <v>2167</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2171</v>
      </c>
      <c r="D311" s="302"/>
      <c r="E311" s="302"/>
      <c r="F311" s="364"/>
    </row>
    <row r="312" spans="1:6" ht="14.25" customHeight="1">
      <c r="A312" s="305"/>
      <c r="B312" s="310" t="s">
        <v>2172</v>
      </c>
      <c r="C312" s="334" t="s">
        <v>2162</v>
      </c>
      <c r="D312" s="319" t="s">
        <v>2173</v>
      </c>
      <c r="E312" s="335">
        <v>97699.27839475259</v>
      </c>
      <c r="F312" s="310" t="s">
        <v>236</v>
      </c>
    </row>
    <row r="313" spans="1:6" ht="14.25" customHeight="1">
      <c r="A313" s="305"/>
      <c r="B313" s="314"/>
      <c r="C313" s="336" t="s">
        <v>2164</v>
      </c>
      <c r="D313" s="319"/>
      <c r="E313" s="335"/>
      <c r="F313" s="389"/>
    </row>
    <row r="314" spans="1:6" ht="14.25" customHeight="1">
      <c r="A314" s="305"/>
      <c r="B314" s="314"/>
      <c r="C314" s="336" t="s">
        <v>2165</v>
      </c>
      <c r="D314" s="319"/>
      <c r="E314" s="335"/>
      <c r="F314" s="389"/>
    </row>
    <row r="315" spans="1:6" ht="14.25" customHeight="1">
      <c r="A315" s="305"/>
      <c r="B315" s="314"/>
      <c r="C315" s="336" t="s">
        <v>2166</v>
      </c>
      <c r="D315" s="319"/>
      <c r="E315" s="335"/>
      <c r="F315" s="389"/>
    </row>
    <row r="316" spans="1:6" ht="14.25" customHeight="1">
      <c r="A316" s="305"/>
      <c r="B316" s="314"/>
      <c r="C316" s="336" t="s">
        <v>2167</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2174</v>
      </c>
      <c r="D321" s="302"/>
      <c r="E321" s="302"/>
      <c r="F321" s="302"/>
    </row>
    <row r="322" spans="1:60" ht="14.25" customHeight="1">
      <c r="A322" s="305"/>
      <c r="B322" s="310" t="s">
        <v>2175</v>
      </c>
      <c r="C322" s="334" t="s">
        <v>2162</v>
      </c>
      <c r="D322" s="319" t="s">
        <v>2176</v>
      </c>
      <c r="E322" s="335">
        <v>129716.14183660227</v>
      </c>
      <c r="F322" s="310" t="s">
        <v>236</v>
      </c>
    </row>
    <row r="323" spans="1:60" ht="14.25" customHeight="1">
      <c r="A323" s="305"/>
      <c r="B323" s="314"/>
      <c r="C323" s="336" t="s">
        <v>2164</v>
      </c>
      <c r="D323" s="319"/>
      <c r="E323" s="403"/>
      <c r="F323" s="389"/>
    </row>
    <row r="324" spans="1:60" ht="14.25" customHeight="1">
      <c r="A324" s="305"/>
      <c r="B324" s="314"/>
      <c r="C324" s="336" t="s">
        <v>2165</v>
      </c>
      <c r="D324" s="319"/>
      <c r="E324" s="403"/>
      <c r="F324" s="389"/>
    </row>
    <row r="325" spans="1:60" ht="14.25" customHeight="1">
      <c r="A325" s="305"/>
      <c r="B325" s="314"/>
      <c r="C325" s="336" t="s">
        <v>2166</v>
      </c>
      <c r="D325" s="319"/>
      <c r="E325" s="403"/>
      <c r="F325" s="389"/>
    </row>
    <row r="326" spans="1:60" ht="14.25" customHeight="1">
      <c r="A326" s="305"/>
      <c r="B326" s="314"/>
      <c r="C326" s="336" t="s">
        <v>2167</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1905</v>
      </c>
      <c r="B331" s="326"/>
      <c r="C331" s="1526" t="s">
        <v>1561</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1562</v>
      </c>
      <c r="B332" s="331"/>
      <c r="C332" s="1527"/>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405</v>
      </c>
      <c r="B333" s="293" t="s">
        <v>406</v>
      </c>
      <c r="C333" s="294" t="s">
        <v>407</v>
      </c>
      <c r="D333" s="292" t="s">
        <v>408</v>
      </c>
      <c r="E333" s="295" t="s">
        <v>409</v>
      </c>
      <c r="F333" s="296" t="s">
        <v>1563</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1564</v>
      </c>
      <c r="D334" s="410"/>
      <c r="E334" s="411"/>
      <c r="F334" s="412"/>
    </row>
    <row r="335" spans="1:60" ht="14.25" customHeight="1">
      <c r="A335" s="393"/>
      <c r="B335" s="322" t="s">
        <v>1565</v>
      </c>
      <c r="C335" s="388" t="s">
        <v>1566</v>
      </c>
      <c r="D335" s="398" t="s">
        <v>1567</v>
      </c>
      <c r="E335" s="413">
        <v>16427.419366568618</v>
      </c>
      <c r="F335" s="310" t="s">
        <v>236</v>
      </c>
      <c r="J335" s="414"/>
    </row>
    <row r="336" spans="1:60" ht="14.25" customHeight="1">
      <c r="A336" s="395"/>
      <c r="B336" s="312"/>
      <c r="C336" s="388" t="s">
        <v>1568</v>
      </c>
      <c r="D336" s="319"/>
      <c r="E336" s="320"/>
      <c r="F336" s="389"/>
    </row>
    <row r="337" spans="1:60" ht="14.25" customHeight="1">
      <c r="A337" s="395"/>
      <c r="B337" s="312"/>
      <c r="C337" s="385" t="s">
        <v>2177</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1905</v>
      </c>
      <c r="B344" s="326"/>
      <c r="C344" s="1526" t="s">
        <v>2178</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1562</v>
      </c>
      <c r="B345" s="331"/>
      <c r="C345" s="1527"/>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405</v>
      </c>
      <c r="B346" s="293" t="s">
        <v>406</v>
      </c>
      <c r="C346" s="294" t="s">
        <v>407</v>
      </c>
      <c r="D346" s="292" t="s">
        <v>408</v>
      </c>
      <c r="E346" s="295" t="s">
        <v>409</v>
      </c>
      <c r="F346" s="296" t="s">
        <v>1563</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1571</v>
      </c>
      <c r="D347" s="302"/>
      <c r="E347" s="417"/>
      <c r="F347" s="304"/>
    </row>
    <row r="348" spans="1:60" ht="14.25" customHeight="1">
      <c r="A348" s="305"/>
      <c r="B348" s="306" t="s">
        <v>1572</v>
      </c>
      <c r="C348" s="382" t="s">
        <v>1573</v>
      </c>
      <c r="D348" s="319" t="s">
        <v>1574</v>
      </c>
      <c r="E348" s="335">
        <v>1881.3621619623539</v>
      </c>
      <c r="F348" s="352" t="s">
        <v>236</v>
      </c>
    </row>
    <row r="349" spans="1:60" ht="14.25" customHeight="1">
      <c r="A349" s="305"/>
      <c r="B349" s="306" t="s">
        <v>1575</v>
      </c>
      <c r="C349" s="382" t="s">
        <v>1576</v>
      </c>
      <c r="D349" s="319" t="s">
        <v>1577</v>
      </c>
      <c r="E349" s="335">
        <v>1963.0313331703874</v>
      </c>
      <c r="F349" s="352" t="s">
        <v>236</v>
      </c>
    </row>
    <row r="350" spans="1:60" ht="14.25" customHeight="1">
      <c r="A350" s="305"/>
      <c r="B350" s="306" t="s">
        <v>1578</v>
      </c>
      <c r="C350" s="385" t="s">
        <v>1579</v>
      </c>
      <c r="D350" s="319" t="s">
        <v>1580</v>
      </c>
      <c r="E350" s="335">
        <v>2061.305915394782</v>
      </c>
      <c r="F350" s="352" t="s">
        <v>236</v>
      </c>
    </row>
    <row r="351" spans="1:60" ht="14.25" customHeight="1">
      <c r="A351" s="305"/>
      <c r="B351" s="306" t="s">
        <v>1581</v>
      </c>
      <c r="C351" s="382"/>
      <c r="D351" s="319" t="s">
        <v>1582</v>
      </c>
      <c r="E351" s="335">
        <v>2064.3760908333788</v>
      </c>
      <c r="F351" s="352" t="s">
        <v>236</v>
      </c>
    </row>
    <row r="352" spans="1:60" ht="14.25" customHeight="1">
      <c r="A352" s="305"/>
      <c r="B352" s="306" t="s">
        <v>1583</v>
      </c>
      <c r="C352" s="382"/>
      <c r="D352" s="319" t="s">
        <v>1584</v>
      </c>
      <c r="E352" s="335">
        <v>2149.2257278257562</v>
      </c>
      <c r="F352" s="352" t="s">
        <v>236</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1585</v>
      </c>
      <c r="C357" s="382" t="s">
        <v>1573</v>
      </c>
      <c r="D357" s="319" t="s">
        <v>1586</v>
      </c>
      <c r="E357" s="335">
        <v>2401.1865121394817</v>
      </c>
      <c r="F357" s="310" t="s">
        <v>236</v>
      </c>
    </row>
    <row r="358" spans="1:6" ht="14.25" customHeight="1">
      <c r="A358" s="305"/>
      <c r="B358" s="306" t="s">
        <v>1587</v>
      </c>
      <c r="C358" s="382" t="s">
        <v>1576</v>
      </c>
      <c r="D358" s="319" t="s">
        <v>1588</v>
      </c>
      <c r="E358" s="335">
        <v>2555.5507509097829</v>
      </c>
      <c r="F358" s="310" t="s">
        <v>236</v>
      </c>
    </row>
    <row r="359" spans="1:6" ht="14.25" customHeight="1">
      <c r="A359" s="305"/>
      <c r="B359" s="306" t="s">
        <v>1589</v>
      </c>
      <c r="C359" s="385" t="s">
        <v>1590</v>
      </c>
      <c r="D359" s="319" t="s">
        <v>1591</v>
      </c>
      <c r="E359" s="335">
        <v>2609.7303174732497</v>
      </c>
      <c r="F359" s="310" t="s">
        <v>236</v>
      </c>
    </row>
    <row r="360" spans="1:6" ht="14.25" customHeight="1">
      <c r="A360" s="305"/>
      <c r="B360" s="306" t="s">
        <v>1592</v>
      </c>
      <c r="C360" s="382"/>
      <c r="D360" s="319" t="s">
        <v>1593</v>
      </c>
      <c r="E360" s="335">
        <v>2946.9834089222027</v>
      </c>
      <c r="F360" s="310" t="s">
        <v>236</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1594</v>
      </c>
      <c r="D365" s="302"/>
      <c r="E365" s="421"/>
      <c r="F365" s="302"/>
    </row>
    <row r="366" spans="1:6" ht="14.25" customHeight="1">
      <c r="A366" s="305"/>
      <c r="B366" s="306" t="s">
        <v>1595</v>
      </c>
      <c r="C366" s="382" t="s">
        <v>1596</v>
      </c>
      <c r="D366" s="319" t="s">
        <v>1574</v>
      </c>
      <c r="E366" s="335">
        <v>2447.0371846493376</v>
      </c>
      <c r="F366" s="310" t="s">
        <v>236</v>
      </c>
    </row>
    <row r="367" spans="1:6" ht="14.25" customHeight="1">
      <c r="A367" s="305"/>
      <c r="B367" s="306" t="s">
        <v>1597</v>
      </c>
      <c r="C367" s="382" t="s">
        <v>1576</v>
      </c>
      <c r="D367" s="319" t="s">
        <v>1577</v>
      </c>
      <c r="E367" s="335">
        <v>2525.2078434945929</v>
      </c>
      <c r="F367" s="310" t="s">
        <v>236</v>
      </c>
    </row>
    <row r="368" spans="1:6" ht="14.25" customHeight="1">
      <c r="A368" s="305"/>
      <c r="B368" s="306" t="s">
        <v>1598</v>
      </c>
      <c r="C368" s="385" t="s">
        <v>1579</v>
      </c>
      <c r="D368" s="319" t="s">
        <v>1580</v>
      </c>
      <c r="E368" s="335">
        <v>2620.8585414469039</v>
      </c>
      <c r="F368" s="310" t="s">
        <v>236</v>
      </c>
    </row>
    <row r="369" spans="1:6" ht="14.25" customHeight="1">
      <c r="A369" s="305"/>
      <c r="B369" s="306" t="s">
        <v>1599</v>
      </c>
      <c r="C369" s="382"/>
      <c r="D369" s="319" t="s">
        <v>1582</v>
      </c>
      <c r="E369" s="335">
        <v>2623.9287168855003</v>
      </c>
      <c r="F369" s="310" t="s">
        <v>236</v>
      </c>
    </row>
    <row r="370" spans="1:6" ht="14.25" customHeight="1">
      <c r="A370" s="305"/>
      <c r="B370" s="306" t="s">
        <v>1600</v>
      </c>
      <c r="C370" s="382"/>
      <c r="D370" s="319" t="s">
        <v>1584</v>
      </c>
      <c r="E370" s="335">
        <v>2705.1049158969613</v>
      </c>
      <c r="F370" s="310" t="s">
        <v>236</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1601</v>
      </c>
      <c r="C375" s="382" t="s">
        <v>1596</v>
      </c>
      <c r="D375" s="319" t="s">
        <v>1586</v>
      </c>
      <c r="E375" s="335">
        <v>3520.4086327824621</v>
      </c>
      <c r="F375" s="310" t="s">
        <v>236</v>
      </c>
    </row>
    <row r="376" spans="1:6" ht="14.25" customHeight="1">
      <c r="A376" s="305"/>
      <c r="B376" s="306" t="s">
        <v>1602</v>
      </c>
      <c r="C376" s="382" t="s">
        <v>1576</v>
      </c>
      <c r="D376" s="319" t="s">
        <v>1588</v>
      </c>
      <c r="E376" s="335">
        <v>3742.4051294420669</v>
      </c>
      <c r="F376" s="310" t="s">
        <v>236</v>
      </c>
    </row>
    <row r="377" spans="1:6" ht="14.25" customHeight="1">
      <c r="A377" s="305"/>
      <c r="B377" s="306" t="s">
        <v>1603</v>
      </c>
      <c r="C377" s="385" t="s">
        <v>1590</v>
      </c>
      <c r="D377" s="319" t="s">
        <v>1591</v>
      </c>
      <c r="E377" s="335">
        <v>3796.5846960055346</v>
      </c>
      <c r="F377" s="310" t="s">
        <v>236</v>
      </c>
    </row>
    <row r="378" spans="1:6" ht="14.25" customHeight="1">
      <c r="A378" s="305"/>
      <c r="B378" s="306" t="s">
        <v>1604</v>
      </c>
      <c r="C378" s="382"/>
      <c r="D378" s="319" t="s">
        <v>1593</v>
      </c>
      <c r="E378" s="335">
        <v>4062.7346878582312</v>
      </c>
      <c r="F378" s="310" t="s">
        <v>236</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1605</v>
      </c>
      <c r="D383" s="302"/>
      <c r="E383" s="421"/>
      <c r="F383" s="302"/>
    </row>
    <row r="384" spans="1:6" ht="14.25" customHeight="1">
      <c r="A384" s="305"/>
      <c r="B384" s="306" t="s">
        <v>1606</v>
      </c>
      <c r="C384" s="382" t="s">
        <v>1607</v>
      </c>
      <c r="D384" s="319" t="s">
        <v>1586</v>
      </c>
      <c r="E384" s="335">
        <v>4300.264046379596</v>
      </c>
      <c r="F384" s="310" t="s">
        <v>236</v>
      </c>
    </row>
    <row r="385" spans="1:6" ht="14.25" customHeight="1">
      <c r="A385" s="305"/>
      <c r="B385" s="306" t="s">
        <v>1608</v>
      </c>
      <c r="C385" s="382" t="s">
        <v>1576</v>
      </c>
      <c r="D385" s="319" t="s">
        <v>1588</v>
      </c>
      <c r="E385" s="335">
        <v>4393.0368452498369</v>
      </c>
      <c r="F385" s="310" t="s">
        <v>236</v>
      </c>
    </row>
    <row r="386" spans="1:6" ht="14.25" customHeight="1">
      <c r="A386" s="305"/>
      <c r="B386" s="306" t="s">
        <v>1609</v>
      </c>
      <c r="C386" s="385" t="s">
        <v>1590</v>
      </c>
      <c r="D386" s="319" t="s">
        <v>1591</v>
      </c>
      <c r="E386" s="335">
        <v>4413.6766801311569</v>
      </c>
      <c r="F386" s="310" t="s">
        <v>236</v>
      </c>
    </row>
    <row r="387" spans="1:6" ht="14.25" customHeight="1">
      <c r="A387" s="387"/>
      <c r="B387" s="306" t="s">
        <v>1610</v>
      </c>
      <c r="C387" s="382"/>
      <c r="D387" s="319" t="s">
        <v>1593</v>
      </c>
      <c r="E387" s="335">
        <v>4563.1557958771773</v>
      </c>
      <c r="F387" s="310" t="s">
        <v>236</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1605</v>
      </c>
      <c r="D393" s="302"/>
      <c r="E393" s="421"/>
      <c r="F393" s="302"/>
    </row>
    <row r="394" spans="1:6" ht="14.25" customHeight="1">
      <c r="A394" s="305"/>
      <c r="B394" s="306" t="s">
        <v>1611</v>
      </c>
      <c r="C394" s="382" t="s">
        <v>1612</v>
      </c>
      <c r="D394" s="319" t="s">
        <v>1586</v>
      </c>
      <c r="E394" s="309">
        <v>6081.8713450292398</v>
      </c>
      <c r="F394" s="310" t="s">
        <v>236</v>
      </c>
    </row>
    <row r="395" spans="1:6" ht="14.25" customHeight="1">
      <c r="A395" s="305"/>
      <c r="B395" s="306" t="s">
        <v>1613</v>
      </c>
      <c r="C395" s="382" t="s">
        <v>1576</v>
      </c>
      <c r="D395" s="319" t="s">
        <v>1588</v>
      </c>
      <c r="E395" s="309">
        <v>7907.4320980878156</v>
      </c>
      <c r="F395" s="310" t="s">
        <v>236</v>
      </c>
    </row>
    <row r="396" spans="1:6" ht="14.25" customHeight="1">
      <c r="A396" s="305"/>
      <c r="B396" s="306" t="s">
        <v>1614</v>
      </c>
      <c r="C396" s="385" t="s">
        <v>1615</v>
      </c>
      <c r="D396" s="319" t="s">
        <v>1591</v>
      </c>
      <c r="E396" s="309">
        <v>7928.0719329691356</v>
      </c>
      <c r="F396" s="310" t="s">
        <v>236</v>
      </c>
    </row>
    <row r="397" spans="1:6" ht="14.25" customHeight="1">
      <c r="A397" s="387"/>
      <c r="B397" s="306" t="s">
        <v>1616</v>
      </c>
      <c r="C397" s="392"/>
      <c r="D397" s="319" t="s">
        <v>1593</v>
      </c>
      <c r="E397" s="309">
        <v>8077.5510487151587</v>
      </c>
      <c r="F397" s="310" t="s">
        <v>236</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1617</v>
      </c>
      <c r="D403" s="340"/>
      <c r="E403" s="422"/>
      <c r="F403" s="391"/>
    </row>
    <row r="404" spans="1:6" ht="14.25" customHeight="1">
      <c r="A404" s="305"/>
      <c r="B404" s="306" t="s">
        <v>1618</v>
      </c>
      <c r="C404" s="382" t="s">
        <v>1619</v>
      </c>
      <c r="D404" s="319" t="s">
        <v>1574</v>
      </c>
      <c r="E404" s="335">
        <v>1218.5893806131951</v>
      </c>
      <c r="F404" s="310" t="s">
        <v>236</v>
      </c>
    </row>
    <row r="405" spans="1:6" ht="14.25" customHeight="1">
      <c r="A405" s="305"/>
      <c r="B405" s="306" t="s">
        <v>1620</v>
      </c>
      <c r="C405" s="382" t="s">
        <v>1576</v>
      </c>
      <c r="D405" s="319" t="s">
        <v>1577</v>
      </c>
      <c r="E405" s="335">
        <v>1300.2585518212293</v>
      </c>
      <c r="F405" s="310" t="s">
        <v>236</v>
      </c>
    </row>
    <row r="406" spans="1:6" ht="14.25" customHeight="1">
      <c r="A406" s="305"/>
      <c r="B406" s="306" t="s">
        <v>1621</v>
      </c>
      <c r="C406" s="385" t="s">
        <v>1579</v>
      </c>
      <c r="D406" s="319" t="s">
        <v>1580</v>
      </c>
      <c r="E406" s="335">
        <v>1398.5331340456239</v>
      </c>
      <c r="F406" s="310" t="s">
        <v>236</v>
      </c>
    </row>
    <row r="407" spans="1:6" ht="14.25" customHeight="1">
      <c r="A407" s="305"/>
      <c r="B407" s="306" t="s">
        <v>1622</v>
      </c>
      <c r="C407" s="382"/>
      <c r="D407" s="319" t="s">
        <v>1582</v>
      </c>
      <c r="E407" s="335">
        <v>1401.6033094842203</v>
      </c>
      <c r="F407" s="310" t="s">
        <v>236</v>
      </c>
    </row>
    <row r="408" spans="1:6" ht="14.25" customHeight="1">
      <c r="A408" s="305"/>
      <c r="B408" s="306" t="s">
        <v>1623</v>
      </c>
      <c r="C408" s="388"/>
      <c r="D408" s="319" t="s">
        <v>1584</v>
      </c>
      <c r="E408" s="335">
        <v>1486.4529464765981</v>
      </c>
      <c r="F408" s="310" t="s">
        <v>236</v>
      </c>
    </row>
    <row r="409" spans="1:6" ht="14.25" customHeight="1">
      <c r="A409" s="305"/>
      <c r="B409" s="306"/>
      <c r="C409" s="382"/>
      <c r="D409" s="319"/>
      <c r="F409" s="310"/>
    </row>
    <row r="410" spans="1:6" ht="14.25" customHeight="1">
      <c r="A410" s="305"/>
      <c r="B410" s="306" t="s">
        <v>1624</v>
      </c>
      <c r="C410" s="382" t="s">
        <v>1619</v>
      </c>
      <c r="D410" s="319" t="s">
        <v>1586</v>
      </c>
      <c r="E410" s="335">
        <v>1738.4137307903238</v>
      </c>
      <c r="F410" s="310" t="s">
        <v>236</v>
      </c>
    </row>
    <row r="411" spans="1:6" ht="14.25" customHeight="1">
      <c r="A411" s="305"/>
      <c r="B411" s="306" t="s">
        <v>1625</v>
      </c>
      <c r="C411" s="382" t="s">
        <v>1576</v>
      </c>
      <c r="D411" s="319" t="s">
        <v>1588</v>
      </c>
      <c r="E411" s="335">
        <v>1892.7779695606239</v>
      </c>
      <c r="F411" s="310" t="s">
        <v>236</v>
      </c>
    </row>
    <row r="412" spans="1:6" ht="14.25" customHeight="1">
      <c r="A412" s="305"/>
      <c r="B412" s="306" t="s">
        <v>1626</v>
      </c>
      <c r="C412" s="385" t="s">
        <v>1590</v>
      </c>
      <c r="D412" s="319" t="s">
        <v>1591</v>
      </c>
      <c r="E412" s="335">
        <v>1946.9575361240913</v>
      </c>
      <c r="F412" s="310" t="s">
        <v>236</v>
      </c>
    </row>
    <row r="413" spans="1:6" ht="14.25" customHeight="1">
      <c r="A413" s="305"/>
      <c r="B413" s="306" t="s">
        <v>1627</v>
      </c>
      <c r="C413" s="382"/>
      <c r="D413" s="319" t="s">
        <v>1593</v>
      </c>
      <c r="E413" s="335">
        <v>2266.150772051888</v>
      </c>
      <c r="F413" s="310" t="s">
        <v>236</v>
      </c>
    </row>
    <row r="414" spans="1:6" ht="14.25" customHeight="1">
      <c r="A414" s="305"/>
      <c r="B414" s="314"/>
      <c r="C414" s="382"/>
      <c r="D414" s="319"/>
      <c r="E414" s="335"/>
      <c r="F414" s="389"/>
    </row>
    <row r="415" spans="1:6" ht="14.25" customHeight="1">
      <c r="A415" s="338"/>
      <c r="B415" s="339"/>
      <c r="C415" s="301" t="s">
        <v>1628</v>
      </c>
      <c r="D415" s="340"/>
      <c r="E415" s="422"/>
      <c r="F415" s="391"/>
    </row>
    <row r="416" spans="1:6" ht="14.25" customHeight="1">
      <c r="A416" s="305"/>
      <c r="B416" s="424" t="s">
        <v>1629</v>
      </c>
      <c r="C416" s="382" t="s">
        <v>1619</v>
      </c>
      <c r="D416" s="398" t="s">
        <v>1574</v>
      </c>
      <c r="E416" s="335">
        <v>2018.5194831760266</v>
      </c>
      <c r="F416" s="310" t="s">
        <v>236</v>
      </c>
    </row>
    <row r="417" spans="1:60" ht="14.25" customHeight="1">
      <c r="A417" s="305"/>
      <c r="B417" s="306" t="s">
        <v>1630</v>
      </c>
      <c r="C417" s="382" t="s">
        <v>1576</v>
      </c>
      <c r="D417" s="319" t="s">
        <v>1577</v>
      </c>
      <c r="E417" s="335">
        <v>2107.8573789991756</v>
      </c>
      <c r="F417" s="310" t="s">
        <v>236</v>
      </c>
    </row>
    <row r="418" spans="1:60" ht="14.25" customHeight="1">
      <c r="A418" s="305"/>
      <c r="B418" s="306" t="s">
        <v>1631</v>
      </c>
      <c r="C418" s="318" t="s">
        <v>1579</v>
      </c>
      <c r="D418" s="319" t="s">
        <v>1580</v>
      </c>
      <c r="E418" s="335">
        <v>2180.0207595868683</v>
      </c>
      <c r="F418" s="310" t="s">
        <v>236</v>
      </c>
    </row>
    <row r="419" spans="1:60" ht="14.25" customHeight="1">
      <c r="A419" s="305"/>
      <c r="B419" s="306" t="s">
        <v>1632</v>
      </c>
      <c r="C419" s="382"/>
      <c r="D419" s="319" t="s">
        <v>1582</v>
      </c>
      <c r="E419" s="335">
        <v>2257.8329370894485</v>
      </c>
      <c r="F419" s="310" t="s">
        <v>236</v>
      </c>
    </row>
    <row r="420" spans="1:60" ht="14.25" customHeight="1">
      <c r="A420" s="305"/>
      <c r="B420" s="306" t="s">
        <v>1633</v>
      </c>
      <c r="C420" s="388"/>
      <c r="D420" s="319" t="s">
        <v>1584</v>
      </c>
      <c r="E420" s="335">
        <v>2313.4540331733115</v>
      </c>
      <c r="F420" s="310" t="s">
        <v>236</v>
      </c>
    </row>
    <row r="421" spans="1:60" ht="14.25" customHeight="1">
      <c r="A421" s="305"/>
      <c r="B421" s="306"/>
      <c r="C421" s="382"/>
      <c r="D421" s="319"/>
      <c r="F421" s="310"/>
    </row>
    <row r="422" spans="1:60" ht="14.25" customHeight="1">
      <c r="A422" s="305"/>
      <c r="B422" s="306" t="s">
        <v>1634</v>
      </c>
      <c r="C422" s="382" t="s">
        <v>1619</v>
      </c>
      <c r="D422" s="319" t="s">
        <v>1586</v>
      </c>
      <c r="E422" s="335">
        <v>3245.2297096138827</v>
      </c>
      <c r="F422" s="310" t="s">
        <v>236</v>
      </c>
    </row>
    <row r="423" spans="1:60" ht="14.25" customHeight="1">
      <c r="A423" s="305"/>
      <c r="B423" s="306" t="s">
        <v>1635</v>
      </c>
      <c r="C423" s="382" t="s">
        <v>1576</v>
      </c>
      <c r="D423" s="319" t="s">
        <v>1588</v>
      </c>
      <c r="E423" s="335">
        <v>3498.9399915105755</v>
      </c>
      <c r="F423" s="310" t="s">
        <v>236</v>
      </c>
    </row>
    <row r="424" spans="1:60" ht="14.25" customHeight="1">
      <c r="A424" s="305"/>
      <c r="B424" s="306" t="s">
        <v>1636</v>
      </c>
      <c r="C424" s="385" t="s">
        <v>1590</v>
      </c>
      <c r="D424" s="319" t="s">
        <v>1591</v>
      </c>
      <c r="E424" s="335">
        <v>3560.8594961545386</v>
      </c>
      <c r="F424" s="310" t="s">
        <v>236</v>
      </c>
    </row>
    <row r="425" spans="1:60" ht="14.25" customHeight="1">
      <c r="A425" s="305"/>
      <c r="B425" s="306" t="s">
        <v>1637</v>
      </c>
      <c r="C425" s="382"/>
      <c r="D425" s="319" t="s">
        <v>1593</v>
      </c>
      <c r="E425" s="335">
        <v>3844.3910805334422</v>
      </c>
      <c r="F425" s="310" t="s">
        <v>236</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1905</v>
      </c>
      <c r="B428" s="326"/>
      <c r="C428" s="1526" t="s">
        <v>2179</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1562</v>
      </c>
      <c r="B429" s="331"/>
      <c r="C429" s="1527"/>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405</v>
      </c>
      <c r="B430" s="293" t="s">
        <v>406</v>
      </c>
      <c r="C430" s="294" t="s">
        <v>407</v>
      </c>
      <c r="D430" s="292" t="s">
        <v>408</v>
      </c>
      <c r="E430" s="295" t="s">
        <v>409</v>
      </c>
      <c r="F430" s="296" t="s">
        <v>1563</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1639</v>
      </c>
      <c r="D431" s="302"/>
      <c r="E431" s="303"/>
      <c r="F431" s="304"/>
    </row>
    <row r="432" spans="1:60" ht="14.25" customHeight="1">
      <c r="A432" s="305"/>
      <c r="B432" s="306" t="s">
        <v>1640</v>
      </c>
      <c r="C432" s="382" t="s">
        <v>1641</v>
      </c>
      <c r="D432" s="319" t="s">
        <v>1574</v>
      </c>
      <c r="E432" s="335">
        <v>2192.7737548882942</v>
      </c>
      <c r="F432" s="310" t="s">
        <v>236</v>
      </c>
    </row>
    <row r="433" spans="1:6" ht="14.25" customHeight="1">
      <c r="A433" s="305"/>
      <c r="B433" s="306" t="s">
        <v>1642</v>
      </c>
      <c r="C433" s="382" t="s">
        <v>1576</v>
      </c>
      <c r="D433" s="319" t="s">
        <v>1577</v>
      </c>
      <c r="E433" s="335">
        <v>2271.1629232159312</v>
      </c>
      <c r="F433" s="310" t="s">
        <v>236</v>
      </c>
    </row>
    <row r="434" spans="1:6" ht="14.25" customHeight="1">
      <c r="A434" s="305"/>
      <c r="B434" s="306" t="s">
        <v>1643</v>
      </c>
      <c r="C434" s="385" t="s">
        <v>1579</v>
      </c>
      <c r="D434" s="319" t="s">
        <v>1580</v>
      </c>
      <c r="E434" s="335">
        <v>2390.7313907999487</v>
      </c>
      <c r="F434" s="310" t="s">
        <v>236</v>
      </c>
    </row>
    <row r="435" spans="1:6" ht="14.25" customHeight="1">
      <c r="A435" s="305"/>
      <c r="B435" s="306" t="s">
        <v>1644</v>
      </c>
      <c r="C435" s="382"/>
      <c r="D435" s="319" t="s">
        <v>1582</v>
      </c>
      <c r="E435" s="335">
        <v>2406.6760142633698</v>
      </c>
      <c r="F435" s="310" t="s">
        <v>236</v>
      </c>
    </row>
    <row r="436" spans="1:6" ht="14.25" customHeight="1">
      <c r="A436" s="305"/>
      <c r="B436" s="306" t="s">
        <v>1645</v>
      </c>
      <c r="C436" s="382"/>
      <c r="D436" s="319" t="s">
        <v>1584</v>
      </c>
      <c r="E436" s="335">
        <v>2511.6322965608374</v>
      </c>
      <c r="F436" s="310" t="s">
        <v>236</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1646</v>
      </c>
      <c r="C441" s="382" t="s">
        <v>1641</v>
      </c>
      <c r="D441" s="319" t="s">
        <v>1586</v>
      </c>
      <c r="E441" s="335">
        <v>2767.6111793420196</v>
      </c>
      <c r="F441" s="310" t="s">
        <v>236</v>
      </c>
    </row>
    <row r="442" spans="1:6" ht="14.25" customHeight="1">
      <c r="A442" s="305"/>
      <c r="B442" s="306" t="s">
        <v>1647</v>
      </c>
      <c r="C442" s="382" t="s">
        <v>1576</v>
      </c>
      <c r="D442" s="319" t="s">
        <v>1588</v>
      </c>
      <c r="E442" s="335">
        <v>2948.2296132345059</v>
      </c>
      <c r="F442" s="310" t="s">
        <v>236</v>
      </c>
    </row>
    <row r="443" spans="1:6" ht="14.25" customHeight="1">
      <c r="A443" s="305"/>
      <c r="B443" s="306" t="s">
        <v>1648</v>
      </c>
      <c r="C443" s="385" t="s">
        <v>1615</v>
      </c>
      <c r="D443" s="319" t="s">
        <v>1591</v>
      </c>
      <c r="E443" s="335">
        <v>3019.8035059494869</v>
      </c>
      <c r="F443" s="310" t="s">
        <v>236</v>
      </c>
    </row>
    <row r="444" spans="1:6" ht="14.25" customHeight="1">
      <c r="A444" s="305"/>
      <c r="B444" s="306" t="s">
        <v>1649</v>
      </c>
      <c r="C444" s="382"/>
      <c r="D444" s="319" t="s">
        <v>1593</v>
      </c>
      <c r="E444" s="335">
        <v>3326.8380341344141</v>
      </c>
      <c r="F444" s="310" t="s">
        <v>236</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1650</v>
      </c>
      <c r="D449" s="302"/>
      <c r="E449" s="421"/>
      <c r="F449" s="302"/>
    </row>
    <row r="450" spans="1:6" ht="14.25" customHeight="1">
      <c r="A450" s="305"/>
      <c r="B450" s="306" t="s">
        <v>1651</v>
      </c>
      <c r="C450" s="382" t="s">
        <v>1652</v>
      </c>
      <c r="D450" s="319" t="s">
        <v>1574</v>
      </c>
      <c r="E450" s="335">
        <v>2192.7737548882942</v>
      </c>
      <c r="F450" s="310" t="s">
        <v>236</v>
      </c>
    </row>
    <row r="451" spans="1:6" ht="14.25" customHeight="1">
      <c r="A451" s="305"/>
      <c r="B451" s="306" t="s">
        <v>1653</v>
      </c>
      <c r="C451" s="382" t="s">
        <v>1576</v>
      </c>
      <c r="D451" s="319" t="s">
        <v>1577</v>
      </c>
      <c r="E451" s="335">
        <v>2271.1629232159312</v>
      </c>
      <c r="F451" s="310" t="s">
        <v>236</v>
      </c>
    </row>
    <row r="452" spans="1:6" ht="14.25" customHeight="1">
      <c r="A452" s="305"/>
      <c r="B452" s="306" t="s">
        <v>1654</v>
      </c>
      <c r="C452" s="385" t="s">
        <v>1579</v>
      </c>
      <c r="D452" s="319" t="s">
        <v>1580</v>
      </c>
      <c r="E452" s="335">
        <v>2390.7313907999487</v>
      </c>
      <c r="F452" s="310" t="s">
        <v>236</v>
      </c>
    </row>
    <row r="453" spans="1:6" ht="14.25" customHeight="1">
      <c r="A453" s="305"/>
      <c r="B453" s="306" t="s">
        <v>1655</v>
      </c>
      <c r="C453" s="382"/>
      <c r="D453" s="319" t="s">
        <v>1582</v>
      </c>
      <c r="E453" s="335">
        <v>2406.6760142633698</v>
      </c>
      <c r="F453" s="310" t="s">
        <v>236</v>
      </c>
    </row>
    <row r="454" spans="1:6" ht="14.25" customHeight="1">
      <c r="A454" s="305"/>
      <c r="B454" s="306" t="s">
        <v>1656</v>
      </c>
      <c r="C454" s="382"/>
      <c r="D454" s="319" t="s">
        <v>1584</v>
      </c>
      <c r="E454" s="335">
        <v>2511.6322965608374</v>
      </c>
      <c r="F454" s="310" t="s">
        <v>236</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1657</v>
      </c>
      <c r="C459" s="382" t="s">
        <v>1652</v>
      </c>
      <c r="D459" s="319" t="s">
        <v>1586</v>
      </c>
      <c r="E459" s="335">
        <v>2767.6111793420196</v>
      </c>
      <c r="F459" s="310" t="s">
        <v>236</v>
      </c>
    </row>
    <row r="460" spans="1:6" ht="14.25" customHeight="1">
      <c r="A460" s="305"/>
      <c r="B460" s="306" t="s">
        <v>1658</v>
      </c>
      <c r="C460" s="382" t="s">
        <v>1576</v>
      </c>
      <c r="D460" s="319" t="s">
        <v>1588</v>
      </c>
      <c r="E460" s="335">
        <v>2948.2296132345059</v>
      </c>
      <c r="F460" s="310" t="s">
        <v>236</v>
      </c>
    </row>
    <row r="461" spans="1:6" ht="14.25" customHeight="1">
      <c r="A461" s="305"/>
      <c r="B461" s="306" t="s">
        <v>1659</v>
      </c>
      <c r="C461" s="385" t="s">
        <v>1615</v>
      </c>
      <c r="D461" s="319" t="s">
        <v>1591</v>
      </c>
      <c r="E461" s="335">
        <v>3019.8035059494869</v>
      </c>
      <c r="F461" s="310" t="s">
        <v>236</v>
      </c>
    </row>
    <row r="462" spans="1:6" ht="14.25" customHeight="1">
      <c r="A462" s="305"/>
      <c r="B462" s="306" t="s">
        <v>1660</v>
      </c>
      <c r="C462" s="385"/>
      <c r="D462" s="319" t="s">
        <v>1593</v>
      </c>
      <c r="E462" s="335">
        <v>3326.8380341344141</v>
      </c>
      <c r="F462" s="310" t="s">
        <v>236</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1661</v>
      </c>
      <c r="D467" s="302"/>
      <c r="E467" s="303"/>
      <c r="F467" s="304"/>
    </row>
    <row r="468" spans="1:6" ht="14.25" customHeight="1">
      <c r="A468" s="305"/>
      <c r="B468" s="306" t="s">
        <v>1662</v>
      </c>
      <c r="C468" s="382" t="s">
        <v>1663</v>
      </c>
      <c r="D468" s="319" t="s">
        <v>1574</v>
      </c>
      <c r="E468" s="335">
        <v>2600.0885089821427</v>
      </c>
      <c r="F468" s="310" t="s">
        <v>236</v>
      </c>
    </row>
    <row r="469" spans="1:6" ht="14.25" customHeight="1">
      <c r="A469" s="305"/>
      <c r="B469" s="306" t="s">
        <v>1664</v>
      </c>
      <c r="C469" s="382" t="s">
        <v>1576</v>
      </c>
      <c r="D469" s="319" t="s">
        <v>1577</v>
      </c>
      <c r="E469" s="335">
        <v>2685.1722192899038</v>
      </c>
      <c r="F469" s="310" t="s">
        <v>236</v>
      </c>
    </row>
    <row r="470" spans="1:6" ht="14.25" customHeight="1">
      <c r="A470" s="305"/>
      <c r="B470" s="306" t="s">
        <v>1665</v>
      </c>
      <c r="C470" s="385" t="s">
        <v>1579</v>
      </c>
      <c r="D470" s="319" t="s">
        <v>1580</v>
      </c>
      <c r="E470" s="335">
        <v>2789.2818225033034</v>
      </c>
      <c r="F470" s="310" t="s">
        <v>236</v>
      </c>
    </row>
    <row r="471" spans="1:6" ht="14.25" customHeight="1">
      <c r="A471" s="305"/>
      <c r="B471" s="306" t="s">
        <v>1666</v>
      </c>
      <c r="C471" s="382"/>
      <c r="D471" s="319" t="s">
        <v>1582</v>
      </c>
      <c r="E471" s="335">
        <v>2792.6235100555173</v>
      </c>
      <c r="F471" s="310" t="s">
        <v>236</v>
      </c>
    </row>
    <row r="472" spans="1:6" ht="14.25" customHeight="1">
      <c r="A472" s="305"/>
      <c r="B472" s="306" t="s">
        <v>1667</v>
      </c>
      <c r="C472" s="382"/>
      <c r="D472" s="319" t="s">
        <v>1584</v>
      </c>
      <c r="E472" s="335">
        <v>2880.978556598604</v>
      </c>
      <c r="F472" s="310" t="s">
        <v>236</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1668</v>
      </c>
      <c r="C477" s="382" t="s">
        <v>1663</v>
      </c>
      <c r="D477" s="319" t="s">
        <v>1586</v>
      </c>
      <c r="E477" s="335">
        <v>3556.1003124302547</v>
      </c>
      <c r="F477" s="310" t="s">
        <v>236</v>
      </c>
    </row>
    <row r="478" spans="1:6" ht="14.25" customHeight="1">
      <c r="A478" s="305"/>
      <c r="B478" s="306" t="s">
        <v>1669</v>
      </c>
      <c r="C478" s="382" t="s">
        <v>1576</v>
      </c>
      <c r="D478" s="319" t="s">
        <v>1588</v>
      </c>
      <c r="E478" s="335">
        <v>3797.7291523318672</v>
      </c>
      <c r="F478" s="310" t="s">
        <v>236</v>
      </c>
    </row>
    <row r="479" spans="1:6" ht="14.25" customHeight="1">
      <c r="A479" s="305"/>
      <c r="B479" s="306" t="s">
        <v>1670</v>
      </c>
      <c r="C479" s="385" t="s">
        <v>1615</v>
      </c>
      <c r="D479" s="319" t="s">
        <v>1591</v>
      </c>
      <c r="E479" s="335">
        <v>3856.7001091356415</v>
      </c>
      <c r="F479" s="310" t="s">
        <v>236</v>
      </c>
    </row>
    <row r="480" spans="1:6" ht="14.25" customHeight="1">
      <c r="A480" s="305"/>
      <c r="B480" s="306" t="s">
        <v>1671</v>
      </c>
      <c r="C480" s="382"/>
      <c r="D480" s="319" t="s">
        <v>1593</v>
      </c>
      <c r="E480" s="335">
        <v>4146.3871750977605</v>
      </c>
      <c r="F480" s="310" t="s">
        <v>236</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1672</v>
      </c>
      <c r="D512" s="302"/>
      <c r="E512" s="303"/>
      <c r="F512" s="364"/>
    </row>
    <row r="513" spans="1:60" ht="14.25" customHeight="1">
      <c r="A513" s="305"/>
      <c r="B513" s="306" t="s">
        <v>1673</v>
      </c>
      <c r="C513" s="388" t="s">
        <v>1674</v>
      </c>
      <c r="D513" s="319" t="s">
        <v>1580</v>
      </c>
      <c r="E513" s="335">
        <v>545.63728205963844</v>
      </c>
      <c r="F513" s="310" t="s">
        <v>236</v>
      </c>
    </row>
    <row r="514" spans="1:60" ht="14.25" customHeight="1">
      <c r="A514" s="305"/>
      <c r="B514" s="306" t="s">
        <v>1675</v>
      </c>
      <c r="C514" s="382" t="s">
        <v>1676</v>
      </c>
      <c r="D514" s="319" t="s">
        <v>1582</v>
      </c>
      <c r="E514" s="335">
        <v>581.7037640540982</v>
      </c>
      <c r="F514" s="310" t="s">
        <v>236</v>
      </c>
    </row>
    <row r="515" spans="1:60" ht="14.25" customHeight="1">
      <c r="A515" s="305"/>
      <c r="B515" s="306" t="s">
        <v>1677</v>
      </c>
      <c r="C515" s="388"/>
      <c r="D515" s="319" t="s">
        <v>1584</v>
      </c>
      <c r="E515" s="335">
        <v>589.50562163923757</v>
      </c>
      <c r="F515" s="310" t="s">
        <v>236</v>
      </c>
    </row>
    <row r="516" spans="1:60" ht="14.25" customHeight="1">
      <c r="A516" s="305"/>
      <c r="B516" s="306" t="s">
        <v>1678</v>
      </c>
      <c r="C516" s="388"/>
      <c r="D516" s="319" t="s">
        <v>1679</v>
      </c>
      <c r="E516" s="335">
        <v>647.80055401662082</v>
      </c>
      <c r="F516" s="310" t="s">
        <v>236</v>
      </c>
    </row>
    <row r="517" spans="1:60" ht="14.25" customHeight="1">
      <c r="A517" s="305"/>
      <c r="B517" s="306" t="s">
        <v>1680</v>
      </c>
      <c r="C517" s="388"/>
      <c r="D517" s="319" t="s">
        <v>1586</v>
      </c>
      <c r="E517" s="335">
        <v>655.60241160175997</v>
      </c>
      <c r="F517" s="310" t="s">
        <v>236</v>
      </c>
    </row>
    <row r="518" spans="1:60" ht="14.25" customHeight="1">
      <c r="A518" s="305"/>
      <c r="B518" s="306" t="s">
        <v>1681</v>
      </c>
      <c r="C518" s="388"/>
      <c r="D518" s="319" t="s">
        <v>1682</v>
      </c>
      <c r="E518" s="335">
        <v>752.40703927000175</v>
      </c>
      <c r="F518" s="310" t="s">
        <v>236</v>
      </c>
    </row>
    <row r="519" spans="1:60" ht="14.25" customHeight="1">
      <c r="A519" s="305"/>
      <c r="B519" s="306" t="s">
        <v>1683</v>
      </c>
      <c r="C519" s="388"/>
      <c r="D519" s="319" t="s">
        <v>1588</v>
      </c>
      <c r="E519" s="335">
        <v>760.20889685514112</v>
      </c>
      <c r="F519" s="310" t="s">
        <v>236</v>
      </c>
    </row>
    <row r="520" spans="1:60" ht="14.25" customHeight="1">
      <c r="A520" s="305"/>
      <c r="B520" s="306" t="s">
        <v>1684</v>
      </c>
      <c r="C520" s="388"/>
      <c r="D520" s="319" t="s">
        <v>1685</v>
      </c>
      <c r="E520" s="335">
        <v>894.24344142088955</v>
      </c>
      <c r="F520" s="310" t="s">
        <v>236</v>
      </c>
    </row>
    <row r="521" spans="1:60" ht="14.25" customHeight="1">
      <c r="A521" s="305"/>
      <c r="B521" s="306" t="s">
        <v>1686</v>
      </c>
      <c r="C521" s="388"/>
      <c r="D521" s="319" t="s">
        <v>1593</v>
      </c>
      <c r="E521" s="335">
        <v>902.04529900602904</v>
      </c>
      <c r="F521" s="310" t="s">
        <v>236</v>
      </c>
    </row>
    <row r="522" spans="1:60" ht="14.25" customHeight="1">
      <c r="A522" s="305"/>
      <c r="B522" s="306" t="s">
        <v>1687</v>
      </c>
      <c r="C522" s="388"/>
      <c r="D522" s="319" t="s">
        <v>1688</v>
      </c>
      <c r="E522" s="335">
        <v>909.84715659116864</v>
      </c>
      <c r="F522" s="310" t="s">
        <v>236</v>
      </c>
    </row>
    <row r="523" spans="1:60" ht="14.25" customHeight="1">
      <c r="A523" s="305"/>
      <c r="B523" s="306" t="s">
        <v>1689</v>
      </c>
      <c r="C523" s="388"/>
      <c r="D523" s="319" t="s">
        <v>1690</v>
      </c>
      <c r="E523" s="335">
        <v>930.91217207104455</v>
      </c>
      <c r="F523" s="310" t="s">
        <v>236</v>
      </c>
    </row>
    <row r="524" spans="1:60" ht="14.25" customHeight="1">
      <c r="A524" s="305"/>
      <c r="B524" s="306" t="s">
        <v>1691</v>
      </c>
      <c r="C524" s="388"/>
      <c r="D524" s="319" t="s">
        <v>1692</v>
      </c>
      <c r="E524" s="335">
        <v>951.9771875509208</v>
      </c>
      <c r="F524" s="310" t="s">
        <v>236</v>
      </c>
    </row>
    <row r="525" spans="1:60" ht="14.25" customHeight="1">
      <c r="A525" s="305"/>
      <c r="B525" s="306" t="s">
        <v>1693</v>
      </c>
      <c r="C525" s="388"/>
      <c r="D525" s="319" t="s">
        <v>1694</v>
      </c>
      <c r="E525" s="335">
        <v>1225.5075769920161</v>
      </c>
      <c r="F525" s="310" t="s">
        <v>236</v>
      </c>
    </row>
    <row r="526" spans="1:60" ht="14.25" customHeight="1">
      <c r="A526" s="305"/>
      <c r="B526" s="306" t="s">
        <v>1695</v>
      </c>
      <c r="C526" s="388"/>
      <c r="D526" s="319" t="s">
        <v>1696</v>
      </c>
      <c r="E526" s="335">
        <v>1253.4565844587794</v>
      </c>
      <c r="F526" s="310" t="s">
        <v>236</v>
      </c>
    </row>
    <row r="527" spans="1:60" s="277" customFormat="1" ht="15" customHeight="1">
      <c r="A527" s="325" t="s">
        <v>1905</v>
      </c>
      <c r="B527" s="326"/>
      <c r="C527" s="1526" t="s">
        <v>2180</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1562</v>
      </c>
      <c r="B528" s="331"/>
      <c r="C528" s="1527"/>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405</v>
      </c>
      <c r="B529" s="293" t="s">
        <v>406</v>
      </c>
      <c r="C529" s="294" t="s">
        <v>407</v>
      </c>
      <c r="D529" s="292" t="s">
        <v>408</v>
      </c>
      <c r="E529" s="295" t="s">
        <v>409</v>
      </c>
      <c r="F529" s="296" t="s">
        <v>1563</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1571</v>
      </c>
      <c r="D530" s="302"/>
      <c r="E530" s="303"/>
      <c r="F530" s="304"/>
    </row>
    <row r="531" spans="1:60" ht="14.25" customHeight="1">
      <c r="A531" s="305"/>
      <c r="B531" s="306" t="s">
        <v>2181</v>
      </c>
      <c r="C531" s="382" t="s">
        <v>2182</v>
      </c>
      <c r="D531" s="319" t="s">
        <v>1582</v>
      </c>
      <c r="E531" s="335">
        <v>3233.8445623863586</v>
      </c>
      <c r="F531" s="310" t="s">
        <v>236</v>
      </c>
    </row>
    <row r="532" spans="1:60" ht="14.25" customHeight="1">
      <c r="A532" s="305"/>
      <c r="B532" s="306" t="s">
        <v>2183</v>
      </c>
      <c r="C532" s="382" t="s">
        <v>1576</v>
      </c>
      <c r="D532" s="319" t="s">
        <v>1586</v>
      </c>
      <c r="E532" s="335">
        <v>3618.7707581647619</v>
      </c>
      <c r="F532" s="310" t="s">
        <v>236</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1766</v>
      </c>
      <c r="D540" s="340"/>
      <c r="E540" s="422"/>
      <c r="F540" s="391"/>
    </row>
    <row r="541" spans="1:60" ht="14.25" customHeight="1">
      <c r="A541" s="305"/>
      <c r="B541" s="306" t="s">
        <v>2184</v>
      </c>
      <c r="C541" s="382" t="s">
        <v>2185</v>
      </c>
      <c r="D541" s="319" t="s">
        <v>1582</v>
      </c>
      <c r="E541" s="335">
        <v>8821.7386699079179</v>
      </c>
      <c r="F541" s="310" t="s">
        <v>236</v>
      </c>
    </row>
    <row r="542" spans="1:60" ht="14.25" customHeight="1">
      <c r="A542" s="305"/>
      <c r="B542" s="306" t="s">
        <v>2186</v>
      </c>
      <c r="C542" s="382" t="s">
        <v>1576</v>
      </c>
      <c r="D542" s="319" t="s">
        <v>1586</v>
      </c>
      <c r="E542" s="335">
        <v>9705.6592992175756</v>
      </c>
      <c r="F542" s="310" t="s">
        <v>236</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1672</v>
      </c>
      <c r="D551" s="302"/>
      <c r="E551" s="421"/>
      <c r="F551" s="364"/>
    </row>
    <row r="552" spans="1:6" ht="14.25" customHeight="1">
      <c r="A552" s="305"/>
      <c r="B552" s="306" t="s">
        <v>1673</v>
      </c>
      <c r="C552" s="388" t="s">
        <v>1674</v>
      </c>
      <c r="D552" s="319" t="s">
        <v>1580</v>
      </c>
      <c r="E552" s="335">
        <v>545.63728205963844</v>
      </c>
      <c r="F552" s="310" t="s">
        <v>236</v>
      </c>
    </row>
    <row r="553" spans="1:6" ht="14.25" customHeight="1">
      <c r="A553" s="305"/>
      <c r="B553" s="306" t="s">
        <v>1675</v>
      </c>
      <c r="C553" s="382" t="s">
        <v>1676</v>
      </c>
      <c r="D553" s="319" t="s">
        <v>1582</v>
      </c>
      <c r="E553" s="335">
        <v>581.7037640540982</v>
      </c>
      <c r="F553" s="310" t="s">
        <v>236</v>
      </c>
    </row>
    <row r="554" spans="1:6" ht="14.25" customHeight="1">
      <c r="A554" s="305"/>
      <c r="B554" s="306"/>
      <c r="C554" s="385"/>
      <c r="D554" s="319" t="s">
        <v>1584</v>
      </c>
      <c r="E554" s="335">
        <v>589.50562163923757</v>
      </c>
      <c r="F554" s="310" t="s">
        <v>236</v>
      </c>
    </row>
    <row r="555" spans="1:6" ht="14.25" customHeight="1">
      <c r="A555" s="305"/>
      <c r="B555" s="306" t="s">
        <v>1678</v>
      </c>
      <c r="C555" s="388"/>
      <c r="D555" s="319" t="s">
        <v>1679</v>
      </c>
      <c r="E555" s="335">
        <v>647.80055401662082</v>
      </c>
      <c r="F555" s="310" t="s">
        <v>236</v>
      </c>
    </row>
    <row r="556" spans="1:6" ht="14.25" customHeight="1">
      <c r="A556" s="305"/>
      <c r="B556" s="306" t="s">
        <v>1680</v>
      </c>
      <c r="C556" s="388"/>
      <c r="D556" s="319" t="s">
        <v>1586</v>
      </c>
      <c r="E556" s="335">
        <v>655.60241160175997</v>
      </c>
      <c r="F556" s="310" t="s">
        <v>236</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1905</v>
      </c>
      <c r="B597" s="326"/>
      <c r="C597" s="1526" t="s">
        <v>2187</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1562</v>
      </c>
      <c r="B598" s="331"/>
      <c r="C598" s="1527"/>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405</v>
      </c>
      <c r="B599" s="293" t="s">
        <v>406</v>
      </c>
      <c r="C599" s="294" t="s">
        <v>407</v>
      </c>
      <c r="D599" s="292" t="s">
        <v>408</v>
      </c>
      <c r="E599" s="295" t="s">
        <v>409</v>
      </c>
      <c r="F599" s="296" t="s">
        <v>1563</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2160</v>
      </c>
      <c r="D600" s="302"/>
      <c r="E600" s="303"/>
      <c r="F600" s="364"/>
    </row>
    <row r="601" spans="1:60" ht="14.25" customHeight="1">
      <c r="A601" s="305"/>
      <c r="B601" s="310" t="s">
        <v>2161</v>
      </c>
      <c r="C601" s="334" t="s">
        <v>2188</v>
      </c>
      <c r="D601" s="319" t="s">
        <v>2163</v>
      </c>
      <c r="E601" s="335">
        <v>31626.587827657386</v>
      </c>
      <c r="F601" s="310" t="s">
        <v>236</v>
      </c>
    </row>
    <row r="602" spans="1:60" ht="14.25" customHeight="1">
      <c r="A602" s="305"/>
      <c r="B602" s="314"/>
      <c r="C602" s="336" t="s">
        <v>2164</v>
      </c>
      <c r="D602" s="319"/>
      <c r="E602" s="335"/>
      <c r="F602" s="389"/>
    </row>
    <row r="603" spans="1:60" ht="14.25" customHeight="1">
      <c r="A603" s="305"/>
      <c r="B603" s="314"/>
      <c r="C603" s="336" t="s">
        <v>2165</v>
      </c>
      <c r="D603" s="319"/>
      <c r="E603" s="335"/>
      <c r="F603" s="389"/>
    </row>
    <row r="604" spans="1:60" ht="14.25" customHeight="1">
      <c r="A604" s="305"/>
      <c r="B604" s="314"/>
      <c r="C604" s="336" t="s">
        <v>2166</v>
      </c>
      <c r="D604" s="319"/>
      <c r="E604" s="335"/>
      <c r="F604" s="389"/>
    </row>
    <row r="605" spans="1:60" ht="14.25" customHeight="1">
      <c r="A605" s="305"/>
      <c r="B605" s="314"/>
      <c r="C605" s="336" t="s">
        <v>2167</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2168</v>
      </c>
      <c r="D610" s="302"/>
      <c r="E610" s="440"/>
      <c r="F610" s="364"/>
    </row>
    <row r="611" spans="1:6" ht="14.25" customHeight="1">
      <c r="A611" s="305"/>
      <c r="B611" s="310" t="s">
        <v>2169</v>
      </c>
      <c r="C611" s="334" t="s">
        <v>2189</v>
      </c>
      <c r="D611" s="319" t="s">
        <v>2170</v>
      </c>
      <c r="E611" s="335">
        <v>61971.211263818259</v>
      </c>
      <c r="F611" s="310" t="s">
        <v>236</v>
      </c>
    </row>
    <row r="612" spans="1:6" ht="14.25" customHeight="1">
      <c r="A612" s="305"/>
      <c r="B612" s="314"/>
      <c r="C612" s="336" t="s">
        <v>2190</v>
      </c>
      <c r="D612" s="319"/>
      <c r="E612" s="335"/>
      <c r="F612" s="389"/>
    </row>
    <row r="613" spans="1:6" ht="14.25" customHeight="1">
      <c r="A613" s="305"/>
      <c r="B613" s="314"/>
      <c r="C613" s="336" t="s">
        <v>2165</v>
      </c>
      <c r="D613" s="319"/>
      <c r="E613" s="335"/>
      <c r="F613" s="389"/>
    </row>
    <row r="614" spans="1:6" ht="14.25" customHeight="1">
      <c r="A614" s="305"/>
      <c r="B614" s="314"/>
      <c r="C614" s="336" t="s">
        <v>2166</v>
      </c>
      <c r="D614" s="319"/>
      <c r="E614" s="335"/>
      <c r="F614" s="389"/>
    </row>
    <row r="615" spans="1:6" ht="14.25" customHeight="1">
      <c r="A615" s="305"/>
      <c r="B615" s="314"/>
      <c r="C615" s="336" t="s">
        <v>2167</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2171</v>
      </c>
      <c r="D620" s="302"/>
      <c r="E620" s="440"/>
      <c r="F620" s="364"/>
    </row>
    <row r="621" spans="1:6" ht="14.25" customHeight="1">
      <c r="A621" s="305"/>
      <c r="B621" s="310" t="s">
        <v>2172</v>
      </c>
      <c r="C621" s="334" t="s">
        <v>2189</v>
      </c>
      <c r="D621" s="319" t="s">
        <v>2173</v>
      </c>
      <c r="E621" s="335">
        <v>92315.834699979154</v>
      </c>
      <c r="F621" s="310" t="s">
        <v>236</v>
      </c>
    </row>
    <row r="622" spans="1:6" ht="14.25" customHeight="1">
      <c r="A622" s="305"/>
      <c r="B622" s="314"/>
      <c r="C622" s="336" t="s">
        <v>2190</v>
      </c>
      <c r="D622" s="319"/>
      <c r="E622" s="335"/>
      <c r="F622" s="389"/>
    </row>
    <row r="623" spans="1:6" ht="14.25" customHeight="1">
      <c r="A623" s="305"/>
      <c r="B623" s="314"/>
      <c r="C623" s="336" t="s">
        <v>2165</v>
      </c>
      <c r="D623" s="319"/>
      <c r="E623" s="335"/>
      <c r="F623" s="389"/>
    </row>
    <row r="624" spans="1:6" ht="14.25" customHeight="1">
      <c r="A624" s="305"/>
      <c r="B624" s="314"/>
      <c r="C624" s="336" t="s">
        <v>2166</v>
      </c>
      <c r="D624" s="319"/>
      <c r="E624" s="335"/>
      <c r="F624" s="389"/>
    </row>
    <row r="625" spans="1:60" ht="14.25" customHeight="1">
      <c r="A625" s="305"/>
      <c r="B625" s="314"/>
      <c r="C625" s="336" t="s">
        <v>2167</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2174</v>
      </c>
      <c r="D630" s="302"/>
      <c r="E630" s="440"/>
      <c r="F630" s="364"/>
    </row>
    <row r="631" spans="1:60" ht="14.25" customHeight="1">
      <c r="A631" s="305"/>
      <c r="B631" s="310" t="s">
        <v>2175</v>
      </c>
      <c r="C631" s="334" t="s">
        <v>2189</v>
      </c>
      <c r="D631" s="319" t="s">
        <v>2176</v>
      </c>
      <c r="E631" s="335">
        <v>122660.45813614002</v>
      </c>
      <c r="F631" s="310" t="s">
        <v>236</v>
      </c>
    </row>
    <row r="632" spans="1:60" ht="14.25" customHeight="1">
      <c r="A632" s="305"/>
      <c r="B632" s="314"/>
      <c r="C632" s="336" t="s">
        <v>2190</v>
      </c>
      <c r="D632" s="319"/>
      <c r="E632" s="335"/>
      <c r="F632" s="389"/>
    </row>
    <row r="633" spans="1:60" ht="14.25" customHeight="1">
      <c r="A633" s="305"/>
      <c r="B633" s="314"/>
      <c r="C633" s="336" t="s">
        <v>2165</v>
      </c>
      <c r="D633" s="319"/>
      <c r="E633" s="335"/>
      <c r="F633" s="389"/>
    </row>
    <row r="634" spans="1:60" ht="14.25" customHeight="1">
      <c r="A634" s="305"/>
      <c r="B634" s="314"/>
      <c r="C634" s="336" t="s">
        <v>2166</v>
      </c>
      <c r="D634" s="319"/>
      <c r="E634" s="335"/>
      <c r="F634" s="389"/>
    </row>
    <row r="635" spans="1:60" ht="14.25" customHeight="1">
      <c r="A635" s="305"/>
      <c r="B635" s="314"/>
      <c r="C635" s="336" t="s">
        <v>2167</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1905</v>
      </c>
      <c r="B640" s="326"/>
      <c r="C640" s="1526" t="s">
        <v>2191</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1562</v>
      </c>
      <c r="B641" s="331"/>
      <c r="C641" s="1527"/>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405</v>
      </c>
      <c r="B642" s="293" t="s">
        <v>406</v>
      </c>
      <c r="C642" s="294" t="s">
        <v>407</v>
      </c>
      <c r="D642" s="292" t="s">
        <v>408</v>
      </c>
      <c r="E642" s="295" t="s">
        <v>409</v>
      </c>
      <c r="F642" s="296" t="s">
        <v>1563</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1571</v>
      </c>
      <c r="D643" s="302"/>
      <c r="E643" s="303"/>
      <c r="F643" s="304"/>
    </row>
    <row r="644" spans="1:60" ht="14.25" customHeight="1">
      <c r="A644" s="305"/>
      <c r="B644" s="306" t="s">
        <v>1698</v>
      </c>
      <c r="C644" s="382" t="s">
        <v>1699</v>
      </c>
      <c r="D644" s="319" t="s">
        <v>1574</v>
      </c>
      <c r="E644" s="335">
        <v>2027.5250876589475</v>
      </c>
      <c r="F644" s="310" t="s">
        <v>236</v>
      </c>
    </row>
    <row r="645" spans="1:60" ht="14.25" customHeight="1">
      <c r="A645" s="305"/>
      <c r="B645" s="306" t="s">
        <v>1700</v>
      </c>
      <c r="C645" s="382" t="s">
        <v>1576</v>
      </c>
      <c r="D645" s="319" t="s">
        <v>1577</v>
      </c>
      <c r="E645" s="335">
        <v>2109.1942588669817</v>
      </c>
      <c r="F645" s="310" t="s">
        <v>236</v>
      </c>
    </row>
    <row r="646" spans="1:60" ht="14.25" customHeight="1">
      <c r="A646" s="305"/>
      <c r="B646" s="306" t="s">
        <v>1701</v>
      </c>
      <c r="C646" s="385" t="s">
        <v>1579</v>
      </c>
      <c r="D646" s="319" t="s">
        <v>1580</v>
      </c>
      <c r="E646" s="335">
        <v>2207.4688410913764</v>
      </c>
      <c r="F646" s="310" t="s">
        <v>236</v>
      </c>
    </row>
    <row r="647" spans="1:60" ht="14.25" customHeight="1">
      <c r="A647" s="305"/>
      <c r="B647" s="306" t="s">
        <v>1702</v>
      </c>
      <c r="C647" s="382"/>
      <c r="D647" s="319" t="s">
        <v>1582</v>
      </c>
      <c r="E647" s="335">
        <v>2210.5390165299737</v>
      </c>
      <c r="F647" s="310" t="s">
        <v>236</v>
      </c>
    </row>
    <row r="648" spans="1:60" ht="14.25" customHeight="1">
      <c r="A648" s="305"/>
      <c r="B648" s="306" t="s">
        <v>1703</v>
      </c>
      <c r="C648" s="382"/>
      <c r="D648" s="319" t="s">
        <v>1584</v>
      </c>
      <c r="E648" s="335">
        <v>2295.388653522351</v>
      </c>
      <c r="F648" s="310" t="s">
        <v>236</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1704</v>
      </c>
      <c r="C653" s="382" t="s">
        <v>1699</v>
      </c>
      <c r="D653" s="319" t="s">
        <v>1586</v>
      </c>
      <c r="E653" s="335">
        <v>2547.3494378360756</v>
      </c>
      <c r="F653" s="310" t="s">
        <v>236</v>
      </c>
    </row>
    <row r="654" spans="1:60" ht="14.25" customHeight="1">
      <c r="A654" s="305"/>
      <c r="B654" s="306" t="s">
        <v>1705</v>
      </c>
      <c r="C654" s="382" t="s">
        <v>1576</v>
      </c>
      <c r="D654" s="319" t="s">
        <v>1588</v>
      </c>
      <c r="E654" s="335">
        <v>2701.7136766063772</v>
      </c>
      <c r="F654" s="310" t="s">
        <v>236</v>
      </c>
    </row>
    <row r="655" spans="1:60" ht="14.25" customHeight="1">
      <c r="A655" s="305"/>
      <c r="B655" s="306" t="s">
        <v>1706</v>
      </c>
      <c r="C655" s="385" t="s">
        <v>1590</v>
      </c>
      <c r="D655" s="319" t="s">
        <v>1591</v>
      </c>
      <c r="E655" s="335">
        <v>2755.8932431698445</v>
      </c>
      <c r="F655" s="310" t="s">
        <v>236</v>
      </c>
    </row>
    <row r="656" spans="1:60" ht="14.25" customHeight="1">
      <c r="A656" s="305"/>
      <c r="B656" s="306" t="s">
        <v>1707</v>
      </c>
      <c r="C656" s="382"/>
      <c r="D656" s="319" t="s">
        <v>1593</v>
      </c>
      <c r="E656" s="335">
        <v>3093.146334618797</v>
      </c>
      <c r="F656" s="310" t="s">
        <v>236</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1594</v>
      </c>
      <c r="D661" s="302"/>
      <c r="E661" s="302"/>
      <c r="F661" s="364"/>
    </row>
    <row r="662" spans="1:6" ht="14.25" customHeight="1">
      <c r="A662" s="305"/>
      <c r="B662" s="306" t="s">
        <v>1708</v>
      </c>
      <c r="C662" s="382" t="s">
        <v>1709</v>
      </c>
      <c r="D662" s="319" t="s">
        <v>1574</v>
      </c>
      <c r="E662" s="335">
        <v>2593.2001103459311</v>
      </c>
      <c r="F662" s="310" t="s">
        <v>236</v>
      </c>
    </row>
    <row r="663" spans="1:6" ht="14.25" customHeight="1">
      <c r="A663" s="305"/>
      <c r="B663" s="306" t="s">
        <v>1710</v>
      </c>
      <c r="C663" s="382" t="s">
        <v>1576</v>
      </c>
      <c r="D663" s="319" t="s">
        <v>1577</v>
      </c>
      <c r="E663" s="335">
        <v>2671.3707691911868</v>
      </c>
      <c r="F663" s="310" t="s">
        <v>236</v>
      </c>
    </row>
    <row r="664" spans="1:6" ht="14.25" customHeight="1">
      <c r="A664" s="305"/>
      <c r="B664" s="306" t="s">
        <v>1711</v>
      </c>
      <c r="C664" s="385" t="s">
        <v>1579</v>
      </c>
      <c r="D664" s="319" t="s">
        <v>1580</v>
      </c>
      <c r="E664" s="335">
        <v>2767.0214671434987</v>
      </c>
      <c r="F664" s="310" t="s">
        <v>236</v>
      </c>
    </row>
    <row r="665" spans="1:6" ht="14.25" customHeight="1">
      <c r="A665" s="305"/>
      <c r="B665" s="306" t="s">
        <v>1712</v>
      </c>
      <c r="C665" s="382"/>
      <c r="D665" s="319" t="s">
        <v>1582</v>
      </c>
      <c r="E665" s="335">
        <v>2770.0916425820947</v>
      </c>
      <c r="F665" s="310" t="s">
        <v>236</v>
      </c>
    </row>
    <row r="666" spans="1:6" ht="14.25" customHeight="1">
      <c r="A666" s="305"/>
      <c r="B666" s="306" t="s">
        <v>1713</v>
      </c>
      <c r="C666" s="382"/>
      <c r="D666" s="319" t="s">
        <v>1584</v>
      </c>
      <c r="E666" s="335">
        <v>2851.2678415935566</v>
      </c>
      <c r="F666" s="310" t="s">
        <v>236</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1714</v>
      </c>
      <c r="C671" s="382" t="s">
        <v>1709</v>
      </c>
      <c r="D671" s="319" t="s">
        <v>1586</v>
      </c>
      <c r="E671" s="335">
        <v>3666.571558479056</v>
      </c>
      <c r="F671" s="310" t="s">
        <v>236</v>
      </c>
    </row>
    <row r="672" spans="1:6" ht="14.25" customHeight="1">
      <c r="A672" s="305"/>
      <c r="B672" s="306" t="s">
        <v>1715</v>
      </c>
      <c r="C672" s="382" t="s">
        <v>1576</v>
      </c>
      <c r="D672" s="319" t="s">
        <v>1588</v>
      </c>
      <c r="E672" s="335">
        <v>3888.5680551386613</v>
      </c>
      <c r="F672" s="310" t="s">
        <v>236</v>
      </c>
    </row>
    <row r="673" spans="1:6" ht="14.25" customHeight="1">
      <c r="A673" s="305"/>
      <c r="B673" s="306" t="s">
        <v>1716</v>
      </c>
      <c r="C673" s="385" t="s">
        <v>1590</v>
      </c>
      <c r="D673" s="319" t="s">
        <v>1591</v>
      </c>
      <c r="E673" s="335">
        <v>3942.7476217021285</v>
      </c>
      <c r="F673" s="310" t="s">
        <v>236</v>
      </c>
    </row>
    <row r="674" spans="1:6" ht="14.25" customHeight="1">
      <c r="A674" s="305"/>
      <c r="B674" s="306" t="s">
        <v>1717</v>
      </c>
      <c r="C674" s="382"/>
      <c r="D674" s="319" t="s">
        <v>1593</v>
      </c>
      <c r="E674" s="335">
        <v>4208.8976135548264</v>
      </c>
      <c r="F674" s="310" t="s">
        <v>236</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1617</v>
      </c>
      <c r="D679" s="340"/>
      <c r="E679" s="340"/>
      <c r="F679" s="391"/>
    </row>
    <row r="680" spans="1:6" ht="14.25" customHeight="1">
      <c r="A680" s="305"/>
      <c r="B680" s="306" t="s">
        <v>1718</v>
      </c>
      <c r="C680" s="382" t="s">
        <v>1719</v>
      </c>
      <c r="D680" s="319" t="s">
        <v>1574</v>
      </c>
      <c r="E680" s="335">
        <v>1388.0396975529584</v>
      </c>
      <c r="F680" s="310" t="s">
        <v>236</v>
      </c>
    </row>
    <row r="681" spans="1:6" ht="14.25" customHeight="1">
      <c r="A681" s="305"/>
      <c r="B681" s="306" t="s">
        <v>1720</v>
      </c>
      <c r="C681" s="382" t="s">
        <v>1576</v>
      </c>
      <c r="D681" s="319" t="s">
        <v>1577</v>
      </c>
      <c r="E681" s="335">
        <v>1469.7088687609921</v>
      </c>
      <c r="F681" s="310" t="s">
        <v>236</v>
      </c>
    </row>
    <row r="682" spans="1:6" ht="14.25" customHeight="1">
      <c r="A682" s="305"/>
      <c r="B682" s="306" t="s">
        <v>1721</v>
      </c>
      <c r="C682" s="385" t="s">
        <v>1579</v>
      </c>
      <c r="D682" s="319" t="s">
        <v>1580</v>
      </c>
      <c r="E682" s="335">
        <v>1567.9834509853865</v>
      </c>
      <c r="F682" s="310" t="s">
        <v>236</v>
      </c>
    </row>
    <row r="683" spans="1:6" ht="14.25" customHeight="1">
      <c r="A683" s="305"/>
      <c r="B683" s="306" t="s">
        <v>1722</v>
      </c>
      <c r="C683" s="382"/>
      <c r="D683" s="319" t="s">
        <v>1582</v>
      </c>
      <c r="E683" s="335">
        <v>1571.0536264239831</v>
      </c>
      <c r="F683" s="310" t="s">
        <v>236</v>
      </c>
    </row>
    <row r="684" spans="1:6" ht="14.25" customHeight="1">
      <c r="A684" s="305"/>
      <c r="B684" s="306" t="s">
        <v>1723</v>
      </c>
      <c r="C684" s="388"/>
      <c r="D684" s="319" t="s">
        <v>1584</v>
      </c>
      <c r="E684" s="335">
        <v>1655.9032634163614</v>
      </c>
      <c r="F684" s="310" t="s">
        <v>236</v>
      </c>
    </row>
    <row r="685" spans="1:6" ht="14.25" customHeight="1">
      <c r="A685" s="305"/>
      <c r="B685" s="306"/>
      <c r="C685" s="382"/>
      <c r="D685" s="319"/>
      <c r="E685" s="335"/>
      <c r="F685" s="389"/>
    </row>
    <row r="686" spans="1:6" ht="14.25" customHeight="1">
      <c r="A686" s="305"/>
      <c r="B686" s="306" t="s">
        <v>1724</v>
      </c>
      <c r="C686" s="382" t="s">
        <v>1719</v>
      </c>
      <c r="D686" s="319" t="s">
        <v>1586</v>
      </c>
      <c r="E686" s="335">
        <v>1907.8640477300864</v>
      </c>
      <c r="F686" s="310" t="s">
        <v>236</v>
      </c>
    </row>
    <row r="687" spans="1:6" ht="14.25" customHeight="1">
      <c r="A687" s="305"/>
      <c r="B687" s="306" t="s">
        <v>1725</v>
      </c>
      <c r="C687" s="382" t="s">
        <v>1576</v>
      </c>
      <c r="D687" s="319" t="s">
        <v>1588</v>
      </c>
      <c r="E687" s="335">
        <v>2062.2282865003872</v>
      </c>
      <c r="F687" s="310" t="s">
        <v>236</v>
      </c>
    </row>
    <row r="688" spans="1:6" ht="14.25" customHeight="1">
      <c r="A688" s="305"/>
      <c r="B688" s="306" t="s">
        <v>1726</v>
      </c>
      <c r="C688" s="385" t="s">
        <v>1590</v>
      </c>
      <c r="D688" s="319" t="s">
        <v>1591</v>
      </c>
      <c r="E688" s="335">
        <v>2116.4078530638549</v>
      </c>
      <c r="F688" s="310" t="s">
        <v>236</v>
      </c>
    </row>
    <row r="689" spans="1:6" ht="14.25" customHeight="1">
      <c r="A689" s="305"/>
      <c r="B689" s="306" t="s">
        <v>1727</v>
      </c>
      <c r="C689" s="382"/>
      <c r="D689" s="319" t="s">
        <v>1593</v>
      </c>
      <c r="E689" s="335">
        <v>2435.6010889916515</v>
      </c>
      <c r="F689" s="310" t="s">
        <v>236</v>
      </c>
    </row>
    <row r="690" spans="1:6" ht="14.25" customHeight="1">
      <c r="A690" s="305"/>
      <c r="B690" s="314"/>
      <c r="C690" s="382"/>
      <c r="D690" s="319"/>
      <c r="E690" s="335"/>
      <c r="F690" s="389"/>
    </row>
    <row r="691" spans="1:6" ht="14.25" customHeight="1">
      <c r="A691" s="338"/>
      <c r="B691" s="339"/>
      <c r="C691" s="301" t="s">
        <v>1628</v>
      </c>
      <c r="D691" s="340"/>
      <c r="E691" s="340"/>
      <c r="F691" s="391"/>
    </row>
    <row r="692" spans="1:6" ht="14.25" customHeight="1">
      <c r="A692" s="305"/>
      <c r="B692" s="306" t="s">
        <v>1728</v>
      </c>
      <c r="C692" s="382" t="s">
        <v>1729</v>
      </c>
      <c r="D692" s="319" t="s">
        <v>1574</v>
      </c>
      <c r="E692" s="335">
        <v>2212.1769882500416</v>
      </c>
      <c r="F692" s="310" t="s">
        <v>236</v>
      </c>
    </row>
    <row r="693" spans="1:6" ht="14.25" customHeight="1">
      <c r="A693" s="305"/>
      <c r="B693" s="306" t="s">
        <v>1730</v>
      </c>
      <c r="C693" s="382" t="s">
        <v>1576</v>
      </c>
      <c r="D693" s="319" t="s">
        <v>1577</v>
      </c>
      <c r="E693" s="335">
        <v>2301.5148840731904</v>
      </c>
      <c r="F693" s="310" t="s">
        <v>236</v>
      </c>
    </row>
    <row r="694" spans="1:6" ht="14.25" customHeight="1">
      <c r="A694" s="305"/>
      <c r="B694" s="306" t="s">
        <v>1731</v>
      </c>
      <c r="C694" s="385" t="s">
        <v>1579</v>
      </c>
      <c r="D694" s="319" t="s">
        <v>1580</v>
      </c>
      <c r="E694" s="335">
        <v>2373.6782646608831</v>
      </c>
      <c r="F694" s="310" t="s">
        <v>236</v>
      </c>
    </row>
    <row r="695" spans="1:6" ht="14.25" customHeight="1">
      <c r="A695" s="305"/>
      <c r="B695" s="306" t="s">
        <v>1732</v>
      </c>
      <c r="C695" s="382"/>
      <c r="D695" s="319" t="s">
        <v>1582</v>
      </c>
      <c r="E695" s="335">
        <v>2451.4904421634628</v>
      </c>
      <c r="F695" s="310" t="s">
        <v>236</v>
      </c>
    </row>
    <row r="696" spans="1:6" ht="14.25" customHeight="1">
      <c r="A696" s="305"/>
      <c r="B696" s="306" t="s">
        <v>1733</v>
      </c>
      <c r="C696" s="388"/>
      <c r="D696" s="319" t="s">
        <v>1584</v>
      </c>
      <c r="E696" s="335">
        <v>2507.1115382473263</v>
      </c>
      <c r="F696" s="310" t="s">
        <v>236</v>
      </c>
    </row>
    <row r="697" spans="1:6" ht="14.25" customHeight="1">
      <c r="A697" s="305"/>
      <c r="B697" s="306"/>
      <c r="C697" s="382"/>
      <c r="D697" s="319"/>
      <c r="E697" s="335"/>
      <c r="F697" s="389"/>
    </row>
    <row r="698" spans="1:6" ht="14.25" customHeight="1">
      <c r="A698" s="305"/>
      <c r="B698" s="306" t="s">
        <v>1734</v>
      </c>
      <c r="C698" s="382" t="s">
        <v>1729</v>
      </c>
      <c r="D698" s="319" t="s">
        <v>1586</v>
      </c>
      <c r="E698" s="335">
        <v>3438.8872146878975</v>
      </c>
      <c r="F698" s="310" t="s">
        <v>236</v>
      </c>
    </row>
    <row r="699" spans="1:6" ht="14.25" customHeight="1">
      <c r="A699" s="305"/>
      <c r="B699" s="306" t="s">
        <v>1735</v>
      </c>
      <c r="C699" s="382" t="s">
        <v>1576</v>
      </c>
      <c r="D699" s="319" t="s">
        <v>1588</v>
      </c>
      <c r="E699" s="335">
        <v>3692.5974965845908</v>
      </c>
      <c r="F699" s="310" t="s">
        <v>236</v>
      </c>
    </row>
    <row r="700" spans="1:6" ht="14.25" customHeight="1">
      <c r="A700" s="305"/>
      <c r="B700" s="306" t="s">
        <v>1736</v>
      </c>
      <c r="C700" s="385" t="s">
        <v>1590</v>
      </c>
      <c r="D700" s="319" t="s">
        <v>1591</v>
      </c>
      <c r="E700" s="335">
        <v>3754.5170012285525</v>
      </c>
      <c r="F700" s="310" t="s">
        <v>236</v>
      </c>
    </row>
    <row r="701" spans="1:6" ht="14.25" customHeight="1">
      <c r="A701" s="305"/>
      <c r="B701" s="306" t="s">
        <v>1737</v>
      </c>
      <c r="C701" s="382"/>
      <c r="D701" s="319" t="s">
        <v>1593</v>
      </c>
      <c r="E701" s="335">
        <v>4038.048585607457</v>
      </c>
      <c r="F701" s="310" t="s">
        <v>236</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1905</v>
      </c>
      <c r="B705" s="326"/>
      <c r="C705" s="1526" t="s">
        <v>2192</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1562</v>
      </c>
      <c r="B706" s="331"/>
      <c r="C706" s="1527"/>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405</v>
      </c>
      <c r="B707" s="293" t="s">
        <v>406</v>
      </c>
      <c r="C707" s="294" t="s">
        <v>407</v>
      </c>
      <c r="D707" s="292" t="s">
        <v>408</v>
      </c>
      <c r="E707" s="295" t="s">
        <v>409</v>
      </c>
      <c r="F707" s="296" t="s">
        <v>1563</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1739</v>
      </c>
      <c r="D708" s="302"/>
      <c r="E708" s="303"/>
      <c r="F708" s="304"/>
    </row>
    <row r="709" spans="1:60" ht="14.25" customHeight="1">
      <c r="A709" s="305"/>
      <c r="B709" s="306" t="s">
        <v>1740</v>
      </c>
      <c r="C709" s="382" t="s">
        <v>1741</v>
      </c>
      <c r="D709" s="319" t="s">
        <v>1574</v>
      </c>
      <c r="E709" s="335">
        <v>2877.7997697488768</v>
      </c>
      <c r="F709" s="310" t="s">
        <v>236</v>
      </c>
    </row>
    <row r="710" spans="1:60" ht="14.25" customHeight="1">
      <c r="A710" s="305"/>
      <c r="B710" s="306" t="s">
        <v>1742</v>
      </c>
      <c r="C710" s="382" t="s">
        <v>1576</v>
      </c>
      <c r="D710" s="319" t="s">
        <v>1577</v>
      </c>
      <c r="E710" s="335">
        <v>3027.6370104828638</v>
      </c>
      <c r="F710" s="310" t="s">
        <v>236</v>
      </c>
    </row>
    <row r="711" spans="1:60" ht="14.25" customHeight="1">
      <c r="A711" s="305"/>
      <c r="B711" s="306" t="s">
        <v>1743</v>
      </c>
      <c r="C711" s="385" t="s">
        <v>1579</v>
      </c>
      <c r="D711" s="319" t="s">
        <v>1580</v>
      </c>
      <c r="E711" s="335">
        <v>3199.2612896189571</v>
      </c>
      <c r="F711" s="310" t="s">
        <v>236</v>
      </c>
    </row>
    <row r="712" spans="1:60" ht="14.25" customHeight="1">
      <c r="A712" s="305"/>
      <c r="B712" s="306" t="s">
        <v>1744</v>
      </c>
      <c r="C712" s="382"/>
      <c r="D712" s="319" t="s">
        <v>1582</v>
      </c>
      <c r="E712" s="335">
        <v>3283.0554844283051</v>
      </c>
      <c r="F712" s="310" t="s">
        <v>236</v>
      </c>
    </row>
    <row r="713" spans="1:60" ht="14.25" customHeight="1">
      <c r="A713" s="305"/>
      <c r="B713" s="306" t="s">
        <v>1745</v>
      </c>
      <c r="C713" s="382"/>
      <c r="D713" s="319" t="s">
        <v>1584</v>
      </c>
      <c r="E713" s="335">
        <v>3481.7878675015713</v>
      </c>
      <c r="F713" s="310" t="s">
        <v>236</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1746</v>
      </c>
      <c r="C718" s="382" t="s">
        <v>1741</v>
      </c>
      <c r="D718" s="319" t="s">
        <v>1586</v>
      </c>
      <c r="E718" s="335">
        <v>3718.6692867359316</v>
      </c>
      <c r="F718" s="310" t="s">
        <v>236</v>
      </c>
    </row>
    <row r="719" spans="1:60" ht="14.25" customHeight="1">
      <c r="A719" s="305"/>
      <c r="B719" s="306" t="s">
        <v>1747</v>
      </c>
      <c r="C719" s="382" t="s">
        <v>1576</v>
      </c>
      <c r="D719" s="319" t="s">
        <v>1588</v>
      </c>
      <c r="E719" s="335">
        <v>4043.5038188867411</v>
      </c>
      <c r="F719" s="310" t="s">
        <v>236</v>
      </c>
    </row>
    <row r="720" spans="1:60" ht="14.25" customHeight="1">
      <c r="A720" s="305"/>
      <c r="B720" s="306" t="s">
        <v>1748</v>
      </c>
      <c r="C720" s="385" t="s">
        <v>1590</v>
      </c>
      <c r="D720" s="319" t="s">
        <v>1591</v>
      </c>
      <c r="E720" s="335">
        <v>4119.0308718131755</v>
      </c>
      <c r="F720" s="310" t="s">
        <v>236</v>
      </c>
    </row>
    <row r="721" spans="1:6" ht="14.25" customHeight="1">
      <c r="A721" s="305"/>
      <c r="B721" s="306" t="s">
        <v>1749</v>
      </c>
      <c r="C721" s="382"/>
      <c r="D721" s="319" t="s">
        <v>1593</v>
      </c>
      <c r="E721" s="335">
        <v>4348.9863935725107</v>
      </c>
      <c r="F721" s="310" t="s">
        <v>236</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1750</v>
      </c>
      <c r="D726" s="302"/>
      <c r="E726" s="302"/>
      <c r="F726" s="364"/>
    </row>
    <row r="727" spans="1:6" ht="14.25" customHeight="1">
      <c r="A727" s="305"/>
      <c r="B727" s="306" t="s">
        <v>1751</v>
      </c>
      <c r="C727" s="382" t="s">
        <v>1752</v>
      </c>
      <c r="D727" s="319" t="s">
        <v>1574</v>
      </c>
      <c r="E727" s="335">
        <v>3419.9483735954414</v>
      </c>
      <c r="F727" s="310" t="s">
        <v>236</v>
      </c>
    </row>
    <row r="728" spans="1:6" ht="14.25" customHeight="1">
      <c r="A728" s="305"/>
      <c r="B728" s="306" t="s">
        <v>1753</v>
      </c>
      <c r="C728" s="382" t="s">
        <v>1576</v>
      </c>
      <c r="D728" s="319" t="s">
        <v>1577</v>
      </c>
      <c r="E728" s="335">
        <v>3575.6433385620376</v>
      </c>
      <c r="F728" s="310" t="s">
        <v>236</v>
      </c>
    </row>
    <row r="729" spans="1:6" ht="14.25" customHeight="1">
      <c r="A729" s="305"/>
      <c r="B729" s="306" t="s">
        <v>1754</v>
      </c>
      <c r="C729" s="385" t="s">
        <v>1579</v>
      </c>
      <c r="D729" s="319" t="s">
        <v>1580</v>
      </c>
      <c r="E729" s="335">
        <v>3733.7411113738394</v>
      </c>
      <c r="F729" s="310" t="s">
        <v>236</v>
      </c>
    </row>
    <row r="730" spans="1:6" ht="14.25" customHeight="1">
      <c r="A730" s="305"/>
      <c r="B730" s="306" t="s">
        <v>1755</v>
      </c>
      <c r="C730" s="382"/>
      <c r="D730" s="319" t="s">
        <v>1582</v>
      </c>
      <c r="E730" s="335">
        <v>3806.5077372608821</v>
      </c>
      <c r="F730" s="310" t="s">
        <v>236</v>
      </c>
    </row>
    <row r="731" spans="1:6" ht="14.25" customHeight="1">
      <c r="A731" s="305"/>
      <c r="B731" s="306" t="s">
        <v>1756</v>
      </c>
      <c r="C731" s="382"/>
      <c r="D731" s="319" t="s">
        <v>1584</v>
      </c>
      <c r="E731" s="335">
        <v>3990.7140390490645</v>
      </c>
      <c r="F731" s="310" t="s">
        <v>236</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1757</v>
      </c>
      <c r="C736" s="382" t="s">
        <v>1752</v>
      </c>
      <c r="D736" s="319" t="s">
        <v>1586</v>
      </c>
      <c r="E736" s="335">
        <v>4780.0936662170334</v>
      </c>
      <c r="F736" s="310" t="s">
        <v>236</v>
      </c>
    </row>
    <row r="737" spans="1:6" ht="14.25" customHeight="1">
      <c r="A737" s="305"/>
      <c r="B737" s="306" t="s">
        <v>1758</v>
      </c>
      <c r="C737" s="382" t="s">
        <v>1576</v>
      </c>
      <c r="D737" s="319" t="s">
        <v>1588</v>
      </c>
      <c r="E737" s="335">
        <v>5158.3123036258276</v>
      </c>
      <c r="F737" s="310" t="s">
        <v>236</v>
      </c>
    </row>
    <row r="738" spans="1:6" ht="14.25" customHeight="1">
      <c r="A738" s="305"/>
      <c r="B738" s="306" t="s">
        <v>1759</v>
      </c>
      <c r="C738" s="385" t="s">
        <v>1590</v>
      </c>
      <c r="D738" s="319" t="s">
        <v>1591</v>
      </c>
      <c r="E738" s="335">
        <v>5222.8117876299557</v>
      </c>
      <c r="F738" s="310" t="s">
        <v>236</v>
      </c>
    </row>
    <row r="739" spans="1:6" ht="14.25" customHeight="1">
      <c r="A739" s="305"/>
      <c r="B739" s="306" t="s">
        <v>1760</v>
      </c>
      <c r="C739" s="382"/>
      <c r="D739" s="319" t="s">
        <v>1593</v>
      </c>
      <c r="E739" s="335">
        <v>5437.5882799443343</v>
      </c>
      <c r="F739" s="310" t="s">
        <v>236</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1605</v>
      </c>
      <c r="D744" s="302"/>
      <c r="E744" s="302"/>
      <c r="F744" s="364"/>
    </row>
    <row r="745" spans="1:6" ht="14.25" customHeight="1">
      <c r="A745" s="305"/>
      <c r="B745" s="306" t="s">
        <v>1761</v>
      </c>
      <c r="C745" s="382" t="s">
        <v>1762</v>
      </c>
      <c r="D745" s="319" t="s">
        <v>1586</v>
      </c>
      <c r="E745" s="335">
        <v>4467.2908781649412</v>
      </c>
      <c r="F745" s="310" t="s">
        <v>236</v>
      </c>
    </row>
    <row r="746" spans="1:6" ht="14.25" customHeight="1">
      <c r="A746" s="305"/>
      <c r="B746" s="306" t="s">
        <v>1763</v>
      </c>
      <c r="C746" s="382" t="s">
        <v>1576</v>
      </c>
      <c r="D746" s="319" t="s">
        <v>1588</v>
      </c>
      <c r="E746" s="335">
        <v>4560.0636770351812</v>
      </c>
      <c r="F746" s="310" t="s">
        <v>236</v>
      </c>
    </row>
    <row r="747" spans="1:6" ht="14.25" customHeight="1">
      <c r="A747" s="305"/>
      <c r="B747" s="306" t="s">
        <v>1764</v>
      </c>
      <c r="C747" s="385" t="s">
        <v>1590</v>
      </c>
      <c r="D747" s="319" t="s">
        <v>1591</v>
      </c>
      <c r="E747" s="335">
        <v>4580.7035119165021</v>
      </c>
      <c r="F747" s="310" t="s">
        <v>236</v>
      </c>
    </row>
    <row r="748" spans="1:6" ht="14.25" customHeight="1">
      <c r="A748" s="387"/>
      <c r="B748" s="306" t="s">
        <v>1765</v>
      </c>
      <c r="C748" s="382"/>
      <c r="D748" s="319" t="s">
        <v>1593</v>
      </c>
      <c r="E748" s="335">
        <v>4730.1826276625243</v>
      </c>
      <c r="F748" s="310" t="s">
        <v>236</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1766</v>
      </c>
      <c r="D754" s="340"/>
      <c r="E754" s="341"/>
      <c r="F754" s="391"/>
    </row>
    <row r="755" spans="1:60" ht="14.25" customHeight="1">
      <c r="A755" s="305"/>
      <c r="B755" s="306" t="s">
        <v>1611</v>
      </c>
      <c r="C755" s="382" t="s">
        <v>1767</v>
      </c>
      <c r="D755" s="319" t="s">
        <v>1586</v>
      </c>
      <c r="E755" s="442">
        <v>6081.8713450292398</v>
      </c>
      <c r="F755" s="352" t="s">
        <v>236</v>
      </c>
    </row>
    <row r="756" spans="1:60" ht="14.25" customHeight="1">
      <c r="A756" s="305"/>
      <c r="B756" s="306" t="s">
        <v>1613</v>
      </c>
      <c r="C756" s="382" t="s">
        <v>1576</v>
      </c>
      <c r="D756" s="319" t="s">
        <v>1588</v>
      </c>
      <c r="E756" s="442">
        <v>7907.4320980878156</v>
      </c>
      <c r="F756" s="352" t="s">
        <v>236</v>
      </c>
    </row>
    <row r="757" spans="1:60" ht="14.25" customHeight="1">
      <c r="A757" s="305"/>
      <c r="B757" s="306" t="s">
        <v>1614</v>
      </c>
      <c r="C757" s="385" t="s">
        <v>1590</v>
      </c>
      <c r="D757" s="319" t="s">
        <v>1591</v>
      </c>
      <c r="E757" s="442">
        <v>7928.0719329691356</v>
      </c>
      <c r="F757" s="352" t="s">
        <v>236</v>
      </c>
    </row>
    <row r="758" spans="1:60" ht="14.25" customHeight="1">
      <c r="A758" s="305"/>
      <c r="B758" s="306" t="s">
        <v>1616</v>
      </c>
      <c r="C758" s="392"/>
      <c r="D758" s="319" t="s">
        <v>1593</v>
      </c>
      <c r="E758" s="442">
        <v>8077.5510487151587</v>
      </c>
      <c r="F758" s="352" t="s">
        <v>236</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1905</v>
      </c>
      <c r="B765" s="326"/>
      <c r="C765" s="1526" t="s">
        <v>2193</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1562</v>
      </c>
      <c r="B766" s="331"/>
      <c r="C766" s="1527"/>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405</v>
      </c>
      <c r="B767" s="293" t="s">
        <v>406</v>
      </c>
      <c r="C767" s="294" t="s">
        <v>407</v>
      </c>
      <c r="D767" s="292" t="s">
        <v>408</v>
      </c>
      <c r="E767" s="295" t="s">
        <v>409</v>
      </c>
      <c r="F767" s="296" t="s">
        <v>1563</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1639</v>
      </c>
      <c r="D768" s="302"/>
      <c r="E768" s="303"/>
      <c r="F768" s="304"/>
    </row>
    <row r="769" spans="1:6" ht="14.25" customHeight="1">
      <c r="A769" s="305"/>
      <c r="B769" s="444" t="s">
        <v>1769</v>
      </c>
      <c r="C769" s="382" t="s">
        <v>1770</v>
      </c>
      <c r="D769" s="319" t="s">
        <v>1574</v>
      </c>
      <c r="E769" s="335">
        <v>2197.7071195939202</v>
      </c>
      <c r="F769" s="310" t="s">
        <v>236</v>
      </c>
    </row>
    <row r="770" spans="1:6" ht="14.25" customHeight="1">
      <c r="A770" s="305"/>
      <c r="B770" s="314" t="s">
        <v>1771</v>
      </c>
      <c r="C770" s="382" t="s">
        <v>1576</v>
      </c>
      <c r="D770" s="319" t="s">
        <v>1577</v>
      </c>
      <c r="E770" s="335">
        <v>2371.9145680395959</v>
      </c>
      <c r="F770" s="310" t="s">
        <v>236</v>
      </c>
    </row>
    <row r="771" spans="1:6" ht="14.25" customHeight="1">
      <c r="A771" s="305"/>
      <c r="B771" s="314" t="s">
        <v>1772</v>
      </c>
      <c r="C771" s="385" t="s">
        <v>1579</v>
      </c>
      <c r="D771" s="319" t="s">
        <v>1580</v>
      </c>
      <c r="E771" s="335">
        <v>2453.3785479067042</v>
      </c>
      <c r="F771" s="310" t="s">
        <v>236</v>
      </c>
    </row>
    <row r="772" spans="1:6" ht="14.25" customHeight="1">
      <c r="A772" s="305"/>
      <c r="B772" s="314" t="s">
        <v>1773</v>
      </c>
      <c r="C772" s="382"/>
      <c r="D772" s="319" t="s">
        <v>1582</v>
      </c>
      <c r="E772" s="335">
        <v>2459.0545024990674</v>
      </c>
      <c r="F772" s="310" t="s">
        <v>236</v>
      </c>
    </row>
    <row r="773" spans="1:6" ht="14.25" customHeight="1">
      <c r="A773" s="305"/>
      <c r="B773" s="314" t="s">
        <v>1774</v>
      </c>
      <c r="C773" s="382"/>
      <c r="D773" s="319" t="s">
        <v>1584</v>
      </c>
      <c r="E773" s="335">
        <v>2532.9251957440483</v>
      </c>
      <c r="F773" s="310" t="s">
        <v>236</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1775</v>
      </c>
      <c r="C778" s="382" t="s">
        <v>1770</v>
      </c>
      <c r="D778" s="319" t="s">
        <v>1586</v>
      </c>
      <c r="E778" s="335">
        <v>3106.4568696956417</v>
      </c>
      <c r="F778" s="310" t="s">
        <v>236</v>
      </c>
    </row>
    <row r="779" spans="1:6" ht="14.25" customHeight="1">
      <c r="A779" s="305"/>
      <c r="B779" s="314" t="s">
        <v>1776</v>
      </c>
      <c r="C779" s="382" t="s">
        <v>1576</v>
      </c>
      <c r="D779" s="319" t="s">
        <v>1588</v>
      </c>
      <c r="E779" s="335">
        <v>3328.2020220502131</v>
      </c>
      <c r="F779" s="310" t="s">
        <v>236</v>
      </c>
    </row>
    <row r="780" spans="1:6" ht="14.25" customHeight="1">
      <c r="A780" s="305"/>
      <c r="B780" s="444" t="s">
        <v>1777</v>
      </c>
      <c r="C780" s="385" t="s">
        <v>1615</v>
      </c>
      <c r="D780" s="319" t="s">
        <v>1591</v>
      </c>
      <c r="E780" s="335">
        <v>3376.3616367732948</v>
      </c>
      <c r="F780" s="310" t="s">
        <v>236</v>
      </c>
    </row>
    <row r="781" spans="1:6" ht="14.25" customHeight="1">
      <c r="A781" s="305"/>
      <c r="B781" s="444" t="s">
        <v>1778</v>
      </c>
      <c r="C781" s="382"/>
      <c r="D781" s="319" t="s">
        <v>1593</v>
      </c>
      <c r="E781" s="335">
        <v>3609.1979846088284</v>
      </c>
      <c r="F781" s="310" t="s">
        <v>236</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1650</v>
      </c>
      <c r="D786" s="302"/>
      <c r="E786" s="421"/>
      <c r="F786" s="302"/>
    </row>
    <row r="787" spans="1:6" ht="14.25" customHeight="1">
      <c r="A787" s="305"/>
      <c r="B787" s="444" t="s">
        <v>1779</v>
      </c>
      <c r="C787" s="382" t="s">
        <v>1780</v>
      </c>
      <c r="D787" s="319" t="s">
        <v>1574</v>
      </c>
      <c r="E787" s="335">
        <v>2197.7071195939202</v>
      </c>
      <c r="F787" s="310" t="s">
        <v>236</v>
      </c>
    </row>
    <row r="788" spans="1:6" ht="14.25" customHeight="1">
      <c r="A788" s="305"/>
      <c r="B788" s="314" t="s">
        <v>1781</v>
      </c>
      <c r="C788" s="382" t="s">
        <v>1576</v>
      </c>
      <c r="D788" s="319" t="s">
        <v>1577</v>
      </c>
      <c r="E788" s="335">
        <v>2371.9145680395959</v>
      </c>
      <c r="F788" s="310" t="s">
        <v>236</v>
      </c>
    </row>
    <row r="789" spans="1:6" ht="14.25" customHeight="1">
      <c r="A789" s="305"/>
      <c r="B789" s="314" t="s">
        <v>1782</v>
      </c>
      <c r="C789" s="385" t="s">
        <v>1579</v>
      </c>
      <c r="D789" s="319" t="s">
        <v>1580</v>
      </c>
      <c r="E789" s="335">
        <v>2453.3785479067042</v>
      </c>
      <c r="F789" s="310" t="s">
        <v>236</v>
      </c>
    </row>
    <row r="790" spans="1:6" ht="14.25" customHeight="1">
      <c r="A790" s="305"/>
      <c r="B790" s="314" t="s">
        <v>1783</v>
      </c>
      <c r="C790" s="382"/>
      <c r="D790" s="319" t="s">
        <v>1582</v>
      </c>
      <c r="E790" s="335">
        <v>2459.0545024990674</v>
      </c>
      <c r="F790" s="310" t="s">
        <v>236</v>
      </c>
    </row>
    <row r="791" spans="1:6" ht="14.25" customHeight="1">
      <c r="A791" s="305"/>
      <c r="B791" s="314" t="s">
        <v>1784</v>
      </c>
      <c r="C791" s="382"/>
      <c r="D791" s="319" t="s">
        <v>1584</v>
      </c>
      <c r="E791" s="335">
        <v>2532.9251957440483</v>
      </c>
      <c r="F791" s="310" t="s">
        <v>236</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1785</v>
      </c>
      <c r="C796" s="382" t="s">
        <v>1780</v>
      </c>
      <c r="D796" s="319" t="s">
        <v>1586</v>
      </c>
      <c r="E796" s="335">
        <v>3106.4568696956417</v>
      </c>
      <c r="F796" s="310" t="s">
        <v>236</v>
      </c>
    </row>
    <row r="797" spans="1:6" ht="14.25" customHeight="1">
      <c r="A797" s="305"/>
      <c r="B797" s="314" t="s">
        <v>1786</v>
      </c>
      <c r="C797" s="382" t="s">
        <v>1576</v>
      </c>
      <c r="D797" s="319" t="s">
        <v>1588</v>
      </c>
      <c r="E797" s="335">
        <v>3328.2020220502131</v>
      </c>
      <c r="F797" s="310" t="s">
        <v>236</v>
      </c>
    </row>
    <row r="798" spans="1:6" ht="14.25" customHeight="1">
      <c r="A798" s="305"/>
      <c r="B798" s="444" t="s">
        <v>1787</v>
      </c>
      <c r="C798" s="385" t="s">
        <v>1615</v>
      </c>
      <c r="D798" s="319" t="s">
        <v>1591</v>
      </c>
      <c r="E798" s="335">
        <v>3376.3616367732948</v>
      </c>
      <c r="F798" s="310" t="s">
        <v>236</v>
      </c>
    </row>
    <row r="799" spans="1:6" ht="14.25" customHeight="1">
      <c r="A799" s="305"/>
      <c r="B799" s="444" t="s">
        <v>1788</v>
      </c>
      <c r="C799" s="385"/>
      <c r="D799" s="319" t="s">
        <v>1593</v>
      </c>
      <c r="E799" s="335">
        <v>3609.1979846088284</v>
      </c>
      <c r="F799" s="310" t="s">
        <v>236</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1661</v>
      </c>
      <c r="D804" s="302"/>
      <c r="E804" s="303"/>
      <c r="F804" s="304"/>
    </row>
    <row r="805" spans="1:6" ht="14.25" customHeight="1">
      <c r="A805" s="305"/>
      <c r="B805" s="444" t="s">
        <v>1789</v>
      </c>
      <c r="C805" s="382" t="s">
        <v>1790</v>
      </c>
      <c r="D805" s="319" t="s">
        <v>1574</v>
      </c>
      <c r="E805" s="335">
        <v>2075.2145184993333</v>
      </c>
      <c r="F805" s="310" t="s">
        <v>236</v>
      </c>
    </row>
    <row r="806" spans="1:6" ht="14.25" customHeight="1">
      <c r="A806" s="305"/>
      <c r="B806" s="314" t="s">
        <v>1791</v>
      </c>
      <c r="C806" s="382" t="s">
        <v>1576</v>
      </c>
      <c r="D806" s="319" t="s">
        <v>1577</v>
      </c>
      <c r="E806" s="335">
        <v>2140.3650683057954</v>
      </c>
      <c r="F806" s="310" t="s">
        <v>236</v>
      </c>
    </row>
    <row r="807" spans="1:6" ht="14.25" customHeight="1">
      <c r="A807" s="305"/>
      <c r="B807" s="314" t="s">
        <v>1792</v>
      </c>
      <c r="C807" s="385" t="s">
        <v>1579</v>
      </c>
      <c r="D807" s="319" t="s">
        <v>1580</v>
      </c>
      <c r="E807" s="335">
        <v>2235.3555544971937</v>
      </c>
      <c r="F807" s="310" t="s">
        <v>236</v>
      </c>
    </row>
    <row r="808" spans="1:6" ht="14.25" customHeight="1">
      <c r="A808" s="305"/>
      <c r="B808" s="314" t="s">
        <v>1793</v>
      </c>
      <c r="C808" s="382"/>
      <c r="D808" s="319" t="s">
        <v>1582</v>
      </c>
      <c r="E808" s="335">
        <v>2252.0590780118632</v>
      </c>
      <c r="F808" s="310" t="s">
        <v>236</v>
      </c>
    </row>
    <row r="809" spans="1:6" ht="14.25" customHeight="1">
      <c r="A809" s="305"/>
      <c r="B809" s="314" t="s">
        <v>1794</v>
      </c>
      <c r="C809" s="382"/>
      <c r="D809" s="319" t="s">
        <v>1584</v>
      </c>
      <c r="E809" s="335">
        <v>2340.4558525419275</v>
      </c>
      <c r="F809" s="310" t="s">
        <v>236</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1795</v>
      </c>
      <c r="C814" s="382" t="s">
        <v>1796</v>
      </c>
      <c r="D814" s="319" t="s">
        <v>1586</v>
      </c>
      <c r="E814" s="335">
        <v>2719.2258166679285</v>
      </c>
      <c r="F814" s="310" t="s">
        <v>236</v>
      </c>
    </row>
    <row r="815" spans="1:6" ht="14.25" customHeight="1">
      <c r="A815" s="305"/>
      <c r="B815" s="314" t="s">
        <v>1797</v>
      </c>
      <c r="C815" s="382" t="s">
        <v>1576</v>
      </c>
      <c r="D815" s="319" t="s">
        <v>1588</v>
      </c>
      <c r="E815" s="335">
        <v>2887.5868637645144</v>
      </c>
      <c r="F815" s="310" t="s">
        <v>236</v>
      </c>
    </row>
    <row r="816" spans="1:6" ht="14.25" customHeight="1">
      <c r="A816" s="305"/>
      <c r="B816" s="444" t="s">
        <v>1798</v>
      </c>
      <c r="C816" s="385" t="s">
        <v>1615</v>
      </c>
      <c r="D816" s="319" t="s">
        <v>1591</v>
      </c>
      <c r="E816" s="335">
        <v>2946.7740474099028</v>
      </c>
      <c r="F816" s="310" t="s">
        <v>236</v>
      </c>
    </row>
    <row r="817" spans="1:6" ht="14.25" customHeight="1">
      <c r="A817" s="305"/>
      <c r="B817" s="444" t="s">
        <v>1799</v>
      </c>
      <c r="C817" s="382"/>
      <c r="D817" s="319" t="s">
        <v>1593</v>
      </c>
      <c r="E817" s="335">
        <v>3194.7894246903925</v>
      </c>
      <c r="F817" s="310" t="s">
        <v>236</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1672</v>
      </c>
      <c r="D849" s="302"/>
      <c r="E849" s="302"/>
      <c r="F849" s="302"/>
    </row>
    <row r="850" spans="1:60" ht="14.25" customHeight="1">
      <c r="A850" s="305"/>
      <c r="B850" s="306" t="s">
        <v>1673</v>
      </c>
      <c r="C850" s="388" t="s">
        <v>1674</v>
      </c>
      <c r="D850" s="319" t="s">
        <v>1580</v>
      </c>
      <c r="E850" s="335">
        <v>545.63728205963844</v>
      </c>
      <c r="F850" s="310" t="s">
        <v>236</v>
      </c>
    </row>
    <row r="851" spans="1:60" ht="14.25" customHeight="1">
      <c r="A851" s="305"/>
      <c r="B851" s="306" t="s">
        <v>1675</v>
      </c>
      <c r="C851" s="382" t="s">
        <v>1676</v>
      </c>
      <c r="D851" s="319" t="s">
        <v>1582</v>
      </c>
      <c r="E851" s="335">
        <v>581.7037640540982</v>
      </c>
      <c r="F851" s="310" t="s">
        <v>236</v>
      </c>
    </row>
    <row r="852" spans="1:60" ht="14.25" customHeight="1">
      <c r="A852" s="305"/>
      <c r="B852" s="306" t="s">
        <v>1677</v>
      </c>
      <c r="C852" s="388"/>
      <c r="D852" s="319" t="s">
        <v>1584</v>
      </c>
      <c r="E852" s="335">
        <v>589.50562163923757</v>
      </c>
      <c r="F852" s="310" t="s">
        <v>236</v>
      </c>
    </row>
    <row r="853" spans="1:60" ht="14.25" customHeight="1">
      <c r="A853" s="305"/>
      <c r="B853" s="306" t="s">
        <v>1678</v>
      </c>
      <c r="C853" s="388"/>
      <c r="D853" s="319" t="s">
        <v>1679</v>
      </c>
      <c r="E853" s="335">
        <v>647.80055401662082</v>
      </c>
      <c r="F853" s="310" t="s">
        <v>236</v>
      </c>
    </row>
    <row r="854" spans="1:60" ht="14.25" customHeight="1">
      <c r="A854" s="305"/>
      <c r="B854" s="306" t="s">
        <v>1680</v>
      </c>
      <c r="C854" s="388"/>
      <c r="D854" s="319" t="s">
        <v>1586</v>
      </c>
      <c r="E854" s="335">
        <v>655.60241160175997</v>
      </c>
      <c r="F854" s="310" t="s">
        <v>236</v>
      </c>
    </row>
    <row r="855" spans="1:60" ht="14.25" customHeight="1">
      <c r="A855" s="305"/>
      <c r="B855" s="306" t="s">
        <v>1681</v>
      </c>
      <c r="C855" s="388"/>
      <c r="D855" s="319" t="s">
        <v>1682</v>
      </c>
      <c r="E855" s="335">
        <v>752.40703927000175</v>
      </c>
      <c r="F855" s="310" t="s">
        <v>236</v>
      </c>
    </row>
    <row r="856" spans="1:60" ht="14.25" customHeight="1">
      <c r="A856" s="305"/>
      <c r="B856" s="306" t="s">
        <v>1683</v>
      </c>
      <c r="C856" s="388"/>
      <c r="D856" s="319" t="s">
        <v>1588</v>
      </c>
      <c r="E856" s="335">
        <v>760.20889685514112</v>
      </c>
      <c r="F856" s="310" t="s">
        <v>236</v>
      </c>
    </row>
    <row r="857" spans="1:60" ht="14.25" customHeight="1">
      <c r="A857" s="305"/>
      <c r="B857" s="306" t="s">
        <v>1684</v>
      </c>
      <c r="C857" s="388"/>
      <c r="D857" s="319" t="s">
        <v>1685</v>
      </c>
      <c r="E857" s="335">
        <v>894.24344142088955</v>
      </c>
      <c r="F857" s="310" t="s">
        <v>236</v>
      </c>
    </row>
    <row r="858" spans="1:60" ht="14.25" customHeight="1">
      <c r="A858" s="305"/>
      <c r="B858" s="306" t="s">
        <v>1686</v>
      </c>
      <c r="C858" s="388"/>
      <c r="D858" s="319" t="s">
        <v>1593</v>
      </c>
      <c r="E858" s="335">
        <v>902.04529900602904</v>
      </c>
      <c r="F858" s="310" t="s">
        <v>236</v>
      </c>
    </row>
    <row r="859" spans="1:60" ht="14.25" customHeight="1">
      <c r="A859" s="305"/>
      <c r="B859" s="306" t="s">
        <v>1687</v>
      </c>
      <c r="C859" s="388"/>
      <c r="D859" s="319" t="s">
        <v>1688</v>
      </c>
      <c r="E859" s="335">
        <v>909.84715659116864</v>
      </c>
      <c r="F859" s="310" t="s">
        <v>236</v>
      </c>
    </row>
    <row r="860" spans="1:60" ht="14.25" customHeight="1">
      <c r="A860" s="305"/>
      <c r="B860" s="306" t="s">
        <v>1689</v>
      </c>
      <c r="C860" s="388"/>
      <c r="D860" s="319" t="s">
        <v>1690</v>
      </c>
      <c r="E860" s="335">
        <v>930.91217207104455</v>
      </c>
      <c r="F860" s="310" t="s">
        <v>236</v>
      </c>
    </row>
    <row r="861" spans="1:60" ht="14.25" customHeight="1">
      <c r="A861" s="305"/>
      <c r="B861" s="306" t="s">
        <v>1691</v>
      </c>
      <c r="C861" s="388"/>
      <c r="D861" s="319" t="s">
        <v>1692</v>
      </c>
      <c r="E861" s="335">
        <v>951.9771875509208</v>
      </c>
      <c r="F861" s="310" t="s">
        <v>236</v>
      </c>
    </row>
    <row r="862" spans="1:60" ht="14.25" customHeight="1">
      <c r="A862" s="305"/>
      <c r="B862" s="306" t="s">
        <v>1693</v>
      </c>
      <c r="C862" s="388"/>
      <c r="D862" s="319" t="s">
        <v>1694</v>
      </c>
      <c r="E862" s="335">
        <v>1225.5075769920161</v>
      </c>
      <c r="F862" s="310" t="s">
        <v>236</v>
      </c>
    </row>
    <row r="863" spans="1:60" ht="14.25" customHeight="1">
      <c r="A863" s="305"/>
      <c r="B863" s="306" t="s">
        <v>1695</v>
      </c>
      <c r="C863" s="388"/>
      <c r="D863" s="319" t="s">
        <v>1696</v>
      </c>
      <c r="E863" s="335">
        <v>1253.4565844587794</v>
      </c>
      <c r="F863" s="310" t="s">
        <v>236</v>
      </c>
    </row>
    <row r="864" spans="1:60" s="277" customFormat="1" ht="15" customHeight="1">
      <c r="A864" s="325" t="s">
        <v>1905</v>
      </c>
      <c r="B864" s="326"/>
      <c r="C864" s="1526" t="s">
        <v>2194</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1562</v>
      </c>
      <c r="B865" s="331"/>
      <c r="C865" s="1527"/>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405</v>
      </c>
      <c r="B866" s="293" t="s">
        <v>406</v>
      </c>
      <c r="C866" s="294" t="s">
        <v>407</v>
      </c>
      <c r="D866" s="292" t="s">
        <v>408</v>
      </c>
      <c r="E866" s="295" t="s">
        <v>409</v>
      </c>
      <c r="F866" s="296" t="s">
        <v>1563</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1571</v>
      </c>
      <c r="D867" s="302"/>
      <c r="E867" s="303"/>
      <c r="F867" s="304"/>
    </row>
    <row r="868" spans="1:60" ht="14.25" customHeight="1">
      <c r="A868" s="305"/>
      <c r="B868" s="306" t="s">
        <v>2195</v>
      </c>
      <c r="C868" s="382" t="s">
        <v>2196</v>
      </c>
      <c r="D868" s="319" t="s">
        <v>1574</v>
      </c>
      <c r="E868" s="335">
        <v>2286.5505615604197</v>
      </c>
      <c r="F868" s="310" t="s">
        <v>236</v>
      </c>
    </row>
    <row r="869" spans="1:60" ht="14.25" customHeight="1">
      <c r="A869" s="305"/>
      <c r="B869" s="306" t="s">
        <v>2197</v>
      </c>
      <c r="C869" s="382" t="s">
        <v>1576</v>
      </c>
      <c r="D869" s="319" t="s">
        <v>1577</v>
      </c>
      <c r="E869" s="335">
        <v>2368.219732768453</v>
      </c>
      <c r="F869" s="310" t="s">
        <v>236</v>
      </c>
    </row>
    <row r="870" spans="1:60" ht="14.25" customHeight="1">
      <c r="A870" s="305"/>
      <c r="B870" s="306" t="s">
        <v>2198</v>
      </c>
      <c r="C870" s="385" t="s">
        <v>1579</v>
      </c>
      <c r="D870" s="319" t="s">
        <v>1580</v>
      </c>
      <c r="E870" s="335">
        <v>2466.4943149928486</v>
      </c>
      <c r="F870" s="310" t="s">
        <v>236</v>
      </c>
    </row>
    <row r="871" spans="1:60" ht="14.25" customHeight="1">
      <c r="A871" s="305"/>
      <c r="B871" s="306" t="s">
        <v>2199</v>
      </c>
      <c r="C871" s="382"/>
      <c r="D871" s="319" t="s">
        <v>1582</v>
      </c>
      <c r="E871" s="335">
        <v>2469.5644904314449</v>
      </c>
      <c r="F871" s="310" t="s">
        <v>236</v>
      </c>
    </row>
    <row r="872" spans="1:60" ht="14.25" customHeight="1">
      <c r="A872" s="305"/>
      <c r="B872" s="306" t="s">
        <v>2200</v>
      </c>
      <c r="C872" s="382"/>
      <c r="D872" s="319" t="s">
        <v>1584</v>
      </c>
      <c r="E872" s="335">
        <v>2554.4141274238232</v>
      </c>
      <c r="F872" s="310" t="s">
        <v>236</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2201</v>
      </c>
      <c r="C877" s="382" t="s">
        <v>2196</v>
      </c>
      <c r="D877" s="319" t="s">
        <v>1586</v>
      </c>
      <c r="E877" s="335">
        <v>2806.3749117375482</v>
      </c>
      <c r="F877" s="310" t="s">
        <v>236</v>
      </c>
    </row>
    <row r="878" spans="1:60" ht="14.25" customHeight="1">
      <c r="A878" s="305"/>
      <c r="B878" s="306" t="s">
        <v>2202</v>
      </c>
      <c r="C878" s="382" t="s">
        <v>2203</v>
      </c>
      <c r="D878" s="319" t="s">
        <v>1588</v>
      </c>
      <c r="E878" s="335">
        <v>2960.7391505078485</v>
      </c>
      <c r="F878" s="310" t="s">
        <v>236</v>
      </c>
    </row>
    <row r="879" spans="1:60" ht="14.25" customHeight="1">
      <c r="A879" s="305"/>
      <c r="B879" s="306" t="s">
        <v>2204</v>
      </c>
      <c r="C879" s="385" t="s">
        <v>1590</v>
      </c>
      <c r="D879" s="319" t="s">
        <v>1591</v>
      </c>
      <c r="E879" s="335">
        <v>3014.9187170713158</v>
      </c>
      <c r="F879" s="310" t="s">
        <v>236</v>
      </c>
    </row>
    <row r="880" spans="1:60" ht="14.25" customHeight="1">
      <c r="A880" s="305"/>
      <c r="B880" s="306" t="s">
        <v>2205</v>
      </c>
      <c r="C880" s="382"/>
      <c r="D880" s="319" t="s">
        <v>1593</v>
      </c>
      <c r="E880" s="335">
        <v>3290.2523038763061</v>
      </c>
      <c r="F880" s="310" t="s">
        <v>236</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2206</v>
      </c>
      <c r="D885" s="302"/>
      <c r="E885" s="302"/>
      <c r="F885" s="302"/>
    </row>
    <row r="886" spans="1:6" ht="14.25" customHeight="1">
      <c r="A886" s="305"/>
      <c r="B886" s="306" t="s">
        <v>2207</v>
      </c>
      <c r="C886" s="382" t="s">
        <v>2208</v>
      </c>
      <c r="D886" s="449" t="s">
        <v>1574</v>
      </c>
      <c r="E886" s="335">
        <v>3259.6863819970326</v>
      </c>
      <c r="F886" s="310" t="s">
        <v>236</v>
      </c>
    </row>
    <row r="887" spans="1:6" ht="14.25" customHeight="1">
      <c r="A887" s="305"/>
      <c r="B887" s="306" t="s">
        <v>2209</v>
      </c>
      <c r="C887" s="382" t="s">
        <v>1576</v>
      </c>
      <c r="D887" s="314" t="s">
        <v>1577</v>
      </c>
      <c r="E887" s="335">
        <v>3349.0242778201819</v>
      </c>
      <c r="F887" s="310" t="s">
        <v>236</v>
      </c>
    </row>
    <row r="888" spans="1:6" ht="14.25" customHeight="1">
      <c r="A888" s="305"/>
      <c r="B888" s="306" t="s">
        <v>2210</v>
      </c>
      <c r="C888" s="385" t="s">
        <v>1579</v>
      </c>
      <c r="D888" s="314" t="s">
        <v>1580</v>
      </c>
      <c r="E888" s="335">
        <v>3458.339361194252</v>
      </c>
      <c r="F888" s="310" t="s">
        <v>236</v>
      </c>
    </row>
    <row r="889" spans="1:6" ht="14.25" customHeight="1">
      <c r="A889" s="305"/>
      <c r="B889" s="306" t="s">
        <v>2211</v>
      </c>
      <c r="C889" s="382"/>
      <c r="D889" s="314" t="s">
        <v>1582</v>
      </c>
      <c r="E889" s="335">
        <v>3461.8481331240769</v>
      </c>
      <c r="F889" s="310" t="s">
        <v>236</v>
      </c>
    </row>
    <row r="890" spans="1:6" ht="14.25" customHeight="1">
      <c r="A890" s="305"/>
      <c r="B890" s="306" t="s">
        <v>2212</v>
      </c>
      <c r="C890" s="382"/>
      <c r="D890" s="314" t="s">
        <v>1584</v>
      </c>
      <c r="E890" s="335">
        <v>3554.6209319943177</v>
      </c>
      <c r="F890" s="310" t="s">
        <v>236</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2213</v>
      </c>
      <c r="C895" s="382" t="s">
        <v>2208</v>
      </c>
      <c r="D895" s="319" t="s">
        <v>1586</v>
      </c>
      <c r="E895" s="335">
        <v>4486.3966084348885</v>
      </c>
      <c r="F895" s="310" t="s">
        <v>236</v>
      </c>
    </row>
    <row r="896" spans="1:6" ht="14.25" customHeight="1">
      <c r="A896" s="305"/>
      <c r="B896" s="306" t="s">
        <v>2214</v>
      </c>
      <c r="C896" s="382" t="s">
        <v>1576</v>
      </c>
      <c r="D896" s="319" t="s">
        <v>1588</v>
      </c>
      <c r="E896" s="335">
        <v>4740.1068903315818</v>
      </c>
      <c r="F896" s="310" t="s">
        <v>236</v>
      </c>
    </row>
    <row r="897" spans="1:6" ht="14.25" customHeight="1">
      <c r="A897" s="305"/>
      <c r="B897" s="306" t="s">
        <v>2215</v>
      </c>
      <c r="C897" s="385" t="s">
        <v>1590</v>
      </c>
      <c r="D897" s="319" t="s">
        <v>1591</v>
      </c>
      <c r="E897" s="335">
        <v>4802.0263949755445</v>
      </c>
      <c r="F897" s="310" t="s">
        <v>236</v>
      </c>
    </row>
    <row r="898" spans="1:6" ht="14.25" customHeight="1">
      <c r="A898" s="305"/>
      <c r="B898" s="306" t="s">
        <v>2216</v>
      </c>
      <c r="C898" s="382"/>
      <c r="D898" s="319" t="s">
        <v>1593</v>
      </c>
      <c r="E898" s="335">
        <v>5106.1978142357693</v>
      </c>
      <c r="F898" s="310" t="s">
        <v>236</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1605</v>
      </c>
      <c r="D903" s="302"/>
      <c r="E903" s="302"/>
      <c r="F903" s="302"/>
    </row>
    <row r="904" spans="1:6" ht="14.25" customHeight="1">
      <c r="A904" s="387"/>
      <c r="B904" s="306" t="s">
        <v>2217</v>
      </c>
      <c r="C904" s="382" t="s">
        <v>2218</v>
      </c>
      <c r="D904" s="319" t="s">
        <v>1586</v>
      </c>
      <c r="E904" s="335">
        <v>4680.7771635378158</v>
      </c>
      <c r="F904" s="310" t="s">
        <v>236</v>
      </c>
    </row>
    <row r="905" spans="1:6" ht="14.25" customHeight="1">
      <c r="A905" s="387"/>
      <c r="B905" s="306" t="s">
        <v>2219</v>
      </c>
      <c r="C905" s="382" t="s">
        <v>1576</v>
      </c>
      <c r="D905" s="319" t="s">
        <v>1588</v>
      </c>
      <c r="E905" s="335">
        <v>4773.5499624080576</v>
      </c>
      <c r="F905" s="310" t="s">
        <v>236</v>
      </c>
    </row>
    <row r="906" spans="1:6" ht="14.25" customHeight="1">
      <c r="A906" s="387"/>
      <c r="B906" s="306" t="s">
        <v>2220</v>
      </c>
      <c r="C906" s="385" t="s">
        <v>1590</v>
      </c>
      <c r="D906" s="319" t="s">
        <v>1591</v>
      </c>
      <c r="E906" s="335">
        <v>4794.1897972893767</v>
      </c>
      <c r="F906" s="310" t="s">
        <v>236</v>
      </c>
    </row>
    <row r="907" spans="1:6" ht="14.25" customHeight="1">
      <c r="A907" s="387"/>
      <c r="B907" s="306" t="s">
        <v>2221</v>
      </c>
      <c r="C907" s="382"/>
      <c r="D907" s="319" t="s">
        <v>1593</v>
      </c>
      <c r="E907" s="335">
        <v>4960.1807809404554</v>
      </c>
      <c r="F907" s="310" t="s">
        <v>236</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1617</v>
      </c>
      <c r="D913" s="340"/>
      <c r="E913" s="340"/>
      <c r="F913" s="391"/>
    </row>
    <row r="914" spans="1:6" ht="14.25" customHeight="1">
      <c r="A914" s="305"/>
      <c r="B914" s="306" t="s">
        <v>2222</v>
      </c>
      <c r="C914" s="382" t="s">
        <v>2223</v>
      </c>
      <c r="D914" s="319" t="s">
        <v>1574</v>
      </c>
      <c r="E914" s="335">
        <v>1654.4628422621743</v>
      </c>
      <c r="F914" s="310" t="s">
        <v>236</v>
      </c>
    </row>
    <row r="915" spans="1:6" ht="14.25" customHeight="1">
      <c r="A915" s="305"/>
      <c r="B915" s="306" t="s">
        <v>2224</v>
      </c>
      <c r="C915" s="382" t="s">
        <v>1576</v>
      </c>
      <c r="D915" s="319" t="s">
        <v>1577</v>
      </c>
      <c r="E915" s="335">
        <v>1736.1320134702082</v>
      </c>
      <c r="F915" s="310" t="s">
        <v>236</v>
      </c>
    </row>
    <row r="916" spans="1:6" ht="14.25" customHeight="1">
      <c r="A916" s="305"/>
      <c r="B916" s="306" t="s">
        <v>2225</v>
      </c>
      <c r="C916" s="385" t="s">
        <v>1579</v>
      </c>
      <c r="D916" s="319" t="s">
        <v>1580</v>
      </c>
      <c r="E916" s="335">
        <v>1834.4065956946029</v>
      </c>
      <c r="F916" s="310" t="s">
        <v>236</v>
      </c>
    </row>
    <row r="917" spans="1:6" ht="14.25" customHeight="1">
      <c r="A917" s="305"/>
      <c r="B917" s="306" t="s">
        <v>2226</v>
      </c>
      <c r="C917" s="382"/>
      <c r="D917" s="319" t="s">
        <v>1582</v>
      </c>
      <c r="E917" s="335">
        <v>1837.4767711331995</v>
      </c>
      <c r="F917" s="310" t="s">
        <v>236</v>
      </c>
    </row>
    <row r="918" spans="1:6" ht="14.25" customHeight="1">
      <c r="A918" s="305"/>
      <c r="B918" s="306" t="s">
        <v>2227</v>
      </c>
      <c r="C918" s="388"/>
      <c r="D918" s="319" t="s">
        <v>1584</v>
      </c>
      <c r="E918" s="335">
        <v>1922.3264081255772</v>
      </c>
      <c r="F918" s="310" t="s">
        <v>236</v>
      </c>
    </row>
    <row r="919" spans="1:6" ht="14.25" customHeight="1">
      <c r="A919" s="305"/>
      <c r="B919" s="306"/>
      <c r="C919" s="382"/>
      <c r="D919" s="319"/>
      <c r="E919" s="335"/>
      <c r="F919" s="389"/>
    </row>
    <row r="920" spans="1:6" ht="14.25" customHeight="1">
      <c r="A920" s="305"/>
      <c r="B920" s="306" t="s">
        <v>2228</v>
      </c>
      <c r="C920" s="382" t="s">
        <v>2223</v>
      </c>
      <c r="D920" s="319" t="s">
        <v>1586</v>
      </c>
      <c r="E920" s="335">
        <v>2174.2871924393025</v>
      </c>
      <c r="F920" s="310" t="s">
        <v>236</v>
      </c>
    </row>
    <row r="921" spans="1:6" ht="14.25" customHeight="1">
      <c r="A921" s="305"/>
      <c r="B921" s="306" t="s">
        <v>2229</v>
      </c>
      <c r="C921" s="382" t="s">
        <v>1576</v>
      </c>
      <c r="D921" s="319" t="s">
        <v>1588</v>
      </c>
      <c r="E921" s="335">
        <v>2328.6514312096028</v>
      </c>
      <c r="F921" s="310" t="s">
        <v>236</v>
      </c>
    </row>
    <row r="922" spans="1:6" ht="14.25" customHeight="1">
      <c r="A922" s="305"/>
      <c r="B922" s="306" t="s">
        <v>2230</v>
      </c>
      <c r="C922" s="385" t="s">
        <v>1590</v>
      </c>
      <c r="D922" s="319" t="s">
        <v>1591</v>
      </c>
      <c r="E922" s="335">
        <v>2382.8309977730705</v>
      </c>
      <c r="F922" s="310" t="s">
        <v>236</v>
      </c>
    </row>
    <row r="923" spans="1:6" ht="14.25" customHeight="1">
      <c r="A923" s="305"/>
      <c r="B923" s="306" t="s">
        <v>2231</v>
      </c>
      <c r="C923" s="388"/>
      <c r="D923" s="319" t="s">
        <v>1593</v>
      </c>
      <c r="E923" s="335">
        <v>2658.1645845780608</v>
      </c>
      <c r="F923" s="310" t="s">
        <v>236</v>
      </c>
    </row>
    <row r="924" spans="1:6" ht="14.25" customHeight="1">
      <c r="A924" s="305"/>
      <c r="B924" s="314"/>
      <c r="C924" s="382"/>
      <c r="D924" s="319"/>
      <c r="E924" s="335"/>
      <c r="F924" s="389"/>
    </row>
    <row r="925" spans="1:6" ht="14.25" customHeight="1">
      <c r="A925" s="338"/>
      <c r="B925" s="339"/>
      <c r="C925" s="301" t="s">
        <v>1628</v>
      </c>
      <c r="D925" s="340"/>
      <c r="E925" s="340"/>
      <c r="F925" s="340"/>
    </row>
    <row r="926" spans="1:6" ht="14.25" customHeight="1">
      <c r="A926" s="305"/>
      <c r="B926" s="306" t="s">
        <v>2232</v>
      </c>
      <c r="C926" s="382" t="s">
        <v>2233</v>
      </c>
      <c r="D926" s="319" t="s">
        <v>1574</v>
      </c>
      <c r="E926" s="335">
        <v>2537.3004170847516</v>
      </c>
      <c r="F926" s="310" t="s">
        <v>236</v>
      </c>
    </row>
    <row r="927" spans="1:6" ht="14.25" customHeight="1">
      <c r="A927" s="305"/>
      <c r="B927" s="306" t="s">
        <v>2234</v>
      </c>
      <c r="C927" s="382" t="s">
        <v>1576</v>
      </c>
      <c r="D927" s="319" t="s">
        <v>1577</v>
      </c>
      <c r="E927" s="335">
        <v>2626.6383129079009</v>
      </c>
      <c r="F927" s="310" t="s">
        <v>236</v>
      </c>
    </row>
    <row r="928" spans="1:6" ht="14.25" customHeight="1">
      <c r="A928" s="305"/>
      <c r="B928" s="306" t="s">
        <v>2235</v>
      </c>
      <c r="C928" s="385" t="s">
        <v>1579</v>
      </c>
      <c r="D928" s="319" t="s">
        <v>1580</v>
      </c>
      <c r="E928" s="335">
        <v>2735.953396281971</v>
      </c>
      <c r="F928" s="310" t="s">
        <v>236</v>
      </c>
    </row>
    <row r="929" spans="1:60" ht="14.25" customHeight="1">
      <c r="A929" s="305"/>
      <c r="B929" s="306" t="s">
        <v>2236</v>
      </c>
      <c r="C929" s="382"/>
      <c r="D929" s="319" t="s">
        <v>1582</v>
      </c>
      <c r="E929" s="335">
        <v>2739.4621682117959</v>
      </c>
      <c r="F929" s="310" t="s">
        <v>236</v>
      </c>
    </row>
    <row r="930" spans="1:60" ht="14.25" customHeight="1">
      <c r="A930" s="305"/>
      <c r="B930" s="306" t="s">
        <v>2237</v>
      </c>
      <c r="C930" s="388"/>
      <c r="D930" s="319" t="s">
        <v>1584</v>
      </c>
      <c r="E930" s="335">
        <v>2832.2349670820367</v>
      </c>
      <c r="F930" s="310" t="s">
        <v>236</v>
      </c>
    </row>
    <row r="931" spans="1:60" ht="14.25" customHeight="1">
      <c r="A931" s="305"/>
      <c r="B931" s="306"/>
      <c r="C931" s="382"/>
      <c r="D931" s="319"/>
      <c r="E931" s="335"/>
      <c r="F931" s="373"/>
    </row>
    <row r="932" spans="1:60" ht="14.25" customHeight="1">
      <c r="A932" s="305"/>
      <c r="B932" s="306" t="s">
        <v>2238</v>
      </c>
      <c r="C932" s="382" t="s">
        <v>2233</v>
      </c>
      <c r="D932" s="319" t="s">
        <v>1586</v>
      </c>
      <c r="E932" s="335">
        <v>3764.0106435226085</v>
      </c>
      <c r="F932" s="310" t="s">
        <v>236</v>
      </c>
    </row>
    <row r="933" spans="1:60" ht="14.25" customHeight="1">
      <c r="A933" s="305"/>
      <c r="B933" s="306" t="s">
        <v>2239</v>
      </c>
      <c r="C933" s="382" t="s">
        <v>1576</v>
      </c>
      <c r="D933" s="319" t="s">
        <v>1588</v>
      </c>
      <c r="E933" s="335">
        <v>4017.7209254193008</v>
      </c>
      <c r="F933" s="310" t="s">
        <v>236</v>
      </c>
    </row>
    <row r="934" spans="1:60" ht="14.25" customHeight="1">
      <c r="A934" s="305"/>
      <c r="B934" s="306" t="s">
        <v>2240</v>
      </c>
      <c r="C934" s="385" t="s">
        <v>1590</v>
      </c>
      <c r="D934" s="319" t="s">
        <v>1591</v>
      </c>
      <c r="E934" s="335">
        <v>4079.6404300632644</v>
      </c>
      <c r="F934" s="310" t="s">
        <v>236</v>
      </c>
    </row>
    <row r="935" spans="1:60" ht="14.25" customHeight="1">
      <c r="A935" s="305"/>
      <c r="B935" s="306" t="s">
        <v>2241</v>
      </c>
      <c r="C935" s="388"/>
      <c r="D935" s="319" t="s">
        <v>1593</v>
      </c>
      <c r="E935" s="335">
        <v>4383.8118493234888</v>
      </c>
      <c r="F935" s="310" t="s">
        <v>236</v>
      </c>
    </row>
    <row r="936" spans="1:60" ht="14.25" customHeight="1">
      <c r="A936" s="305"/>
      <c r="B936" s="314"/>
      <c r="C936" s="382"/>
      <c r="D936" s="319"/>
      <c r="E936" s="320"/>
      <c r="F936" s="389"/>
    </row>
    <row r="937" spans="1:60" s="277" customFormat="1" ht="15" customHeight="1">
      <c r="A937" s="325" t="s">
        <v>1905</v>
      </c>
      <c r="B937" s="326"/>
      <c r="C937" s="1526" t="s">
        <v>2242</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1562</v>
      </c>
      <c r="B938" s="331"/>
      <c r="C938" s="1527"/>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405</v>
      </c>
      <c r="B939" s="293" t="s">
        <v>406</v>
      </c>
      <c r="C939" s="294" t="s">
        <v>407</v>
      </c>
      <c r="D939" s="292" t="s">
        <v>408</v>
      </c>
      <c r="E939" s="295" t="s">
        <v>409</v>
      </c>
      <c r="F939" s="296" t="s">
        <v>1563</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1571</v>
      </c>
      <c r="D940" s="302"/>
      <c r="E940" s="303"/>
      <c r="F940" s="304"/>
    </row>
    <row r="941" spans="1:60" ht="14.25" customHeight="1">
      <c r="A941" s="305"/>
      <c r="B941" s="306" t="s">
        <v>2243</v>
      </c>
      <c r="C941" s="382" t="s">
        <v>2244</v>
      </c>
      <c r="D941" s="319" t="s">
        <v>1574</v>
      </c>
      <c r="E941" s="335">
        <v>2447.0371846493376</v>
      </c>
      <c r="F941" s="310" t="s">
        <v>236</v>
      </c>
    </row>
    <row r="942" spans="1:60" ht="14.25" customHeight="1">
      <c r="A942" s="305"/>
      <c r="B942" s="306" t="s">
        <v>2245</v>
      </c>
      <c r="C942" s="382" t="s">
        <v>1576</v>
      </c>
      <c r="D942" s="319" t="s">
        <v>1577</v>
      </c>
      <c r="E942" s="335">
        <v>2525.2078434945929</v>
      </c>
      <c r="F942" s="310" t="s">
        <v>236</v>
      </c>
    </row>
    <row r="943" spans="1:60" ht="14.25" customHeight="1">
      <c r="A943" s="305"/>
      <c r="B943" s="306" t="s">
        <v>2246</v>
      </c>
      <c r="C943" s="385" t="s">
        <v>1579</v>
      </c>
      <c r="D943" s="319" t="s">
        <v>1580</v>
      </c>
      <c r="E943" s="335">
        <v>2620.8585414469039</v>
      </c>
      <c r="F943" s="310" t="s">
        <v>236</v>
      </c>
    </row>
    <row r="944" spans="1:60" ht="14.25" customHeight="1">
      <c r="A944" s="305"/>
      <c r="B944" s="306" t="s">
        <v>2247</v>
      </c>
      <c r="C944" s="382"/>
      <c r="D944" s="319" t="s">
        <v>1582</v>
      </c>
      <c r="E944" s="335">
        <v>2623.9287168855003</v>
      </c>
      <c r="F944" s="310" t="s">
        <v>236</v>
      </c>
    </row>
    <row r="945" spans="1:6" ht="14.25" customHeight="1">
      <c r="A945" s="305"/>
      <c r="B945" s="306" t="s">
        <v>2248</v>
      </c>
      <c r="C945" s="382"/>
      <c r="D945" s="319" t="s">
        <v>1584</v>
      </c>
      <c r="E945" s="335">
        <v>2705.1049158969613</v>
      </c>
      <c r="F945" s="310" t="s">
        <v>236</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2249</v>
      </c>
      <c r="C950" s="382" t="s">
        <v>2244</v>
      </c>
      <c r="D950" s="319" t="s">
        <v>1586</v>
      </c>
      <c r="E950" s="335">
        <v>3520.4086327824621</v>
      </c>
      <c r="F950" s="310" t="s">
        <v>236</v>
      </c>
    </row>
    <row r="951" spans="1:6" ht="14.25" customHeight="1">
      <c r="A951" s="305"/>
      <c r="B951" s="306" t="s">
        <v>2250</v>
      </c>
      <c r="C951" s="382" t="s">
        <v>1576</v>
      </c>
      <c r="D951" s="319" t="s">
        <v>1588</v>
      </c>
      <c r="E951" s="335">
        <v>3742.4051294420669</v>
      </c>
      <c r="F951" s="310" t="s">
        <v>236</v>
      </c>
    </row>
    <row r="952" spans="1:6" ht="14.25" customHeight="1">
      <c r="A952" s="305"/>
      <c r="B952" s="306" t="s">
        <v>2251</v>
      </c>
      <c r="C952" s="385" t="s">
        <v>1590</v>
      </c>
      <c r="D952" s="319" t="s">
        <v>1591</v>
      </c>
      <c r="E952" s="335">
        <v>3796.5846960055346</v>
      </c>
      <c r="F952" s="310" t="s">
        <v>236</v>
      </c>
    </row>
    <row r="953" spans="1:6" ht="14.25" customHeight="1">
      <c r="A953" s="305"/>
      <c r="B953" s="306" t="s">
        <v>2252</v>
      </c>
      <c r="C953" s="382"/>
      <c r="D953" s="319" t="s">
        <v>1593</v>
      </c>
      <c r="E953" s="335">
        <v>4062.7346878582312</v>
      </c>
      <c r="F953" s="310" t="s">
        <v>236</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2206</v>
      </c>
      <c r="D959" s="302"/>
      <c r="E959" s="302"/>
      <c r="F959" s="364"/>
    </row>
    <row r="960" spans="1:6" ht="14.25" customHeight="1">
      <c r="A960" s="305"/>
      <c r="B960" s="306" t="s">
        <v>2253</v>
      </c>
      <c r="C960" s="382" t="s">
        <v>2254</v>
      </c>
      <c r="D960" s="319" t="s">
        <v>1574</v>
      </c>
      <c r="E960" s="335">
        <v>3898.8408474946127</v>
      </c>
      <c r="F960" s="310" t="s">
        <v>236</v>
      </c>
    </row>
    <row r="961" spans="1:6" ht="14.25" customHeight="1">
      <c r="A961" s="305"/>
      <c r="B961" s="306" t="s">
        <v>2255</v>
      </c>
      <c r="C961" s="382" t="s">
        <v>1576</v>
      </c>
      <c r="D961" s="319" t="s">
        <v>1577</v>
      </c>
      <c r="E961" s="335">
        <v>4071.2547027046185</v>
      </c>
      <c r="F961" s="310" t="s">
        <v>236</v>
      </c>
    </row>
    <row r="962" spans="1:6" ht="14.25" customHeight="1">
      <c r="A962" s="305"/>
      <c r="B962" s="306" t="s">
        <v>2256</v>
      </c>
      <c r="C962" s="385" t="s">
        <v>1579</v>
      </c>
      <c r="D962" s="319" t="s">
        <v>1580</v>
      </c>
      <c r="E962" s="335">
        <v>4263.6457454655438</v>
      </c>
      <c r="F962" s="310" t="s">
        <v>236</v>
      </c>
    </row>
    <row r="963" spans="1:6" ht="14.25" customHeight="1">
      <c r="A963" s="305"/>
      <c r="B963" s="306" t="s">
        <v>2257</v>
      </c>
      <c r="C963" s="382"/>
      <c r="D963" s="319" t="s">
        <v>1582</v>
      </c>
      <c r="E963" s="335">
        <v>4350.2304767822252</v>
      </c>
      <c r="F963" s="310" t="s">
        <v>236</v>
      </c>
    </row>
    <row r="964" spans="1:6" ht="14.25" customHeight="1">
      <c r="A964" s="305"/>
      <c r="B964" s="306" t="s">
        <v>2258</v>
      </c>
      <c r="C964" s="382"/>
      <c r="D964" s="319" t="s">
        <v>1584</v>
      </c>
      <c r="E964" s="335">
        <v>4526.0792350393231</v>
      </c>
      <c r="F964" s="310" t="s">
        <v>236</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2259</v>
      </c>
      <c r="C969" s="382" t="s">
        <v>2254</v>
      </c>
      <c r="D969" s="319" t="s">
        <v>1586</v>
      </c>
      <c r="E969" s="335">
        <v>5590.3752513062391</v>
      </c>
      <c r="F969" s="310" t="s">
        <v>236</v>
      </c>
    </row>
    <row r="970" spans="1:6" ht="14.25" customHeight="1">
      <c r="A970" s="305"/>
      <c r="B970" s="306" t="s">
        <v>2260</v>
      </c>
      <c r="C970" s="382" t="s">
        <v>1576</v>
      </c>
      <c r="D970" s="319" t="s">
        <v>1588</v>
      </c>
      <c r="E970" s="335">
        <v>5976.6058730292752</v>
      </c>
      <c r="F970" s="310" t="s">
        <v>236</v>
      </c>
    </row>
    <row r="971" spans="1:6" ht="14.25" customHeight="1">
      <c r="A971" s="305"/>
      <c r="B971" s="306" t="s">
        <v>2261</v>
      </c>
      <c r="C971" s="385" t="s">
        <v>1590</v>
      </c>
      <c r="D971" s="319" t="s">
        <v>1591</v>
      </c>
      <c r="E971" s="335">
        <v>6110.4098869453919</v>
      </c>
      <c r="F971" s="310" t="s">
        <v>236</v>
      </c>
    </row>
    <row r="972" spans="1:6" ht="14.25" customHeight="1">
      <c r="A972" s="305"/>
      <c r="B972" s="306" t="s">
        <v>2262</v>
      </c>
      <c r="C972" s="382"/>
      <c r="D972" s="319" t="s">
        <v>1593</v>
      </c>
      <c r="E972" s="335">
        <v>2934.425078192769</v>
      </c>
      <c r="F972" s="310" t="s">
        <v>236</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1605</v>
      </c>
      <c r="D977" s="302"/>
      <c r="E977" s="302"/>
      <c r="F977" s="364"/>
    </row>
    <row r="978" spans="1:6" ht="14.25" customHeight="1">
      <c r="A978" s="387"/>
      <c r="B978" s="306" t="s">
        <v>2217</v>
      </c>
      <c r="C978" s="382" t="s">
        <v>2218</v>
      </c>
      <c r="D978" s="319" t="s">
        <v>1586</v>
      </c>
      <c r="E978" s="335">
        <v>4680.7771635378158</v>
      </c>
      <c r="F978" s="310" t="s">
        <v>236</v>
      </c>
    </row>
    <row r="979" spans="1:6" ht="14.25" customHeight="1">
      <c r="A979" s="387"/>
      <c r="B979" s="306" t="s">
        <v>2219</v>
      </c>
      <c r="C979" s="382" t="s">
        <v>1576</v>
      </c>
      <c r="D979" s="319" t="s">
        <v>1588</v>
      </c>
      <c r="E979" s="335">
        <v>4773.5499624080576</v>
      </c>
      <c r="F979" s="310" t="s">
        <v>236</v>
      </c>
    </row>
    <row r="980" spans="1:6" ht="14.25" customHeight="1">
      <c r="A980" s="387"/>
      <c r="B980" s="306" t="s">
        <v>2220</v>
      </c>
      <c r="C980" s="385" t="s">
        <v>1590</v>
      </c>
      <c r="D980" s="319" t="s">
        <v>1591</v>
      </c>
      <c r="E980" s="335">
        <v>4794.1897972893767</v>
      </c>
      <c r="F980" s="310" t="s">
        <v>236</v>
      </c>
    </row>
    <row r="981" spans="1:6" ht="14.25" customHeight="1">
      <c r="A981" s="387"/>
      <c r="B981" s="306" t="s">
        <v>2221</v>
      </c>
      <c r="C981" s="382"/>
      <c r="D981" s="319" t="s">
        <v>1593</v>
      </c>
      <c r="E981" s="335">
        <v>4960.1807809404554</v>
      </c>
      <c r="F981" s="310" t="s">
        <v>236</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1617</v>
      </c>
      <c r="D987" s="340"/>
      <c r="E987" s="340"/>
      <c r="F987" s="340"/>
    </row>
    <row r="988" spans="1:6" ht="14.25" customHeight="1">
      <c r="A988" s="305"/>
      <c r="B988" s="306" t="s">
        <v>2222</v>
      </c>
      <c r="C988" s="382" t="s">
        <v>2223</v>
      </c>
      <c r="D988" s="319" t="s">
        <v>1574</v>
      </c>
      <c r="E988" s="335">
        <v>1654.4628422621743</v>
      </c>
      <c r="F988" s="310" t="s">
        <v>236</v>
      </c>
    </row>
    <row r="989" spans="1:6" ht="14.25" customHeight="1">
      <c r="A989" s="305"/>
      <c r="B989" s="306" t="s">
        <v>2224</v>
      </c>
      <c r="C989" s="382" t="s">
        <v>1576</v>
      </c>
      <c r="D989" s="319" t="s">
        <v>1577</v>
      </c>
      <c r="E989" s="335">
        <v>1736.1320134702082</v>
      </c>
      <c r="F989" s="310" t="s">
        <v>236</v>
      </c>
    </row>
    <row r="990" spans="1:6" ht="14.25" customHeight="1">
      <c r="A990" s="305"/>
      <c r="B990" s="306" t="s">
        <v>2225</v>
      </c>
      <c r="C990" s="385" t="s">
        <v>1579</v>
      </c>
      <c r="D990" s="319" t="s">
        <v>1580</v>
      </c>
      <c r="E990" s="335">
        <v>1834.4065956946029</v>
      </c>
      <c r="F990" s="310" t="s">
        <v>236</v>
      </c>
    </row>
    <row r="991" spans="1:6" ht="14.25" customHeight="1">
      <c r="A991" s="305"/>
      <c r="B991" s="306" t="s">
        <v>2226</v>
      </c>
      <c r="C991" s="382"/>
      <c r="D991" s="319" t="s">
        <v>1582</v>
      </c>
      <c r="E991" s="335">
        <v>1837.4767711331995</v>
      </c>
      <c r="F991" s="310" t="s">
        <v>236</v>
      </c>
    </row>
    <row r="992" spans="1:6" ht="14.25" customHeight="1">
      <c r="A992" s="305"/>
      <c r="B992" s="306" t="s">
        <v>2227</v>
      </c>
      <c r="C992" s="388"/>
      <c r="D992" s="319" t="s">
        <v>1584</v>
      </c>
      <c r="E992" s="335">
        <v>0</v>
      </c>
      <c r="F992" s="310" t="s">
        <v>236</v>
      </c>
    </row>
    <row r="993" spans="1:6" ht="14.25" customHeight="1">
      <c r="A993" s="305"/>
      <c r="B993" s="306"/>
      <c r="C993" s="382"/>
      <c r="D993" s="319"/>
      <c r="E993" s="335"/>
      <c r="F993" s="389"/>
    </row>
    <row r="994" spans="1:6" ht="14.25" customHeight="1">
      <c r="A994" s="305"/>
      <c r="B994" s="306" t="s">
        <v>2228</v>
      </c>
      <c r="C994" s="382" t="s">
        <v>2223</v>
      </c>
      <c r="D994" s="319" t="s">
        <v>1586</v>
      </c>
      <c r="E994" s="335">
        <v>1654.4628422621743</v>
      </c>
      <c r="F994" s="310" t="s">
        <v>236</v>
      </c>
    </row>
    <row r="995" spans="1:6" ht="14.25" customHeight="1">
      <c r="A995" s="305"/>
      <c r="B995" s="306" t="s">
        <v>2229</v>
      </c>
      <c r="C995" s="382" t="s">
        <v>1576</v>
      </c>
      <c r="D995" s="319" t="s">
        <v>1588</v>
      </c>
      <c r="E995" s="335">
        <v>1736.1320134702082</v>
      </c>
      <c r="F995" s="310" t="s">
        <v>236</v>
      </c>
    </row>
    <row r="996" spans="1:6" ht="14.25" customHeight="1">
      <c r="A996" s="305"/>
      <c r="B996" s="306" t="s">
        <v>2230</v>
      </c>
      <c r="C996" s="385" t="s">
        <v>1590</v>
      </c>
      <c r="D996" s="319" t="s">
        <v>1591</v>
      </c>
      <c r="E996" s="335">
        <v>1834.4065956946029</v>
      </c>
      <c r="F996" s="310" t="s">
        <v>236</v>
      </c>
    </row>
    <row r="997" spans="1:6" ht="14.25" customHeight="1">
      <c r="A997" s="305"/>
      <c r="B997" s="306" t="s">
        <v>2231</v>
      </c>
      <c r="C997" s="388"/>
      <c r="D997" s="319" t="s">
        <v>1593</v>
      </c>
      <c r="E997" s="335">
        <v>1837.4767711331995</v>
      </c>
      <c r="F997" s="310" t="s">
        <v>236</v>
      </c>
    </row>
    <row r="998" spans="1:6" ht="14.25" customHeight="1">
      <c r="A998" s="305"/>
      <c r="B998" s="306"/>
      <c r="C998" s="382"/>
      <c r="D998" s="319"/>
      <c r="E998" s="335"/>
      <c r="F998" s="389"/>
    </row>
    <row r="999" spans="1:6" ht="14.25" customHeight="1">
      <c r="A999" s="338"/>
      <c r="B999" s="339"/>
      <c r="C999" s="301" t="s">
        <v>1628</v>
      </c>
      <c r="D999" s="340"/>
      <c r="E999" s="340"/>
      <c r="F999" s="391"/>
    </row>
    <row r="1000" spans="1:6" ht="14.25" customHeight="1">
      <c r="A1000" s="305"/>
      <c r="B1000" s="306" t="s">
        <v>2232</v>
      </c>
      <c r="C1000" s="382" t="s">
        <v>2233</v>
      </c>
      <c r="D1000" s="319" t="s">
        <v>1574</v>
      </c>
      <c r="E1000" s="335">
        <v>2537.3004170847516</v>
      </c>
      <c r="F1000" s="310" t="s">
        <v>236</v>
      </c>
    </row>
    <row r="1001" spans="1:6" ht="14.25" customHeight="1">
      <c r="A1001" s="305"/>
      <c r="B1001" s="306" t="s">
        <v>2234</v>
      </c>
      <c r="C1001" s="382" t="s">
        <v>1576</v>
      </c>
      <c r="D1001" s="319" t="s">
        <v>1577</v>
      </c>
      <c r="E1001" s="335">
        <v>2626.6383129079009</v>
      </c>
      <c r="F1001" s="310" t="s">
        <v>236</v>
      </c>
    </row>
    <row r="1002" spans="1:6" ht="14.25" customHeight="1">
      <c r="A1002" s="305"/>
      <c r="B1002" s="306" t="s">
        <v>2235</v>
      </c>
      <c r="C1002" s="385" t="s">
        <v>1579</v>
      </c>
      <c r="D1002" s="319" t="s">
        <v>1580</v>
      </c>
      <c r="E1002" s="335">
        <v>2735.953396281971</v>
      </c>
      <c r="F1002" s="310" t="s">
        <v>236</v>
      </c>
    </row>
    <row r="1003" spans="1:6" ht="14.25" customHeight="1">
      <c r="A1003" s="305"/>
      <c r="B1003" s="306" t="s">
        <v>2236</v>
      </c>
      <c r="C1003" s="382"/>
      <c r="D1003" s="319" t="s">
        <v>1582</v>
      </c>
      <c r="E1003" s="335">
        <v>2739.4621682117959</v>
      </c>
      <c r="F1003" s="310" t="s">
        <v>236</v>
      </c>
    </row>
    <row r="1004" spans="1:6" ht="14.25" customHeight="1">
      <c r="A1004" s="305"/>
      <c r="B1004" s="306" t="s">
        <v>2237</v>
      </c>
      <c r="C1004" s="388"/>
      <c r="D1004" s="319" t="s">
        <v>1584</v>
      </c>
      <c r="E1004" s="335">
        <v>2832.2349670820367</v>
      </c>
      <c r="F1004" s="310" t="s">
        <v>236</v>
      </c>
    </row>
    <row r="1005" spans="1:6" ht="14.25" customHeight="1">
      <c r="A1005" s="305"/>
      <c r="B1005" s="306"/>
      <c r="C1005" s="382"/>
      <c r="D1005" s="319"/>
      <c r="E1005" s="335"/>
      <c r="F1005" s="373"/>
    </row>
    <row r="1006" spans="1:6" ht="14.25" customHeight="1">
      <c r="A1006" s="305"/>
      <c r="B1006" s="306" t="s">
        <v>2238</v>
      </c>
      <c r="C1006" s="382" t="s">
        <v>2233</v>
      </c>
      <c r="D1006" s="319" t="s">
        <v>1586</v>
      </c>
      <c r="E1006" s="335">
        <v>3764.0106435226085</v>
      </c>
      <c r="F1006" s="310" t="s">
        <v>236</v>
      </c>
    </row>
    <row r="1007" spans="1:6" ht="14.25" customHeight="1">
      <c r="A1007" s="305"/>
      <c r="B1007" s="306" t="s">
        <v>2239</v>
      </c>
      <c r="C1007" s="382" t="s">
        <v>1576</v>
      </c>
      <c r="D1007" s="319" t="s">
        <v>1588</v>
      </c>
      <c r="E1007" s="335">
        <v>4017.7209254193008</v>
      </c>
      <c r="F1007" s="310" t="s">
        <v>236</v>
      </c>
    </row>
    <row r="1008" spans="1:6" ht="14.25" customHeight="1">
      <c r="A1008" s="305"/>
      <c r="B1008" s="306" t="s">
        <v>2240</v>
      </c>
      <c r="C1008" s="385" t="s">
        <v>1590</v>
      </c>
      <c r="D1008" s="319" t="s">
        <v>1591</v>
      </c>
      <c r="E1008" s="335">
        <v>4079.6404300632644</v>
      </c>
      <c r="F1008" s="310" t="s">
        <v>236</v>
      </c>
    </row>
    <row r="1009" spans="1:60" ht="14.25" customHeight="1">
      <c r="A1009" s="305"/>
      <c r="B1009" s="306" t="s">
        <v>2241</v>
      </c>
      <c r="C1009" s="388"/>
      <c r="D1009" s="319" t="s">
        <v>1593</v>
      </c>
      <c r="E1009" s="335">
        <v>4383.8118493234888</v>
      </c>
      <c r="F1009" s="310" t="s">
        <v>236</v>
      </c>
    </row>
    <row r="1010" spans="1:60" ht="14.25" customHeight="1">
      <c r="A1010" s="305"/>
      <c r="B1010" s="314"/>
      <c r="C1010" s="382"/>
      <c r="D1010" s="319"/>
      <c r="E1010" s="320"/>
      <c r="F1010" s="321"/>
    </row>
    <row r="1011" spans="1:60" s="277" customFormat="1" ht="15" customHeight="1">
      <c r="A1011" s="325" t="s">
        <v>1905</v>
      </c>
      <c r="B1011" s="326"/>
      <c r="C1011" s="1526" t="s">
        <v>2263</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1562</v>
      </c>
      <c r="B1012" s="331"/>
      <c r="C1012" s="1527"/>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405</v>
      </c>
      <c r="B1013" s="293" t="s">
        <v>406</v>
      </c>
      <c r="C1013" s="294" t="s">
        <v>407</v>
      </c>
      <c r="D1013" s="292" t="s">
        <v>408</v>
      </c>
      <c r="E1013" s="295" t="s">
        <v>409</v>
      </c>
      <c r="F1013" s="296" t="s">
        <v>1563</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1766</v>
      </c>
      <c r="D1014" s="340"/>
      <c r="E1014" s="341"/>
      <c r="F1014" s="391"/>
    </row>
    <row r="1015" spans="1:60" ht="14.25" customHeight="1">
      <c r="A1015" s="305"/>
      <c r="B1015" s="306" t="s">
        <v>1611</v>
      </c>
      <c r="C1015" s="382" t="s">
        <v>1767</v>
      </c>
      <c r="D1015" s="319" t="s">
        <v>1586</v>
      </c>
      <c r="E1015" s="442">
        <v>6081.8713450292398</v>
      </c>
      <c r="F1015" s="352" t="s">
        <v>236</v>
      </c>
    </row>
    <row r="1016" spans="1:60" ht="14.25" customHeight="1">
      <c r="A1016" s="305"/>
      <c r="B1016" s="306" t="s">
        <v>1613</v>
      </c>
      <c r="C1016" s="382" t="s">
        <v>1576</v>
      </c>
      <c r="D1016" s="319" t="s">
        <v>1588</v>
      </c>
      <c r="E1016" s="442">
        <v>7907.4320980878156</v>
      </c>
      <c r="F1016" s="352" t="s">
        <v>236</v>
      </c>
    </row>
    <row r="1017" spans="1:60" ht="14.25" customHeight="1">
      <c r="A1017" s="305"/>
      <c r="B1017" s="306" t="s">
        <v>1614</v>
      </c>
      <c r="C1017" s="385" t="s">
        <v>1590</v>
      </c>
      <c r="D1017" s="319" t="s">
        <v>1591</v>
      </c>
      <c r="E1017" s="442">
        <v>7928.0719329691356</v>
      </c>
      <c r="F1017" s="352" t="s">
        <v>236</v>
      </c>
    </row>
    <row r="1018" spans="1:60" ht="14.25" customHeight="1">
      <c r="A1018" s="305"/>
      <c r="B1018" s="306" t="s">
        <v>1616</v>
      </c>
      <c r="C1018" s="392"/>
      <c r="D1018" s="319" t="s">
        <v>1593</v>
      </c>
      <c r="E1018" s="442">
        <v>8077.5510487151587</v>
      </c>
      <c r="F1018" s="352" t="s">
        <v>236</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1905</v>
      </c>
      <c r="B1025" s="326"/>
      <c r="C1025" s="1526" t="s">
        <v>2264</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1562</v>
      </c>
      <c r="B1026" s="331"/>
      <c r="C1026" s="1527"/>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405</v>
      </c>
      <c r="B1027" s="293" t="s">
        <v>406</v>
      </c>
      <c r="C1027" s="294" t="s">
        <v>407</v>
      </c>
      <c r="D1027" s="292" t="s">
        <v>408</v>
      </c>
      <c r="E1027" s="295" t="s">
        <v>409</v>
      </c>
      <c r="F1027" s="296" t="s">
        <v>1563</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1639</v>
      </c>
      <c r="D1028" s="302"/>
      <c r="E1028" s="303"/>
      <c r="F1028" s="304"/>
    </row>
    <row r="1029" spans="1:60" ht="14.25" customHeight="1">
      <c r="A1029" s="305"/>
      <c r="B1029" s="314" t="s">
        <v>2265</v>
      </c>
      <c r="C1029" s="382" t="s">
        <v>2266</v>
      </c>
      <c r="D1029" s="319" t="s">
        <v>1574</v>
      </c>
      <c r="E1029" s="335">
        <v>2844.9776442627399</v>
      </c>
      <c r="F1029" s="310" t="s">
        <v>236</v>
      </c>
    </row>
    <row r="1030" spans="1:60" ht="14.25" customHeight="1">
      <c r="A1030" s="305"/>
      <c r="B1030" s="314" t="s">
        <v>2267</v>
      </c>
      <c r="C1030" s="382" t="s">
        <v>1576</v>
      </c>
      <c r="D1030" s="319" t="s">
        <v>1577</v>
      </c>
      <c r="E1030" s="335">
        <v>2930.0613545705005</v>
      </c>
      <c r="F1030" s="310" t="s">
        <v>236</v>
      </c>
    </row>
    <row r="1031" spans="1:60" ht="14.25" customHeight="1">
      <c r="A1031" s="305"/>
      <c r="B1031" s="314" t="s">
        <v>2268</v>
      </c>
      <c r="C1031" s="385" t="s">
        <v>1579</v>
      </c>
      <c r="D1031" s="319" t="s">
        <v>1580</v>
      </c>
      <c r="E1031" s="335">
        <v>3034.170957783901</v>
      </c>
      <c r="F1031" s="310" t="s">
        <v>236</v>
      </c>
    </row>
    <row r="1032" spans="1:60" ht="14.25" customHeight="1">
      <c r="A1032" s="305"/>
      <c r="B1032" s="314" t="s">
        <v>2269</v>
      </c>
      <c r="C1032" s="382"/>
      <c r="D1032" s="319" t="s">
        <v>1582</v>
      </c>
      <c r="E1032" s="335">
        <v>3037.5126453361154</v>
      </c>
      <c r="F1032" s="310" t="s">
        <v>236</v>
      </c>
    </row>
    <row r="1033" spans="1:60" ht="14.25" customHeight="1">
      <c r="A1033" s="305"/>
      <c r="B1033" s="314" t="s">
        <v>2270</v>
      </c>
      <c r="C1033" s="382"/>
      <c r="D1033" s="319" t="s">
        <v>1584</v>
      </c>
      <c r="E1033" s="335">
        <v>3125.8676918792016</v>
      </c>
      <c r="F1033" s="310" t="s">
        <v>236</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2271</v>
      </c>
      <c r="C1038" s="382" t="s">
        <v>2272</v>
      </c>
      <c r="D1038" s="319" t="s">
        <v>1586</v>
      </c>
      <c r="E1038" s="335">
        <v>3810.2187955903555</v>
      </c>
      <c r="F1038" s="310" t="s">
        <v>236</v>
      </c>
    </row>
    <row r="1039" spans="1:60" ht="14.25" customHeight="1">
      <c r="A1039" s="305"/>
      <c r="B1039" s="314" t="s">
        <v>2273</v>
      </c>
      <c r="C1039" s="382" t="s">
        <v>1576</v>
      </c>
      <c r="D1039" s="319" t="s">
        <v>1588</v>
      </c>
      <c r="E1039" s="335">
        <v>4051.8476354919676</v>
      </c>
      <c r="F1039" s="310" t="s">
        <v>236</v>
      </c>
    </row>
    <row r="1040" spans="1:60" ht="14.25" customHeight="1">
      <c r="A1040" s="305"/>
      <c r="B1040" s="314" t="s">
        <v>2274</v>
      </c>
      <c r="C1040" s="385" t="s">
        <v>1615</v>
      </c>
      <c r="D1040" s="319" t="s">
        <v>1591</v>
      </c>
      <c r="E1040" s="335">
        <v>4110.8185922957409</v>
      </c>
      <c r="F1040" s="310" t="s">
        <v>236</v>
      </c>
    </row>
    <row r="1041" spans="1:6" ht="14.25" customHeight="1">
      <c r="A1041" s="305"/>
      <c r="B1041" s="306" t="s">
        <v>2275</v>
      </c>
      <c r="C1041" s="382"/>
      <c r="D1041" s="319" t="s">
        <v>1593</v>
      </c>
      <c r="E1041" s="335">
        <v>4400.50565825786</v>
      </c>
      <c r="F1041" s="310" t="s">
        <v>236</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1650</v>
      </c>
      <c r="D1046" s="302"/>
      <c r="E1046" s="421"/>
      <c r="F1046" s="302"/>
    </row>
    <row r="1047" spans="1:6" ht="14.25" customHeight="1">
      <c r="A1047" s="305"/>
      <c r="B1047" s="444" t="s">
        <v>2276</v>
      </c>
      <c r="C1047" s="382" t="s">
        <v>2277</v>
      </c>
      <c r="D1047" s="319" t="s">
        <v>1574</v>
      </c>
      <c r="E1047" s="335">
        <v>2844.9776442627399</v>
      </c>
      <c r="F1047" s="310" t="s">
        <v>236</v>
      </c>
    </row>
    <row r="1048" spans="1:6" ht="14.25" customHeight="1">
      <c r="A1048" s="305"/>
      <c r="B1048" s="444" t="s">
        <v>2278</v>
      </c>
      <c r="C1048" s="382" t="s">
        <v>1576</v>
      </c>
      <c r="D1048" s="319" t="s">
        <v>1577</v>
      </c>
      <c r="E1048" s="335">
        <v>2930.0613545705005</v>
      </c>
      <c r="F1048" s="310" t="s">
        <v>236</v>
      </c>
    </row>
    <row r="1049" spans="1:6" ht="14.25" customHeight="1">
      <c r="A1049" s="305"/>
      <c r="B1049" s="444" t="s">
        <v>2279</v>
      </c>
      <c r="C1049" s="385" t="s">
        <v>1579</v>
      </c>
      <c r="D1049" s="319" t="s">
        <v>1580</v>
      </c>
      <c r="E1049" s="335">
        <v>3034.170957783901</v>
      </c>
      <c r="F1049" s="310" t="s">
        <v>236</v>
      </c>
    </row>
    <row r="1050" spans="1:6" ht="14.25" customHeight="1">
      <c r="A1050" s="305"/>
      <c r="B1050" s="444" t="s">
        <v>2280</v>
      </c>
      <c r="C1050" s="382"/>
      <c r="D1050" s="319" t="s">
        <v>1582</v>
      </c>
      <c r="E1050" s="335">
        <v>3037.5126453361154</v>
      </c>
      <c r="F1050" s="310" t="s">
        <v>236</v>
      </c>
    </row>
    <row r="1051" spans="1:6" ht="14.25" customHeight="1">
      <c r="A1051" s="305"/>
      <c r="B1051" s="444" t="s">
        <v>2281</v>
      </c>
      <c r="C1051" s="382"/>
      <c r="D1051" s="319" t="s">
        <v>1584</v>
      </c>
      <c r="E1051" s="335">
        <v>3125.8676918792016</v>
      </c>
      <c r="F1051" s="310" t="s">
        <v>236</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2282</v>
      </c>
      <c r="C1056" s="382" t="s">
        <v>2277</v>
      </c>
      <c r="D1056" s="319" t="s">
        <v>1586</v>
      </c>
      <c r="E1056" s="335">
        <v>3810.2187955903555</v>
      </c>
      <c r="F1056" s="310" t="s">
        <v>236</v>
      </c>
    </row>
    <row r="1057" spans="1:6" ht="14.25" customHeight="1">
      <c r="A1057" s="305"/>
      <c r="B1057" s="444" t="s">
        <v>2283</v>
      </c>
      <c r="C1057" s="382" t="s">
        <v>1576</v>
      </c>
      <c r="D1057" s="319" t="s">
        <v>1588</v>
      </c>
      <c r="E1057" s="335">
        <v>4051.8476354919676</v>
      </c>
      <c r="F1057" s="310" t="s">
        <v>236</v>
      </c>
    </row>
    <row r="1058" spans="1:6" ht="14.25" customHeight="1">
      <c r="A1058" s="305"/>
      <c r="B1058" s="444" t="s">
        <v>2284</v>
      </c>
      <c r="C1058" s="385" t="s">
        <v>1615</v>
      </c>
      <c r="D1058" s="319" t="s">
        <v>1591</v>
      </c>
      <c r="E1058" s="335">
        <v>4110.8185922957409</v>
      </c>
      <c r="F1058" s="310" t="s">
        <v>236</v>
      </c>
    </row>
    <row r="1059" spans="1:6" ht="14.25" customHeight="1">
      <c r="A1059" s="305"/>
      <c r="B1059" s="444" t="s">
        <v>2285</v>
      </c>
      <c r="C1059" s="385"/>
      <c r="D1059" s="319" t="s">
        <v>1593</v>
      </c>
      <c r="E1059" s="335">
        <v>4400.50565825786</v>
      </c>
      <c r="F1059" s="310" t="s">
        <v>236</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1661</v>
      </c>
      <c r="D1064" s="302"/>
      <c r="E1064" s="303"/>
      <c r="F1064" s="304"/>
    </row>
    <row r="1065" spans="1:6" ht="14.25" customHeight="1">
      <c r="A1065" s="305"/>
      <c r="B1065" s="444" t="s">
        <v>2286</v>
      </c>
      <c r="C1065" s="382" t="s">
        <v>2287</v>
      </c>
      <c r="D1065" s="319" t="s">
        <v>1574</v>
      </c>
      <c r="E1065" s="335">
        <v>2611.4788305801449</v>
      </c>
      <c r="F1065" s="310" t="s">
        <v>236</v>
      </c>
    </row>
    <row r="1066" spans="1:6" ht="14.25" customHeight="1">
      <c r="A1066" s="305"/>
      <c r="B1066" s="444" t="s">
        <v>2288</v>
      </c>
      <c r="C1066" s="382" t="s">
        <v>1576</v>
      </c>
      <c r="D1066" s="319" t="s">
        <v>1577</v>
      </c>
      <c r="E1066" s="335">
        <v>2700.370445500454</v>
      </c>
      <c r="F1066" s="310" t="s">
        <v>236</v>
      </c>
    </row>
    <row r="1067" spans="1:6" ht="14.25" customHeight="1">
      <c r="A1067" s="305"/>
      <c r="B1067" s="444" t="s">
        <v>2289</v>
      </c>
      <c r="C1067" s="385" t="s">
        <v>1579</v>
      </c>
      <c r="D1067" s="319" t="s">
        <v>1580</v>
      </c>
      <c r="E1067" s="335">
        <v>2807.3359771732648</v>
      </c>
      <c r="F1067" s="310" t="s">
        <v>236</v>
      </c>
    </row>
    <row r="1068" spans="1:6" ht="14.25" customHeight="1">
      <c r="A1068" s="305"/>
      <c r="B1068" s="444" t="s">
        <v>2290</v>
      </c>
      <c r="C1068" s="382"/>
      <c r="D1068" s="319" t="s">
        <v>1582</v>
      </c>
      <c r="E1068" s="335">
        <v>2863.1898976888392</v>
      </c>
      <c r="F1068" s="310" t="s">
        <v>236</v>
      </c>
    </row>
    <row r="1069" spans="1:6" ht="14.25" customHeight="1">
      <c r="A1069" s="305"/>
      <c r="B1069" s="444" t="s">
        <v>2291</v>
      </c>
      <c r="C1069" s="382"/>
      <c r="D1069" s="319" t="s">
        <v>1584</v>
      </c>
      <c r="E1069" s="335">
        <v>2955.543244075101</v>
      </c>
      <c r="F1069" s="310" t="s">
        <v>236</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2292</v>
      </c>
      <c r="C1074" s="382" t="s">
        <v>2293</v>
      </c>
      <c r="D1074" s="319" t="s">
        <v>1586</v>
      </c>
      <c r="E1074" s="335">
        <v>3377.4826865187447</v>
      </c>
      <c r="F1074" s="310" t="s">
        <v>236</v>
      </c>
    </row>
    <row r="1075" spans="1:6" ht="14.25" customHeight="1">
      <c r="A1075" s="305"/>
      <c r="B1075" s="444" t="s">
        <v>2294</v>
      </c>
      <c r="C1075" s="382" t="s">
        <v>1576</v>
      </c>
      <c r="D1075" s="319" t="s">
        <v>1588</v>
      </c>
      <c r="E1075" s="335">
        <v>3545.4981845000239</v>
      </c>
      <c r="F1075" s="310" t="s">
        <v>236</v>
      </c>
    </row>
    <row r="1076" spans="1:6" ht="14.25" customHeight="1">
      <c r="A1076" s="305"/>
      <c r="B1076" s="444" t="s">
        <v>2295</v>
      </c>
      <c r="C1076" s="385" t="s">
        <v>1615</v>
      </c>
      <c r="D1076" s="319" t="s">
        <v>1591</v>
      </c>
      <c r="E1076" s="335">
        <v>3604.4691413037976</v>
      </c>
      <c r="F1076" s="310" t="s">
        <v>236</v>
      </c>
    </row>
    <row r="1077" spans="1:6" ht="14.25" customHeight="1">
      <c r="A1077" s="305"/>
      <c r="B1077" s="444" t="s">
        <v>2296</v>
      </c>
      <c r="C1077" s="382"/>
      <c r="D1077" s="319" t="s">
        <v>1593</v>
      </c>
      <c r="E1077" s="335">
        <v>3904.1519568738549</v>
      </c>
      <c r="F1077" s="310" t="s">
        <v>236</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1672</v>
      </c>
      <c r="D1109" s="302"/>
      <c r="E1109" s="302"/>
      <c r="F1109" s="302"/>
    </row>
    <row r="1110" spans="1:6" ht="14.25" customHeight="1">
      <c r="A1110" s="305"/>
      <c r="B1110" s="306" t="s">
        <v>1673</v>
      </c>
      <c r="C1110" s="388" t="s">
        <v>1674</v>
      </c>
      <c r="D1110" s="319" t="s">
        <v>1580</v>
      </c>
      <c r="E1110" s="335">
        <v>545.63728205963844</v>
      </c>
      <c r="F1110" s="310" t="s">
        <v>236</v>
      </c>
    </row>
    <row r="1111" spans="1:6" ht="14.25" customHeight="1">
      <c r="A1111" s="305"/>
      <c r="B1111" s="306" t="s">
        <v>1675</v>
      </c>
      <c r="C1111" s="382" t="s">
        <v>1676</v>
      </c>
      <c r="D1111" s="319" t="s">
        <v>1582</v>
      </c>
      <c r="E1111" s="335">
        <v>581.7037640540982</v>
      </c>
      <c r="F1111" s="310" t="s">
        <v>236</v>
      </c>
    </row>
    <row r="1112" spans="1:6" ht="14.25" customHeight="1">
      <c r="A1112" s="305"/>
      <c r="B1112" s="306" t="s">
        <v>1677</v>
      </c>
      <c r="C1112" s="388"/>
      <c r="D1112" s="319" t="s">
        <v>1584</v>
      </c>
      <c r="E1112" s="335">
        <v>589.50562163923757</v>
      </c>
      <c r="F1112" s="310" t="s">
        <v>236</v>
      </c>
    </row>
    <row r="1113" spans="1:6" ht="14.25" customHeight="1">
      <c r="A1113" s="305"/>
      <c r="B1113" s="306" t="s">
        <v>1678</v>
      </c>
      <c r="C1113" s="388"/>
      <c r="D1113" s="319" t="s">
        <v>1679</v>
      </c>
      <c r="E1113" s="335">
        <v>647.80055401662082</v>
      </c>
      <c r="F1113" s="310" t="s">
        <v>236</v>
      </c>
    </row>
    <row r="1114" spans="1:6" ht="14.25" customHeight="1">
      <c r="A1114" s="305"/>
      <c r="B1114" s="306" t="s">
        <v>1680</v>
      </c>
      <c r="C1114" s="388"/>
      <c r="D1114" s="319" t="s">
        <v>1586</v>
      </c>
      <c r="E1114" s="335">
        <v>655.60241160175997</v>
      </c>
      <c r="F1114" s="310" t="s">
        <v>236</v>
      </c>
    </row>
    <row r="1115" spans="1:6" ht="14.25" customHeight="1">
      <c r="A1115" s="305"/>
      <c r="B1115" s="306" t="s">
        <v>1681</v>
      </c>
      <c r="C1115" s="388"/>
      <c r="D1115" s="319" t="s">
        <v>1682</v>
      </c>
      <c r="E1115" s="335">
        <v>752.40703927000175</v>
      </c>
      <c r="F1115" s="310" t="s">
        <v>236</v>
      </c>
    </row>
    <row r="1116" spans="1:6" ht="14.25" customHeight="1">
      <c r="A1116" s="305"/>
      <c r="B1116" s="306" t="s">
        <v>1683</v>
      </c>
      <c r="C1116" s="388"/>
      <c r="D1116" s="319" t="s">
        <v>1588</v>
      </c>
      <c r="E1116" s="335">
        <v>760.20889685514112</v>
      </c>
      <c r="F1116" s="310" t="s">
        <v>236</v>
      </c>
    </row>
    <row r="1117" spans="1:6" ht="14.25" customHeight="1">
      <c r="A1117" s="305"/>
      <c r="B1117" s="306" t="s">
        <v>1684</v>
      </c>
      <c r="C1117" s="388"/>
      <c r="D1117" s="319" t="s">
        <v>1685</v>
      </c>
      <c r="E1117" s="335">
        <v>894.24344142088955</v>
      </c>
      <c r="F1117" s="310" t="s">
        <v>236</v>
      </c>
    </row>
    <row r="1118" spans="1:6" ht="14.25" customHeight="1">
      <c r="A1118" s="305"/>
      <c r="B1118" s="306" t="s">
        <v>1686</v>
      </c>
      <c r="C1118" s="388"/>
      <c r="D1118" s="319" t="s">
        <v>1593</v>
      </c>
      <c r="E1118" s="335">
        <v>902.04529900602904</v>
      </c>
      <c r="F1118" s="310" t="s">
        <v>236</v>
      </c>
    </row>
    <row r="1119" spans="1:6" ht="14.25" customHeight="1">
      <c r="A1119" s="305"/>
      <c r="B1119" s="306" t="s">
        <v>1687</v>
      </c>
      <c r="C1119" s="388"/>
      <c r="D1119" s="319" t="s">
        <v>1688</v>
      </c>
      <c r="E1119" s="335">
        <v>909.84715659116864</v>
      </c>
      <c r="F1119" s="310" t="s">
        <v>236</v>
      </c>
    </row>
    <row r="1120" spans="1:6" ht="14.25" customHeight="1">
      <c r="A1120" s="305"/>
      <c r="B1120" s="306" t="s">
        <v>1689</v>
      </c>
      <c r="C1120" s="388"/>
      <c r="D1120" s="319" t="s">
        <v>1690</v>
      </c>
      <c r="E1120" s="335">
        <v>930.91217207104455</v>
      </c>
      <c r="F1120" s="310" t="s">
        <v>236</v>
      </c>
    </row>
    <row r="1121" spans="1:60" ht="14.25" customHeight="1">
      <c r="A1121" s="305"/>
      <c r="B1121" s="306" t="s">
        <v>1691</v>
      </c>
      <c r="C1121" s="388"/>
      <c r="D1121" s="319" t="s">
        <v>1692</v>
      </c>
      <c r="E1121" s="335">
        <v>951.9771875509208</v>
      </c>
      <c r="F1121" s="310" t="s">
        <v>236</v>
      </c>
    </row>
    <row r="1122" spans="1:60" ht="14.25" customHeight="1">
      <c r="A1122" s="305"/>
      <c r="B1122" s="306" t="s">
        <v>1693</v>
      </c>
      <c r="C1122" s="388"/>
      <c r="D1122" s="319" t="s">
        <v>1694</v>
      </c>
      <c r="E1122" s="335">
        <v>1225.5075769920161</v>
      </c>
      <c r="F1122" s="310" t="s">
        <v>236</v>
      </c>
    </row>
    <row r="1123" spans="1:60" ht="14.25" customHeight="1">
      <c r="A1123" s="305"/>
      <c r="B1123" s="306" t="s">
        <v>1695</v>
      </c>
      <c r="C1123" s="388"/>
      <c r="D1123" s="319" t="s">
        <v>1696</v>
      </c>
      <c r="E1123" s="335">
        <v>1253.4565844587794</v>
      </c>
      <c r="F1123" s="310" t="s">
        <v>236</v>
      </c>
    </row>
    <row r="1124" spans="1:60" s="277" customFormat="1" ht="15" customHeight="1">
      <c r="A1124" s="325" t="s">
        <v>1905</v>
      </c>
      <c r="B1124" s="326"/>
      <c r="C1124" s="1526" t="s">
        <v>2297</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1562</v>
      </c>
      <c r="B1125" s="331"/>
      <c r="C1125" s="1527"/>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405</v>
      </c>
      <c r="B1126" s="293" t="s">
        <v>406</v>
      </c>
      <c r="C1126" s="294" t="s">
        <v>407</v>
      </c>
      <c r="D1126" s="292" t="s">
        <v>408</v>
      </c>
      <c r="E1126" s="295" t="s">
        <v>409</v>
      </c>
      <c r="F1126" s="296" t="s">
        <v>1563</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2298</v>
      </c>
      <c r="D1127" s="302"/>
      <c r="E1127" s="302"/>
      <c r="F1127" s="302"/>
    </row>
    <row r="1128" spans="1:60" ht="14.25" customHeight="1">
      <c r="A1128" s="305"/>
      <c r="B1128" s="306" t="s">
        <v>2299</v>
      </c>
      <c r="C1128" s="450" t="s">
        <v>2300</v>
      </c>
      <c r="D1128" s="319" t="s">
        <v>1584</v>
      </c>
      <c r="E1128" s="335">
        <v>3957.5348540936411</v>
      </c>
      <c r="F1128" s="310" t="s">
        <v>236</v>
      </c>
    </row>
    <row r="1129" spans="1:60" ht="14.25" customHeight="1">
      <c r="A1129" s="305"/>
      <c r="B1129" s="306" t="s">
        <v>2301</v>
      </c>
      <c r="C1129" s="451" t="s">
        <v>2302</v>
      </c>
      <c r="D1129" s="319" t="s">
        <v>1679</v>
      </c>
      <c r="E1129" s="335">
        <v>3957.5348540936411</v>
      </c>
      <c r="F1129" s="310" t="s">
        <v>236</v>
      </c>
    </row>
    <row r="1130" spans="1:60" ht="14.25" customHeight="1">
      <c r="A1130" s="305"/>
      <c r="B1130" s="306" t="s">
        <v>2303</v>
      </c>
      <c r="C1130" s="382" t="s">
        <v>2304</v>
      </c>
      <c r="D1130" s="319" t="s">
        <v>1586</v>
      </c>
      <c r="E1130" s="335">
        <v>3957.5348540936411</v>
      </c>
      <c r="F1130" s="310" t="s">
        <v>236</v>
      </c>
    </row>
    <row r="1131" spans="1:60" ht="14.25" customHeight="1">
      <c r="A1131" s="305"/>
      <c r="B1131" s="306" t="s">
        <v>2305</v>
      </c>
      <c r="C1131" s="385" t="s">
        <v>2306</v>
      </c>
      <c r="D1131" s="319" t="s">
        <v>1682</v>
      </c>
      <c r="E1131" s="335">
        <v>4051.4971144840883</v>
      </c>
      <c r="F1131" s="310" t="s">
        <v>236</v>
      </c>
    </row>
    <row r="1132" spans="1:60" ht="14.25" customHeight="1">
      <c r="A1132" s="305"/>
      <c r="B1132" s="306" t="s">
        <v>2307</v>
      </c>
      <c r="C1132" s="452"/>
      <c r="D1132" s="319" t="s">
        <v>1588</v>
      </c>
      <c r="E1132" s="335">
        <v>4145.4593748745365</v>
      </c>
      <c r="F1132" s="310" t="s">
        <v>236</v>
      </c>
    </row>
    <row r="1133" spans="1:60" ht="14.25" customHeight="1">
      <c r="A1133" s="305"/>
      <c r="B1133" s="306" t="s">
        <v>2308</v>
      </c>
      <c r="C1133" s="451"/>
      <c r="D1133" s="319" t="s">
        <v>1685</v>
      </c>
      <c r="E1133" s="335">
        <v>4239.4216352649846</v>
      </c>
      <c r="F1133" s="310" t="s">
        <v>236</v>
      </c>
    </row>
    <row r="1134" spans="1:60" ht="14.25" customHeight="1">
      <c r="A1134" s="305"/>
      <c r="B1134" s="306" t="s">
        <v>2309</v>
      </c>
      <c r="C1134" s="451"/>
      <c r="D1134" s="319" t="s">
        <v>1593</v>
      </c>
      <c r="E1134" s="335">
        <v>4333.3838956554318</v>
      </c>
      <c r="F1134" s="310" t="s">
        <v>236</v>
      </c>
    </row>
    <row r="1135" spans="1:60" ht="14.25" customHeight="1">
      <c r="A1135" s="305"/>
      <c r="B1135" s="306" t="s">
        <v>2310</v>
      </c>
      <c r="C1135" s="432"/>
      <c r="D1135" s="319" t="s">
        <v>1688</v>
      </c>
      <c r="E1135" s="335">
        <v>4427.3461560458809</v>
      </c>
      <c r="F1135" s="310" t="s">
        <v>236</v>
      </c>
    </row>
    <row r="1136" spans="1:60" ht="14.25" customHeight="1">
      <c r="A1136" s="305"/>
      <c r="B1136" s="306" t="s">
        <v>2311</v>
      </c>
      <c r="C1136" s="432"/>
      <c r="D1136" s="319" t="s">
        <v>1690</v>
      </c>
      <c r="E1136" s="335">
        <v>4521.308416436329</v>
      </c>
      <c r="F1136" s="310" t="s">
        <v>236</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1802</v>
      </c>
      <c r="D1157" s="302"/>
      <c r="E1157" s="302"/>
      <c r="F1157" s="304"/>
    </row>
    <row r="1158" spans="1:64" ht="14.25" customHeight="1">
      <c r="A1158" s="305"/>
      <c r="B1158" s="319" t="s">
        <v>2312</v>
      </c>
      <c r="C1158" s="450" t="s">
        <v>2313</v>
      </c>
      <c r="D1158" s="431" t="s">
        <v>1586</v>
      </c>
      <c r="E1158" s="453">
        <v>2416.8421052631579</v>
      </c>
      <c r="F1158" s="310" t="s">
        <v>236</v>
      </c>
    </row>
    <row r="1159" spans="1:64" ht="14.25" customHeight="1">
      <c r="A1159" s="305"/>
      <c r="B1159" s="319"/>
      <c r="C1159" s="451" t="s">
        <v>2314</v>
      </c>
      <c r="D1159" s="431"/>
      <c r="E1159" s="453"/>
      <c r="F1159" s="377"/>
    </row>
    <row r="1160" spans="1:64" ht="14.25" customHeight="1">
      <c r="A1160" s="305"/>
      <c r="B1160" s="319"/>
      <c r="C1160" s="451" t="s">
        <v>1808</v>
      </c>
      <c r="D1160" s="431"/>
      <c r="E1160" s="453"/>
      <c r="F1160" s="377"/>
    </row>
    <row r="1161" spans="1:64" ht="14.25" customHeight="1">
      <c r="A1161" s="305"/>
      <c r="B1161" s="319"/>
      <c r="C1161" s="454" t="s">
        <v>2306</v>
      </c>
      <c r="D1161" s="431"/>
      <c r="E1161" s="453"/>
      <c r="F1161" s="377"/>
    </row>
    <row r="1162" spans="1:64" ht="14.25" customHeight="1">
      <c r="A1162" s="305"/>
      <c r="B1162" s="319"/>
      <c r="C1162" s="454" t="s">
        <v>2315</v>
      </c>
      <c r="D1162" s="431"/>
      <c r="E1162" s="453"/>
      <c r="F1162" s="377"/>
    </row>
    <row r="1163" spans="1:64" ht="14.25" customHeight="1">
      <c r="A1163" s="305"/>
      <c r="B1163" s="319"/>
      <c r="C1163" s="454" t="s">
        <v>2316</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2317</v>
      </c>
      <c r="D1166" s="302"/>
      <c r="E1166" s="302"/>
      <c r="F1166" s="304"/>
    </row>
    <row r="1167" spans="1:64" ht="14.25" customHeight="1">
      <c r="A1167" s="305"/>
      <c r="B1167" s="319" t="s">
        <v>2318</v>
      </c>
      <c r="C1167" s="450" t="s">
        <v>2319</v>
      </c>
      <c r="D1167" s="431" t="s">
        <v>1586</v>
      </c>
      <c r="E1167" s="453">
        <v>2193.9415204678362</v>
      </c>
      <c r="F1167" s="310" t="s">
        <v>236</v>
      </c>
    </row>
    <row r="1168" spans="1:64" ht="14.25" customHeight="1">
      <c r="A1168" s="305"/>
      <c r="B1168" s="319" t="s">
        <v>2320</v>
      </c>
      <c r="C1168" s="451" t="s">
        <v>2314</v>
      </c>
      <c r="D1168" s="431" t="s">
        <v>1682</v>
      </c>
      <c r="E1168" s="453">
        <v>2360.2339181286552</v>
      </c>
      <c r="F1168" s="310" t="s">
        <v>236</v>
      </c>
    </row>
    <row r="1169" spans="1:64" ht="14.25" customHeight="1">
      <c r="A1169" s="305"/>
      <c r="B1169" s="319" t="s">
        <v>2321</v>
      </c>
      <c r="C1169" s="451" t="s">
        <v>1808</v>
      </c>
      <c r="D1169" s="431" t="s">
        <v>1588</v>
      </c>
      <c r="E1169" s="453">
        <v>2526.2222222222226</v>
      </c>
      <c r="F1169" s="310" t="s">
        <v>236</v>
      </c>
    </row>
    <row r="1170" spans="1:64" ht="14.25" customHeight="1">
      <c r="A1170" s="305"/>
      <c r="B1170" s="319" t="s">
        <v>2322</v>
      </c>
      <c r="C1170" s="454" t="s">
        <v>2306</v>
      </c>
      <c r="D1170" s="431" t="s">
        <v>1685</v>
      </c>
      <c r="E1170" s="453">
        <v>2543.2514619883041</v>
      </c>
      <c r="F1170" s="310" t="s">
        <v>236</v>
      </c>
    </row>
    <row r="1171" spans="1:64" ht="14.25" customHeight="1">
      <c r="A1171" s="305"/>
      <c r="B1171" s="319" t="s">
        <v>2323</v>
      </c>
      <c r="C1171" s="454" t="s">
        <v>2315</v>
      </c>
      <c r="D1171" s="431" t="s">
        <v>1593</v>
      </c>
      <c r="E1171" s="453">
        <v>2695.2046783625733</v>
      </c>
      <c r="F1171" s="310" t="s">
        <v>236</v>
      </c>
    </row>
    <row r="1172" spans="1:64" ht="14.25" customHeight="1">
      <c r="A1172" s="305"/>
      <c r="B1172" s="319" t="s">
        <v>2324</v>
      </c>
      <c r="C1172" s="454" t="s">
        <v>2316</v>
      </c>
      <c r="D1172" s="431" t="s">
        <v>1688</v>
      </c>
      <c r="E1172" s="453">
        <v>2861.1228070175443</v>
      </c>
      <c r="F1172" s="310" t="s">
        <v>236</v>
      </c>
    </row>
    <row r="1173" spans="1:64" ht="14.25" customHeight="1">
      <c r="A1173" s="305"/>
      <c r="B1173" s="319" t="s">
        <v>2325</v>
      </c>
      <c r="C1173" s="451"/>
      <c r="D1173" s="431" t="s">
        <v>1690</v>
      </c>
      <c r="E1173" s="453">
        <v>3539.1111111111113</v>
      </c>
      <c r="F1173" s="310" t="s">
        <v>236</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1802</v>
      </c>
      <c r="D1195" s="302"/>
      <c r="E1195" s="302"/>
      <c r="F1195" s="304"/>
    </row>
    <row r="1196" spans="1:64" ht="14.25" customHeight="1">
      <c r="A1196" s="305"/>
      <c r="B1196" s="456" t="s">
        <v>1803</v>
      </c>
      <c r="C1196" s="450" t="s">
        <v>1804</v>
      </c>
      <c r="D1196" s="431" t="s">
        <v>1584</v>
      </c>
      <c r="E1196" s="457">
        <v>1857.4917216344131</v>
      </c>
      <c r="F1196" s="310" t="s">
        <v>236</v>
      </c>
    </row>
    <row r="1197" spans="1:64" ht="14.25" customHeight="1">
      <c r="A1197" s="305"/>
      <c r="B1197" s="456" t="s">
        <v>1805</v>
      </c>
      <c r="C1197" s="451" t="s">
        <v>1806</v>
      </c>
      <c r="D1197" s="431" t="s">
        <v>1679</v>
      </c>
      <c r="E1197" s="457">
        <v>1964.177098971375</v>
      </c>
      <c r="F1197" s="310" t="s">
        <v>236</v>
      </c>
    </row>
    <row r="1198" spans="1:64" ht="14.25" customHeight="1">
      <c r="A1198" s="305"/>
      <c r="B1198" s="456" t="s">
        <v>1807</v>
      </c>
      <c r="C1198" s="451" t="s">
        <v>1808</v>
      </c>
      <c r="D1198" s="431" t="s">
        <v>1586</v>
      </c>
      <c r="E1198" s="457">
        <v>2070.862476308338</v>
      </c>
      <c r="F1198" s="310" t="s">
        <v>236</v>
      </c>
    </row>
    <row r="1199" spans="1:64" ht="14.25" customHeight="1">
      <c r="A1199" s="305"/>
      <c r="B1199" s="456" t="s">
        <v>1809</v>
      </c>
      <c r="C1199" s="454"/>
      <c r="D1199" s="431" t="s">
        <v>1682</v>
      </c>
      <c r="E1199" s="457">
        <v>2177.5478536453002</v>
      </c>
      <c r="F1199" s="310" t="s">
        <v>236</v>
      </c>
    </row>
    <row r="1200" spans="1:64" ht="14.25" customHeight="1">
      <c r="A1200" s="305"/>
      <c r="B1200" s="456" t="s">
        <v>1810</v>
      </c>
      <c r="C1200" s="454"/>
      <c r="D1200" s="431" t="s">
        <v>1588</v>
      </c>
      <c r="E1200" s="457">
        <v>2321.4512760950442</v>
      </c>
      <c r="F1200" s="310" t="s">
        <v>236</v>
      </c>
    </row>
    <row r="1201" spans="1:64" ht="14.25" customHeight="1">
      <c r="A1201" s="305"/>
      <c r="B1201" s="456" t="s">
        <v>1811</v>
      </c>
      <c r="C1201" s="454"/>
      <c r="D1201" s="431" t="s">
        <v>1685</v>
      </c>
      <c r="E1201" s="457">
        <v>2446.7456759883985</v>
      </c>
      <c r="F1201" s="310" t="s">
        <v>236</v>
      </c>
    </row>
    <row r="1202" spans="1:64" ht="14.25" customHeight="1">
      <c r="A1202" s="305"/>
      <c r="B1202" s="456" t="s">
        <v>1812</v>
      </c>
      <c r="C1202" s="451"/>
      <c r="D1202" s="431" t="s">
        <v>1593</v>
      </c>
      <c r="E1202" s="457">
        <v>2572.0400758817514</v>
      </c>
      <c r="F1202" s="310" t="s">
        <v>236</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1813</v>
      </c>
      <c r="D1224" s="345"/>
      <c r="E1224" s="345"/>
      <c r="F1224" s="458"/>
    </row>
    <row r="1225" spans="1:64" ht="14.25" customHeight="1">
      <c r="A1225" s="305"/>
      <c r="B1225" s="308" t="s">
        <v>1814</v>
      </c>
      <c r="C1225" s="450" t="s">
        <v>1815</v>
      </c>
      <c r="D1225" s="431" t="s">
        <v>1580</v>
      </c>
      <c r="E1225" s="453">
        <v>2087.9766081871344</v>
      </c>
      <c r="F1225" s="310" t="s">
        <v>236</v>
      </c>
    </row>
    <row r="1226" spans="1:64" ht="14.25" customHeight="1">
      <c r="A1226" s="305"/>
      <c r="B1226" s="308" t="s">
        <v>1816</v>
      </c>
      <c r="C1226" s="451" t="s">
        <v>1817</v>
      </c>
      <c r="D1226" s="431" t="s">
        <v>1679</v>
      </c>
      <c r="E1226" s="453">
        <v>2435.9298245614036</v>
      </c>
      <c r="F1226" s="310" t="s">
        <v>236</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2326</v>
      </c>
      <c r="D1252" s="302"/>
      <c r="E1252" s="302"/>
      <c r="F1252" s="304"/>
    </row>
    <row r="1253" spans="1:64" ht="14.25" customHeight="1">
      <c r="A1253" s="305"/>
      <c r="B1253" s="308" t="s">
        <v>2327</v>
      </c>
      <c r="C1253" s="450" t="s">
        <v>2328</v>
      </c>
      <c r="D1253" s="431" t="s">
        <v>1580</v>
      </c>
      <c r="E1253" s="335">
        <v>5406.7211993934825</v>
      </c>
      <c r="F1253" s="310" t="s">
        <v>236</v>
      </c>
    </row>
    <row r="1254" spans="1:64" ht="14.25" customHeight="1">
      <c r="A1254" s="305"/>
      <c r="B1254" s="308" t="s">
        <v>2329</v>
      </c>
      <c r="C1254" s="451" t="s">
        <v>2314</v>
      </c>
      <c r="D1254" s="431" t="s">
        <v>1679</v>
      </c>
      <c r="E1254" s="335">
        <v>5916.8461853206445</v>
      </c>
      <c r="F1254" s="310" t="s">
        <v>236</v>
      </c>
    </row>
    <row r="1255" spans="1:64" ht="14.25" customHeight="1">
      <c r="A1255" s="305"/>
      <c r="B1255" s="319"/>
      <c r="C1255" s="451" t="s">
        <v>1808</v>
      </c>
      <c r="D1255" s="431"/>
      <c r="E1255" s="335"/>
      <c r="F1255" s="377"/>
    </row>
    <row r="1256" spans="1:64" ht="14.25" customHeight="1">
      <c r="A1256" s="305"/>
      <c r="B1256" s="319"/>
      <c r="C1256" s="454" t="s">
        <v>2306</v>
      </c>
      <c r="D1256" s="431"/>
      <c r="E1256" s="335"/>
      <c r="F1256" s="377"/>
    </row>
    <row r="1257" spans="1:64" ht="14.25" customHeight="1">
      <c r="A1257" s="305"/>
      <c r="B1257" s="319"/>
      <c r="C1257" s="454" t="s">
        <v>2315</v>
      </c>
      <c r="D1257" s="431"/>
      <c r="E1257" s="335"/>
      <c r="F1257" s="377"/>
    </row>
    <row r="1258" spans="1:64" ht="14.25" customHeight="1">
      <c r="A1258" s="305"/>
      <c r="B1258" s="319"/>
      <c r="C1258" s="454" t="s">
        <v>2316</v>
      </c>
      <c r="D1258" s="431"/>
      <c r="E1258" s="335"/>
      <c r="F1258" s="377"/>
    </row>
    <row r="1259" spans="1:64" ht="14.25" customHeight="1">
      <c r="A1259" s="305"/>
      <c r="B1259" s="319"/>
      <c r="C1259" s="461"/>
      <c r="D1259" s="431"/>
      <c r="E1259" s="335"/>
      <c r="F1259" s="377"/>
    </row>
    <row r="1260" spans="1:64" ht="14.25" customHeight="1">
      <c r="A1260" s="299"/>
      <c r="B1260" s="302"/>
      <c r="C1260" s="346" t="s">
        <v>2330</v>
      </c>
      <c r="D1260" s="345"/>
      <c r="E1260" s="345"/>
      <c r="F1260" s="458"/>
    </row>
    <row r="1261" spans="1:64" ht="14.25" customHeight="1">
      <c r="A1261" s="305"/>
      <c r="B1261" s="308" t="s">
        <v>2331</v>
      </c>
      <c r="C1261" s="450" t="s">
        <v>2332</v>
      </c>
      <c r="D1261" s="431" t="s">
        <v>1580</v>
      </c>
      <c r="E1261" s="335">
        <v>4383.326506609279</v>
      </c>
      <c r="F1261" s="310" t="s">
        <v>1821</v>
      </c>
    </row>
    <row r="1262" spans="1:64" ht="14.25" customHeight="1">
      <c r="A1262" s="305"/>
      <c r="B1262" s="308" t="s">
        <v>2333</v>
      </c>
      <c r="C1262" s="451" t="s">
        <v>2334</v>
      </c>
      <c r="D1262" s="431" t="s">
        <v>1679</v>
      </c>
      <c r="E1262" s="335">
        <v>4830.3296680875565</v>
      </c>
      <c r="F1262" s="310" t="s">
        <v>1821</v>
      </c>
    </row>
    <row r="1263" spans="1:64" ht="14.25" customHeight="1">
      <c r="A1263" s="305"/>
      <c r="B1263" s="319"/>
      <c r="C1263" s="451" t="s">
        <v>2335</v>
      </c>
      <c r="D1263" s="431"/>
      <c r="E1263" s="335"/>
      <c r="F1263" s="459"/>
    </row>
    <row r="1264" spans="1:64" ht="14.25" customHeight="1">
      <c r="A1264" s="460"/>
      <c r="B1264" s="319"/>
      <c r="C1264" s="454" t="s">
        <v>2306</v>
      </c>
      <c r="D1264" s="431"/>
      <c r="E1264" s="335"/>
      <c r="F1264" s="459"/>
    </row>
    <row r="1265" spans="1:64" ht="14.25" customHeight="1">
      <c r="A1265" s="460"/>
      <c r="B1265" s="308"/>
      <c r="C1265" s="454" t="s">
        <v>2315</v>
      </c>
      <c r="D1265" s="431"/>
      <c r="E1265" s="335"/>
      <c r="F1265" s="459"/>
    </row>
    <row r="1266" spans="1:64" ht="13.5" customHeight="1">
      <c r="A1266" s="305"/>
      <c r="B1266" s="308"/>
      <c r="C1266" s="454" t="s">
        <v>2316</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2336</v>
      </c>
      <c r="D1289" s="345"/>
      <c r="E1289" s="300"/>
      <c r="F1289" s="304"/>
    </row>
    <row r="1290" spans="1:64" ht="15" customHeight="1">
      <c r="A1290" s="462"/>
      <c r="B1290" s="308" t="s">
        <v>2337</v>
      </c>
      <c r="C1290" s="451" t="s">
        <v>2338</v>
      </c>
      <c r="D1290" s="431" t="s">
        <v>2339</v>
      </c>
      <c r="E1290" s="463">
        <v>489.01091829120651</v>
      </c>
      <c r="F1290" s="310" t="s">
        <v>1821</v>
      </c>
    </row>
    <row r="1291" spans="1:64" ht="15" customHeight="1">
      <c r="A1291" s="462"/>
      <c r="B1291" s="308"/>
      <c r="C1291" s="451" t="s">
        <v>2340</v>
      </c>
      <c r="D1291" s="431"/>
      <c r="E1291" s="335"/>
      <c r="F1291" s="377"/>
    </row>
    <row r="1292" spans="1:64" ht="15" customHeight="1">
      <c r="A1292" s="462"/>
      <c r="B1292" s="308"/>
      <c r="C1292" s="451" t="s">
        <v>2341</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2342</v>
      </c>
      <c r="C1295" s="451" t="s">
        <v>2343</v>
      </c>
      <c r="D1295" s="431" t="s">
        <v>2344</v>
      </c>
      <c r="E1295" s="335">
        <v>764.76616936233165</v>
      </c>
      <c r="F1295" s="310" t="s">
        <v>1821</v>
      </c>
    </row>
    <row r="1296" spans="1:64" ht="15" customHeight="1">
      <c r="A1296" s="462"/>
      <c r="B1296" s="308"/>
      <c r="C1296" s="451" t="s">
        <v>2340</v>
      </c>
      <c r="D1296" s="431"/>
      <c r="E1296" s="335"/>
      <c r="F1296" s="377"/>
    </row>
    <row r="1297" spans="1:6" ht="15" customHeight="1">
      <c r="A1297" s="462"/>
      <c r="B1297" s="308"/>
      <c r="C1297" s="451" t="s">
        <v>2341</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2345</v>
      </c>
      <c r="C1300" s="451" t="s">
        <v>2346</v>
      </c>
      <c r="D1300" s="431" t="s">
        <v>2347</v>
      </c>
      <c r="E1300" s="335">
        <v>800.13083264920999</v>
      </c>
      <c r="F1300" s="310" t="s">
        <v>1821</v>
      </c>
    </row>
    <row r="1301" spans="1:6" ht="14.25" customHeight="1">
      <c r="A1301" s="305"/>
      <c r="B1301" s="319"/>
      <c r="C1301" s="451" t="s">
        <v>2340</v>
      </c>
      <c r="D1301" s="431"/>
      <c r="E1301" s="386"/>
      <c r="F1301" s="377"/>
    </row>
    <row r="1302" spans="1:6" ht="14.25" customHeight="1">
      <c r="A1302" s="305"/>
      <c r="B1302" s="319"/>
      <c r="C1302" s="451" t="s">
        <v>2341</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1818</v>
      </c>
      <c r="D1305" s="470"/>
      <c r="E1305" s="471"/>
      <c r="F1305" s="472"/>
    </row>
    <row r="1306" spans="1:6" ht="14.25" customHeight="1">
      <c r="A1306" s="305"/>
      <c r="B1306" s="308" t="s">
        <v>1819</v>
      </c>
      <c r="C1306" s="450" t="s">
        <v>1820</v>
      </c>
      <c r="D1306" s="431" t="s">
        <v>1574</v>
      </c>
      <c r="E1306" s="473">
        <v>778.55724006292905</v>
      </c>
      <c r="F1306" s="310" t="s">
        <v>1821</v>
      </c>
    </row>
    <row r="1307" spans="1:6" ht="14.25" customHeight="1">
      <c r="A1307" s="305"/>
      <c r="B1307" s="308" t="s">
        <v>1822</v>
      </c>
      <c r="C1307" s="451" t="s">
        <v>1823</v>
      </c>
      <c r="D1307" s="431" t="s">
        <v>1584</v>
      </c>
      <c r="E1307" s="473">
        <v>1180.7691789565536</v>
      </c>
      <c r="F1307" s="310" t="s">
        <v>1821</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1824</v>
      </c>
      <c r="D1312" s="302"/>
      <c r="E1312" s="302"/>
      <c r="F1312" s="304"/>
    </row>
    <row r="1313" spans="1:60" ht="14.25" customHeight="1">
      <c r="A1313" s="305"/>
      <c r="B1313" s="308" t="s">
        <v>1825</v>
      </c>
      <c r="C1313" s="450" t="s">
        <v>1826</v>
      </c>
      <c r="D1313" s="431" t="s">
        <v>1827</v>
      </c>
      <c r="E1313" s="473">
        <v>314.18728423427604</v>
      </c>
      <c r="F1313" s="310" t="s">
        <v>1821</v>
      </c>
    </row>
    <row r="1314" spans="1:60" ht="14.25" customHeight="1">
      <c r="A1314" s="305"/>
      <c r="B1314" s="319"/>
      <c r="C1314" s="451" t="s">
        <v>1823</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1905</v>
      </c>
      <c r="B1318" s="326"/>
      <c r="C1318" s="1526" t="s">
        <v>2348</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1562</v>
      </c>
      <c r="B1319" s="331"/>
      <c r="C1319" s="1527"/>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405</v>
      </c>
      <c r="B1320" s="293" t="s">
        <v>406</v>
      </c>
      <c r="C1320" s="294" t="s">
        <v>407</v>
      </c>
      <c r="D1320" s="292" t="s">
        <v>408</v>
      </c>
      <c r="E1320" s="295" t="s">
        <v>409</v>
      </c>
      <c r="F1320" s="296" t="s">
        <v>1563</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2349</v>
      </c>
      <c r="D1321" s="302"/>
      <c r="E1321" s="479"/>
      <c r="F1321" s="304"/>
    </row>
    <row r="1322" spans="1:60" ht="14.25" customHeight="1">
      <c r="A1322" s="305"/>
      <c r="B1322" s="306" t="s">
        <v>2350</v>
      </c>
      <c r="C1322" s="388" t="s">
        <v>2351</v>
      </c>
      <c r="D1322" s="319" t="s">
        <v>2352</v>
      </c>
      <c r="E1322" s="453">
        <v>779.58411819021239</v>
      </c>
      <c r="F1322" s="310" t="s">
        <v>1821</v>
      </c>
      <c r="G1322" s="453"/>
    </row>
    <row r="1323" spans="1:60" ht="14.25" customHeight="1">
      <c r="A1323" s="305"/>
      <c r="B1323" s="306" t="s">
        <v>2353</v>
      </c>
      <c r="C1323" s="382" t="s">
        <v>2354</v>
      </c>
      <c r="D1323" s="319" t="s">
        <v>2355</v>
      </c>
      <c r="E1323" s="453">
        <v>1032.3545706371192</v>
      </c>
      <c r="F1323" s="310" t="s">
        <v>1821</v>
      </c>
      <c r="G1323" s="453"/>
    </row>
    <row r="1324" spans="1:60" ht="14.25" customHeight="1">
      <c r="A1324" s="305"/>
      <c r="B1324" s="306" t="s">
        <v>2356</v>
      </c>
      <c r="C1324" s="388" t="s">
        <v>2357</v>
      </c>
      <c r="D1324" s="319" t="s">
        <v>2358</v>
      </c>
      <c r="E1324" s="453">
        <v>1409.6332409972304</v>
      </c>
      <c r="F1324" s="310" t="s">
        <v>1821</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2359</v>
      </c>
      <c r="D1327" s="302"/>
      <c r="E1327" s="302"/>
      <c r="F1327" s="304"/>
    </row>
    <row r="1328" spans="1:60" ht="14.25" customHeight="1">
      <c r="A1328" s="305"/>
      <c r="B1328" s="308" t="s">
        <v>2360</v>
      </c>
      <c r="C1328" s="451" t="s">
        <v>2361</v>
      </c>
      <c r="D1328" s="431" t="s">
        <v>2362</v>
      </c>
      <c r="E1328" s="335">
        <v>1930.8158818097882</v>
      </c>
      <c r="F1328" s="310" t="s">
        <v>1821</v>
      </c>
      <c r="G1328" s="335"/>
    </row>
    <row r="1329" spans="1:7" ht="14.25" customHeight="1">
      <c r="A1329" s="305"/>
      <c r="B1329" s="308"/>
      <c r="C1329" s="451" t="s">
        <v>2363</v>
      </c>
      <c r="D1329" s="431"/>
      <c r="E1329" s="335"/>
      <c r="F1329" s="377"/>
      <c r="G1329" s="335"/>
    </row>
    <row r="1330" spans="1:7" ht="14.25" customHeight="1">
      <c r="A1330" s="305"/>
      <c r="B1330" s="308"/>
      <c r="C1330" s="451" t="s">
        <v>2341</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2364</v>
      </c>
      <c r="C1336" s="451" t="s">
        <v>2361</v>
      </c>
      <c r="D1336" s="431" t="s">
        <v>2365</v>
      </c>
      <c r="E1336" s="335">
        <v>2401.3192982456144</v>
      </c>
      <c r="F1336" s="310" t="s">
        <v>1821</v>
      </c>
      <c r="G1336" s="335"/>
    </row>
    <row r="1337" spans="1:7" ht="14.25" customHeight="1">
      <c r="A1337" s="305"/>
      <c r="B1337" s="308"/>
      <c r="C1337" s="451" t="s">
        <v>2363</v>
      </c>
      <c r="D1337" s="431"/>
      <c r="E1337" s="335"/>
      <c r="F1337" s="377"/>
      <c r="G1337" s="335"/>
    </row>
    <row r="1338" spans="1:7" ht="14.25" customHeight="1">
      <c r="A1338" s="305"/>
      <c r="B1338" s="319"/>
      <c r="C1338" s="451" t="s">
        <v>2341</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2366</v>
      </c>
      <c r="D1344" s="410"/>
      <c r="E1344" s="410"/>
      <c r="F1344" s="342"/>
    </row>
    <row r="1345" spans="1:6" ht="14.25" customHeight="1">
      <c r="A1345" s="305"/>
      <c r="B1345" s="306" t="s">
        <v>2367</v>
      </c>
      <c r="C1345" s="388" t="s">
        <v>2368</v>
      </c>
      <c r="D1345" s="319" t="s">
        <v>2369</v>
      </c>
      <c r="E1345" s="453">
        <v>453.38011695906437</v>
      </c>
      <c r="F1345" s="310" t="s">
        <v>1821</v>
      </c>
    </row>
    <row r="1346" spans="1:6" ht="14.25" customHeight="1">
      <c r="A1346" s="305"/>
      <c r="B1346" s="314"/>
      <c r="C1346" s="385" t="s">
        <v>2370</v>
      </c>
      <c r="D1346" s="319"/>
      <c r="E1346" s="453"/>
      <c r="F1346" s="321"/>
    </row>
    <row r="1347" spans="1:6" ht="14.25" customHeight="1">
      <c r="A1347" s="305"/>
      <c r="B1347" s="314"/>
      <c r="C1347" s="385" t="s">
        <v>2371</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1828</v>
      </c>
      <c r="D1350" s="302"/>
      <c r="E1350" s="302"/>
      <c r="F1350" s="302"/>
    </row>
    <row r="1351" spans="1:6" ht="14.25" customHeight="1">
      <c r="A1351" s="305"/>
      <c r="B1351" s="306" t="s">
        <v>1829</v>
      </c>
      <c r="C1351" s="1538" t="s">
        <v>1830</v>
      </c>
      <c r="D1351" s="319" t="s">
        <v>1831</v>
      </c>
      <c r="E1351" s="453">
        <v>487.86801075150436</v>
      </c>
      <c r="F1351" s="310" t="s">
        <v>236</v>
      </c>
    </row>
    <row r="1352" spans="1:6" ht="14.25" customHeight="1">
      <c r="A1352" s="305"/>
      <c r="B1352" s="306"/>
      <c r="C1352" s="1538"/>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1832</v>
      </c>
      <c r="C1355" s="1538" t="s">
        <v>1833</v>
      </c>
      <c r="D1355" s="319" t="s">
        <v>1834</v>
      </c>
      <c r="E1355" s="453">
        <v>494.88555461115345</v>
      </c>
      <c r="F1355" s="310" t="s">
        <v>236</v>
      </c>
    </row>
    <row r="1356" spans="1:6" ht="14.25" customHeight="1">
      <c r="A1356" s="305"/>
      <c r="B1356" s="306"/>
      <c r="C1356" s="1538"/>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1835</v>
      </c>
      <c r="C1359" s="1538" t="s">
        <v>1836</v>
      </c>
      <c r="D1359" s="319" t="s">
        <v>1837</v>
      </c>
      <c r="E1359" s="453">
        <v>506.49025039378637</v>
      </c>
      <c r="F1359" s="310" t="s">
        <v>236</v>
      </c>
    </row>
    <row r="1360" spans="1:6" ht="14.25" customHeight="1">
      <c r="A1360" s="305"/>
      <c r="B1360" s="306"/>
      <c r="C1360" s="1538"/>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1838</v>
      </c>
      <c r="C1363" s="1538" t="s">
        <v>1839</v>
      </c>
      <c r="D1363" s="319" t="s">
        <v>1840</v>
      </c>
      <c r="E1363" s="453">
        <v>501.90309847080255</v>
      </c>
      <c r="F1363" s="310" t="s">
        <v>236</v>
      </c>
    </row>
    <row r="1364" spans="1:6" ht="14.25" customHeight="1">
      <c r="A1364" s="305"/>
      <c r="B1364" s="314"/>
      <c r="C1364" s="1538"/>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1841</v>
      </c>
      <c r="D1367" s="302"/>
      <c r="E1367" s="302"/>
      <c r="F1367" s="304"/>
    </row>
    <row r="1368" spans="1:6" ht="14.25" customHeight="1">
      <c r="A1368" s="305"/>
      <c r="B1368" s="306" t="s">
        <v>1842</v>
      </c>
      <c r="C1368" s="450" t="s">
        <v>1843</v>
      </c>
      <c r="D1368" s="319" t="s">
        <v>1831</v>
      </c>
      <c r="E1368" s="453">
        <v>464.2596491228071</v>
      </c>
      <c r="F1368" s="310" t="s">
        <v>236</v>
      </c>
    </row>
    <row r="1369" spans="1:6" ht="14.25" customHeight="1">
      <c r="A1369" s="305"/>
      <c r="B1369" s="314"/>
      <c r="C1369" s="451" t="s">
        <v>1844</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1845</v>
      </c>
      <c r="D1373" s="410"/>
      <c r="E1373" s="410"/>
      <c r="F1373" s="342"/>
    </row>
    <row r="1374" spans="1:6" ht="14.25" customHeight="1">
      <c r="A1374" s="483"/>
      <c r="B1374" s="484" t="str">
        <v>SCBR-0380</v>
      </c>
      <c r="C1374" s="388" t="s">
        <v>1846</v>
      </c>
      <c r="D1374" s="319"/>
      <c r="E1374" s="453">
        <v>775.67251461988303</v>
      </c>
      <c r="F1374" s="310" t="s">
        <v>1821</v>
      </c>
    </row>
    <row r="1375" spans="1:6" ht="14.25" customHeight="1">
      <c r="A1375" s="483"/>
      <c r="B1375" s="314"/>
      <c r="C1375" s="388" t="s">
        <v>1847</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1845</v>
      </c>
      <c r="D1380" s="410"/>
      <c r="E1380" s="410"/>
      <c r="F1380" s="342"/>
    </row>
    <row r="1381" spans="1:6" ht="14.25" customHeight="1">
      <c r="A1381" s="483"/>
      <c r="B1381" s="306" t="s">
        <v>1848</v>
      </c>
      <c r="C1381" s="388" t="s">
        <v>1849</v>
      </c>
      <c r="D1381" s="319" t="s">
        <v>1850</v>
      </c>
      <c r="E1381" s="453">
        <v>237.7543859649123</v>
      </c>
      <c r="F1381" s="310" t="s">
        <v>1821</v>
      </c>
    </row>
    <row r="1382" spans="1:6" ht="14.25" customHeight="1">
      <c r="A1382" s="483"/>
      <c r="B1382" s="314"/>
      <c r="C1382" s="388" t="s">
        <v>1847</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1851</v>
      </c>
      <c r="D1387" s="302"/>
      <c r="E1387" s="302"/>
      <c r="F1387" s="304"/>
    </row>
    <row r="1388" spans="1:6" ht="14.25" customHeight="1">
      <c r="A1388" s="305"/>
      <c r="B1388" s="306">
        <v>1</v>
      </c>
      <c r="C1388" s="486" t="s">
        <v>1852</v>
      </c>
      <c r="D1388" s="319" t="s">
        <v>1853</v>
      </c>
      <c r="E1388" s="453">
        <v>2132.5847953216376</v>
      </c>
      <c r="F1388" s="310" t="s">
        <v>1821</v>
      </c>
    </row>
    <row r="1389" spans="1:6" ht="14.25" customHeight="1">
      <c r="A1389" s="305"/>
      <c r="B1389" s="314"/>
      <c r="C1389" s="388" t="s">
        <v>1854</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1905</v>
      </c>
      <c r="B1397" s="326"/>
      <c r="C1397" s="1526" t="s">
        <v>2372</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1562</v>
      </c>
      <c r="B1398" s="331"/>
      <c r="C1398" s="1527"/>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405</v>
      </c>
      <c r="B1399" s="293" t="s">
        <v>406</v>
      </c>
      <c r="C1399" s="294" t="s">
        <v>407</v>
      </c>
      <c r="D1399" s="292" t="s">
        <v>408</v>
      </c>
      <c r="E1399" s="295" t="s">
        <v>409</v>
      </c>
      <c r="F1399" s="296" t="s">
        <v>1563</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2373</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2374</v>
      </c>
      <c r="C1402" s="350" t="s">
        <v>2375</v>
      </c>
      <c r="D1402" s="351" t="s">
        <v>2376</v>
      </c>
      <c r="E1402" s="492">
        <v>1789.4736842105262</v>
      </c>
      <c r="F1402" s="310" t="s">
        <v>236</v>
      </c>
      <c r="G1402" s="353"/>
      <c r="H1402" s="354"/>
      <c r="I1402" s="355"/>
      <c r="J1402" s="355"/>
    </row>
    <row r="1403" spans="1:60" s="356" customFormat="1" ht="14.25" customHeight="1">
      <c r="A1403" s="348"/>
      <c r="B1403" s="349" t="s">
        <v>2377</v>
      </c>
      <c r="C1403" s="350" t="s">
        <v>2378</v>
      </c>
      <c r="D1403" s="351" t="s">
        <v>2379</v>
      </c>
      <c r="E1403" s="492">
        <v>2067.8362573099416</v>
      </c>
      <c r="F1403" s="310" t="s">
        <v>236</v>
      </c>
      <c r="G1403" s="353"/>
      <c r="H1403" s="354"/>
      <c r="I1403" s="355"/>
      <c r="J1403" s="355"/>
    </row>
    <row r="1404" spans="1:60" s="356" customFormat="1" ht="14.25" customHeight="1">
      <c r="A1404" s="348"/>
      <c r="B1404" s="349" t="s">
        <v>2380</v>
      </c>
      <c r="C1404" s="350"/>
      <c r="D1404" s="351" t="s">
        <v>2381</v>
      </c>
      <c r="E1404" s="492">
        <v>2067.8362573099416</v>
      </c>
      <c r="F1404" s="310" t="s">
        <v>236</v>
      </c>
      <c r="G1404" s="353"/>
      <c r="H1404" s="354"/>
      <c r="I1404" s="355"/>
      <c r="J1404" s="355"/>
    </row>
    <row r="1405" spans="1:60" s="356" customFormat="1" ht="14.25" customHeight="1">
      <c r="A1405" s="348"/>
      <c r="B1405" s="349" t="s">
        <v>2382</v>
      </c>
      <c r="C1405" s="350"/>
      <c r="D1405" s="351" t="s">
        <v>2383</v>
      </c>
      <c r="E1405" s="492">
        <v>1918.1286549707604</v>
      </c>
      <c r="F1405" s="310" t="s">
        <v>236</v>
      </c>
      <c r="G1405" s="353"/>
      <c r="H1405" s="354"/>
      <c r="I1405" s="355"/>
      <c r="J1405" s="355"/>
    </row>
    <row r="1406" spans="1:60" s="356" customFormat="1" ht="14.25" customHeight="1">
      <c r="A1406" s="348"/>
      <c r="B1406" s="349" t="s">
        <v>2384</v>
      </c>
      <c r="C1406" s="350"/>
      <c r="D1406" s="351" t="s">
        <v>2385</v>
      </c>
      <c r="E1406" s="492">
        <v>2292.3976608187136</v>
      </c>
      <c r="F1406" s="310" t="s">
        <v>236</v>
      </c>
      <c r="G1406" s="353"/>
      <c r="H1406" s="354"/>
      <c r="I1406" s="355"/>
      <c r="J1406" s="355"/>
    </row>
    <row r="1407" spans="1:60" s="356" customFormat="1">
      <c r="A1407" s="348"/>
      <c r="B1407" s="349" t="s">
        <v>2386</v>
      </c>
      <c r="C1407" s="350"/>
      <c r="D1407" s="351" t="s">
        <v>2387</v>
      </c>
      <c r="E1407" s="492">
        <v>2636.2573099415204</v>
      </c>
      <c r="F1407" s="310" t="s">
        <v>236</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2373</v>
      </c>
      <c r="D1410" s="345"/>
      <c r="E1410" s="345"/>
      <c r="F1410" s="345"/>
    </row>
    <row r="1411" spans="1:10" s="356" customFormat="1" ht="14.25" customHeight="1">
      <c r="A1411" s="348"/>
      <c r="B1411" s="349" t="s">
        <v>2388</v>
      </c>
      <c r="C1411" s="350" t="s">
        <v>2389</v>
      </c>
      <c r="D1411" s="351" t="s">
        <v>1994</v>
      </c>
      <c r="E1411" s="492">
        <v>1789.4736842105262</v>
      </c>
      <c r="F1411" s="310" t="s">
        <v>236</v>
      </c>
      <c r="G1411" s="353"/>
      <c r="H1411" s="354"/>
      <c r="I1411" s="355"/>
      <c r="J1411" s="355"/>
    </row>
    <row r="1412" spans="1:10" s="356" customFormat="1" ht="14.25" customHeight="1">
      <c r="A1412" s="348"/>
      <c r="B1412" s="349" t="s">
        <v>2390</v>
      </c>
      <c r="C1412" s="350" t="s">
        <v>2391</v>
      </c>
      <c r="D1412" s="351" t="s">
        <v>1997</v>
      </c>
      <c r="E1412" s="492">
        <v>2219.8830409356729</v>
      </c>
      <c r="F1412" s="310" t="s">
        <v>236</v>
      </c>
      <c r="G1412" s="353"/>
      <c r="H1412" s="354"/>
      <c r="I1412" s="355"/>
      <c r="J1412" s="355"/>
    </row>
    <row r="1413" spans="1:10" s="356" customFormat="1" ht="14.25" customHeight="1">
      <c r="A1413" s="348"/>
      <c r="B1413" s="349" t="s">
        <v>2392</v>
      </c>
      <c r="C1413" s="350"/>
      <c r="D1413" s="351" t="s">
        <v>2000</v>
      </c>
      <c r="E1413" s="492">
        <v>2290.0584795321638</v>
      </c>
      <c r="F1413" s="310" t="s">
        <v>236</v>
      </c>
      <c r="G1413" s="353"/>
      <c r="H1413" s="354"/>
      <c r="I1413" s="355"/>
      <c r="J1413" s="355"/>
    </row>
    <row r="1414" spans="1:10" s="356" customFormat="1" ht="14.25" customHeight="1">
      <c r="A1414" s="348"/>
      <c r="B1414" s="349" t="s">
        <v>2393</v>
      </c>
      <c r="C1414" s="350"/>
      <c r="D1414" s="351" t="s">
        <v>2002</v>
      </c>
      <c r="E1414" s="492">
        <v>2388.3040935672511</v>
      </c>
      <c r="F1414" s="310" t="s">
        <v>236</v>
      </c>
      <c r="G1414" s="353"/>
      <c r="H1414" s="354"/>
      <c r="I1414" s="355"/>
      <c r="J1414" s="355"/>
    </row>
    <row r="1415" spans="1:10" s="356" customFormat="1" ht="14.25" customHeight="1">
      <c r="A1415" s="348"/>
      <c r="B1415" s="349" t="s">
        <v>2394</v>
      </c>
      <c r="C1415" s="350"/>
      <c r="D1415" s="351" t="s">
        <v>2004</v>
      </c>
      <c r="E1415" s="492">
        <v>2484.2105263157891</v>
      </c>
      <c r="F1415" s="310" t="s">
        <v>236</v>
      </c>
      <c r="G1415" s="353"/>
      <c r="H1415" s="354"/>
      <c r="I1415" s="355"/>
      <c r="J1415" s="355"/>
    </row>
    <row r="1416" spans="1:10" s="356" customFormat="1">
      <c r="A1416" s="348"/>
      <c r="B1416" s="349" t="s">
        <v>2395</v>
      </c>
      <c r="C1416" s="350"/>
      <c r="D1416" s="351" t="s">
        <v>2006</v>
      </c>
      <c r="E1416" s="492">
        <v>2886.5497076023394</v>
      </c>
      <c r="F1416" s="310" t="s">
        <v>236</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2373</v>
      </c>
      <c r="D1419" s="345"/>
      <c r="E1419" s="345"/>
      <c r="F1419" s="345"/>
    </row>
    <row r="1420" spans="1:10" s="356" customFormat="1" ht="14.25" customHeight="1">
      <c r="A1420" s="348"/>
      <c r="B1420" s="349" t="s">
        <v>2396</v>
      </c>
      <c r="C1420" s="350" t="s">
        <v>2397</v>
      </c>
      <c r="D1420" s="351" t="s">
        <v>2398</v>
      </c>
      <c r="E1420" s="492">
        <v>1901.7543859649122</v>
      </c>
      <c r="F1420" s="310" t="s">
        <v>236</v>
      </c>
      <c r="G1420" s="353"/>
      <c r="H1420" s="354"/>
      <c r="I1420" s="355"/>
      <c r="J1420" s="355"/>
    </row>
    <row r="1421" spans="1:10" s="356" customFormat="1" ht="14.25" customHeight="1">
      <c r="A1421" s="348"/>
      <c r="B1421" s="349" t="s">
        <v>2399</v>
      </c>
      <c r="C1421" s="350" t="s">
        <v>2400</v>
      </c>
      <c r="D1421" s="351" t="s">
        <v>2401</v>
      </c>
      <c r="E1421" s="492">
        <v>2290.0584795321638</v>
      </c>
      <c r="F1421" s="310" t="s">
        <v>236</v>
      </c>
      <c r="G1421" s="353"/>
      <c r="H1421" s="354"/>
      <c r="I1421" s="355"/>
      <c r="J1421" s="355"/>
    </row>
    <row r="1422" spans="1:10" s="356" customFormat="1" ht="14.25" customHeight="1">
      <c r="A1422" s="348"/>
      <c r="B1422" s="349" t="s">
        <v>2402</v>
      </c>
      <c r="C1422" s="350"/>
      <c r="D1422" s="351" t="s">
        <v>2403</v>
      </c>
      <c r="E1422" s="492">
        <v>2346.198830409357</v>
      </c>
      <c r="F1422" s="310" t="s">
        <v>236</v>
      </c>
      <c r="G1422" s="353"/>
      <c r="H1422" s="354"/>
      <c r="I1422" s="355"/>
      <c r="J1422" s="355"/>
    </row>
    <row r="1423" spans="1:10" s="356" customFormat="1" ht="14.25" customHeight="1">
      <c r="A1423" s="348"/>
      <c r="B1423" s="349" t="s">
        <v>2404</v>
      </c>
      <c r="C1423" s="350"/>
      <c r="D1423" s="351" t="s">
        <v>2405</v>
      </c>
      <c r="E1423" s="492">
        <v>2442.105263157895</v>
      </c>
      <c r="F1423" s="310" t="s">
        <v>236</v>
      </c>
      <c r="G1423" s="353"/>
      <c r="H1423" s="354"/>
      <c r="I1423" s="355"/>
      <c r="J1423" s="355"/>
    </row>
    <row r="1424" spans="1:10" s="356" customFormat="1" ht="14.25" customHeight="1">
      <c r="A1424" s="348"/>
      <c r="B1424" s="349" t="s">
        <v>2406</v>
      </c>
      <c r="C1424" s="350"/>
      <c r="D1424" s="351" t="s">
        <v>2407</v>
      </c>
      <c r="E1424" s="492">
        <v>2650.292397660819</v>
      </c>
      <c r="F1424" s="310" t="s">
        <v>236</v>
      </c>
      <c r="G1424" s="353"/>
      <c r="H1424" s="354"/>
      <c r="I1424" s="355"/>
      <c r="J1424" s="355"/>
    </row>
    <row r="1425" spans="1:10" s="356" customFormat="1">
      <c r="A1425" s="348"/>
      <c r="B1425" s="349" t="s">
        <v>2408</v>
      </c>
      <c r="C1425" s="350"/>
      <c r="D1425" s="351" t="s">
        <v>2409</v>
      </c>
      <c r="E1425" s="492">
        <v>2968.4210526315792</v>
      </c>
      <c r="F1425" s="310" t="s">
        <v>236</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2410</v>
      </c>
      <c r="D1428" s="345"/>
      <c r="E1428" s="345"/>
      <c r="F1428" s="364"/>
    </row>
    <row r="1429" spans="1:10" s="356" customFormat="1">
      <c r="A1429" s="348"/>
      <c r="B1429" s="349" t="s">
        <v>2411</v>
      </c>
      <c r="C1429" s="350" t="s">
        <v>2412</v>
      </c>
      <c r="D1429" s="351" t="s">
        <v>2413</v>
      </c>
      <c r="E1429" s="500">
        <v>991.81286549707602</v>
      </c>
      <c r="F1429" s="310" t="s">
        <v>236</v>
      </c>
      <c r="G1429" s="353"/>
      <c r="H1429" s="354"/>
      <c r="I1429" s="355"/>
      <c r="J1429" s="355"/>
    </row>
    <row r="1430" spans="1:10" s="356" customFormat="1">
      <c r="A1430" s="348"/>
      <c r="B1430" s="349" t="s">
        <v>2414</v>
      </c>
      <c r="C1430" s="350" t="s">
        <v>2415</v>
      </c>
      <c r="D1430" s="351" t="s">
        <v>2416</v>
      </c>
      <c r="E1430" s="500">
        <v>1225.7309941520468</v>
      </c>
      <c r="F1430" s="310" t="s">
        <v>236</v>
      </c>
      <c r="G1430" s="353"/>
      <c r="H1430" s="354"/>
      <c r="I1430" s="355"/>
      <c r="J1430" s="355"/>
    </row>
    <row r="1431" spans="1:10" s="356" customFormat="1">
      <c r="A1431" s="348"/>
      <c r="B1431" s="349" t="s">
        <v>2417</v>
      </c>
      <c r="C1431" s="350"/>
      <c r="D1431" s="351" t="s">
        <v>2418</v>
      </c>
      <c r="E1431" s="500">
        <v>1242.1052631578946</v>
      </c>
      <c r="F1431" s="310" t="s">
        <v>236</v>
      </c>
      <c r="G1431" s="353"/>
      <c r="H1431" s="354"/>
      <c r="I1431" s="355"/>
      <c r="J1431" s="355"/>
    </row>
    <row r="1432" spans="1:10" s="356" customFormat="1" ht="16" customHeight="1">
      <c r="A1432" s="348"/>
      <c r="B1432" s="349" t="s">
        <v>2419</v>
      </c>
      <c r="C1432" s="1539" t="s">
        <v>2420</v>
      </c>
      <c r="D1432" s="351" t="s">
        <v>2421</v>
      </c>
      <c r="E1432" s="500">
        <v>1263.1578947368421</v>
      </c>
      <c r="F1432" s="310" t="s">
        <v>236</v>
      </c>
      <c r="G1432" s="353"/>
      <c r="H1432" s="354"/>
      <c r="I1432" s="355"/>
      <c r="J1432" s="355"/>
    </row>
    <row r="1433" spans="1:10" s="356" customFormat="1">
      <c r="A1433" s="348"/>
      <c r="B1433" s="349" t="s">
        <v>2422</v>
      </c>
      <c r="C1433" s="1539"/>
      <c r="D1433" s="351" t="s">
        <v>2423</v>
      </c>
      <c r="E1433" s="500">
        <v>1270.1754385964912</v>
      </c>
      <c r="F1433" s="310" t="s">
        <v>236</v>
      </c>
      <c r="G1433" s="353"/>
      <c r="H1433" s="354"/>
      <c r="I1433" s="355"/>
      <c r="J1433" s="355"/>
    </row>
    <row r="1434" spans="1:10" s="356" customFormat="1">
      <c r="A1434" s="348"/>
      <c r="B1434" s="349" t="s">
        <v>2424</v>
      </c>
      <c r="C1434" s="1539"/>
      <c r="D1434" s="351" t="s">
        <v>2425</v>
      </c>
      <c r="E1434" s="500">
        <v>1742.6900584795321</v>
      </c>
      <c r="F1434" s="310" t="s">
        <v>236</v>
      </c>
      <c r="G1434" s="353"/>
      <c r="H1434" s="354"/>
      <c r="I1434" s="355"/>
      <c r="J1434" s="355"/>
    </row>
    <row r="1435" spans="1:10" s="356" customFormat="1">
      <c r="A1435" s="348"/>
      <c r="B1435" s="349" t="s">
        <v>2426</v>
      </c>
      <c r="C1435" s="350"/>
      <c r="D1435" s="351" t="s">
        <v>2427</v>
      </c>
      <c r="E1435" s="500">
        <v>1756.7251461988305</v>
      </c>
      <c r="F1435" s="310" t="s">
        <v>236</v>
      </c>
      <c r="G1435" s="353"/>
      <c r="H1435" s="354"/>
      <c r="I1435" s="355"/>
      <c r="J1435" s="355"/>
    </row>
    <row r="1436" spans="1:10" s="356" customFormat="1">
      <c r="A1436" s="348"/>
      <c r="B1436" s="349" t="s">
        <v>2428</v>
      </c>
      <c r="C1436" s="350"/>
      <c r="D1436" s="351" t="s">
        <v>2429</v>
      </c>
      <c r="E1436" s="500">
        <v>1770.7602339181287</v>
      </c>
      <c r="F1436" s="310" t="s">
        <v>236</v>
      </c>
      <c r="G1436" s="353"/>
      <c r="H1436" s="354"/>
      <c r="I1436" s="355"/>
      <c r="J1436" s="355"/>
    </row>
    <row r="1437" spans="1:10" s="356" customFormat="1">
      <c r="A1437" s="348"/>
      <c r="B1437" s="349" t="s">
        <v>2430</v>
      </c>
      <c r="C1437" s="350"/>
      <c r="D1437" s="351" t="s">
        <v>2431</v>
      </c>
      <c r="E1437" s="500">
        <v>1730.9941520467837</v>
      </c>
      <c r="F1437" s="310" t="s">
        <v>236</v>
      </c>
      <c r="G1437" s="353"/>
      <c r="H1437" s="354"/>
      <c r="I1437" s="355"/>
      <c r="J1437" s="355"/>
    </row>
    <row r="1438" spans="1:10" s="356" customFormat="1">
      <c r="A1438" s="348"/>
      <c r="B1438" s="349" t="s">
        <v>2432</v>
      </c>
      <c r="C1438" s="350"/>
      <c r="D1438" s="351" t="s">
        <v>2433</v>
      </c>
      <c r="E1438" s="500">
        <v>1745.0292397660819</v>
      </c>
      <c r="F1438" s="310" t="s">
        <v>236</v>
      </c>
      <c r="G1438" s="353"/>
      <c r="H1438" s="354"/>
      <c r="I1438" s="355"/>
      <c r="J1438" s="355"/>
    </row>
    <row r="1439" spans="1:10" s="356" customFormat="1">
      <c r="A1439" s="348"/>
      <c r="B1439" s="349" t="s">
        <v>2434</v>
      </c>
      <c r="C1439" s="350"/>
      <c r="D1439" s="351" t="s">
        <v>2435</v>
      </c>
      <c r="E1439" s="500">
        <v>1763.7426900584796</v>
      </c>
      <c r="F1439" s="310" t="s">
        <v>236</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2436</v>
      </c>
      <c r="D1441" s="345"/>
      <c r="E1441" s="345"/>
      <c r="F1441" s="364"/>
    </row>
    <row r="1442" spans="1:10" s="356" customFormat="1">
      <c r="A1442" s="502"/>
      <c r="B1442" s="503" t="s">
        <v>2437</v>
      </c>
      <c r="C1442" s="504" t="s">
        <v>2438</v>
      </c>
      <c r="D1442" s="505" t="s">
        <v>2439</v>
      </c>
      <c r="E1442" s="496">
        <v>802.42105263157919</v>
      </c>
      <c r="F1442" s="310" t="s">
        <v>236</v>
      </c>
      <c r="G1442" s="353"/>
      <c r="H1442" s="263"/>
      <c r="I1442" s="355"/>
      <c r="J1442" s="355"/>
    </row>
    <row r="1443" spans="1:10" s="356" customFormat="1">
      <c r="A1443" s="506"/>
      <c r="B1443" s="507" t="s">
        <v>2440</v>
      </c>
      <c r="C1443" s="508"/>
      <c r="D1443" s="509" t="s">
        <v>2441</v>
      </c>
      <c r="E1443" s="496">
        <v>837.54385964912285</v>
      </c>
      <c r="F1443" s="310" t="s">
        <v>236</v>
      </c>
      <c r="G1443" s="353"/>
      <c r="H1443" s="263"/>
      <c r="I1443" s="355"/>
      <c r="J1443" s="355"/>
    </row>
    <row r="1444" spans="1:10" s="356" customFormat="1">
      <c r="A1444" s="506"/>
      <c r="B1444" s="507" t="s">
        <v>2442</v>
      </c>
      <c r="C1444" s="508"/>
      <c r="D1444" s="509" t="s">
        <v>2443</v>
      </c>
      <c r="E1444" s="496">
        <v>1045.5789473684213</v>
      </c>
      <c r="F1444" s="310" t="s">
        <v>236</v>
      </c>
      <c r="G1444" s="353"/>
      <c r="H1444" s="263"/>
      <c r="I1444" s="355"/>
      <c r="J1444" s="355"/>
    </row>
    <row r="1445" spans="1:10" s="511" customFormat="1">
      <c r="A1445" s="510"/>
      <c r="B1445" s="507" t="s">
        <v>2444</v>
      </c>
      <c r="C1445" s="508"/>
      <c r="D1445" s="509" t="s">
        <v>2445</v>
      </c>
      <c r="E1445" s="496">
        <v>1072.5964912280704</v>
      </c>
      <c r="F1445" s="310" t="s">
        <v>236</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2446</v>
      </c>
      <c r="D1451" s="302"/>
      <c r="E1451" s="345"/>
      <c r="F1451" s="521"/>
    </row>
    <row r="1452" spans="1:10" s="356" customFormat="1">
      <c r="A1452" s="502"/>
      <c r="B1452" s="522" t="s">
        <v>2447</v>
      </c>
      <c r="C1452" s="523" t="s">
        <v>2448</v>
      </c>
      <c r="D1452" s="509" t="s">
        <v>2449</v>
      </c>
      <c r="E1452" s="496">
        <v>1786.5621052631584</v>
      </c>
      <c r="F1452" s="310" t="s">
        <v>236</v>
      </c>
      <c r="G1452" s="353"/>
      <c r="H1452" s="263"/>
      <c r="I1452" s="355"/>
      <c r="J1452" s="355"/>
    </row>
    <row r="1453" spans="1:10" s="356" customFormat="1">
      <c r="A1453" s="506"/>
      <c r="B1453" s="524" t="s">
        <v>2450</v>
      </c>
      <c r="C1453" s="508" t="s">
        <v>2451</v>
      </c>
      <c r="D1453" s="509" t="s">
        <v>2452</v>
      </c>
      <c r="E1453" s="496">
        <v>2061.1954385964914</v>
      </c>
      <c r="F1453" s="310" t="s">
        <v>236</v>
      </c>
      <c r="G1453" s="353"/>
      <c r="H1453" s="263"/>
      <c r="I1453" s="355"/>
      <c r="J1453" s="355"/>
    </row>
    <row r="1454" spans="1:10" s="356" customFormat="1">
      <c r="A1454" s="506"/>
      <c r="B1454" s="524" t="s">
        <v>2453</v>
      </c>
      <c r="C1454" s="508"/>
      <c r="D1454" s="509" t="s">
        <v>2454</v>
      </c>
      <c r="E1454" s="496">
        <v>2335.8287719298246</v>
      </c>
      <c r="F1454" s="310" t="s">
        <v>236</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2455</v>
      </c>
      <c r="D1461" s="345"/>
      <c r="E1461" s="345"/>
      <c r="F1461" s="364"/>
    </row>
    <row r="1462" spans="1:10" s="356" customFormat="1">
      <c r="A1462" s="502"/>
      <c r="B1462" s="503" t="s">
        <v>2456</v>
      </c>
      <c r="C1462" s="504" t="s">
        <v>2457</v>
      </c>
      <c r="D1462" s="505" t="s">
        <v>2439</v>
      </c>
      <c r="E1462" s="496">
        <v>1000.9356725146199</v>
      </c>
      <c r="F1462" s="310" t="s">
        <v>1821</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2455</v>
      </c>
      <c r="D1471" s="345"/>
      <c r="E1471" s="345"/>
      <c r="F1471" s="345"/>
    </row>
    <row r="1472" spans="1:10" s="356" customFormat="1">
      <c r="A1472" s="502"/>
      <c r="B1472" s="503" t="s">
        <v>2456</v>
      </c>
      <c r="C1472" s="504" t="s">
        <v>2457</v>
      </c>
      <c r="D1472" s="505" t="s">
        <v>2439</v>
      </c>
      <c r="E1472" s="496">
        <v>2637.4269005847955</v>
      </c>
      <c r="F1472" s="310" t="s">
        <v>1821</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2458</v>
      </c>
      <c r="D1481" s="345"/>
      <c r="E1481" s="345"/>
      <c r="F1481" s="521"/>
    </row>
    <row r="1482" spans="1:10" s="356" customFormat="1">
      <c r="A1482" s="502"/>
      <c r="B1482" s="503" t="s">
        <v>2459</v>
      </c>
      <c r="C1482" s="526" t="s">
        <v>2460</v>
      </c>
      <c r="D1482" s="505" t="s">
        <v>2461</v>
      </c>
      <c r="E1482" s="496">
        <v>17968.115789473686</v>
      </c>
      <c r="F1482" s="310" t="s">
        <v>236</v>
      </c>
      <c r="G1482" s="353"/>
      <c r="H1482" s="263"/>
      <c r="I1482" s="355"/>
      <c r="J1482" s="355"/>
    </row>
    <row r="1483" spans="1:10" s="356" customFormat="1">
      <c r="A1483" s="506"/>
      <c r="B1483" s="525"/>
      <c r="C1483" s="526" t="s">
        <v>2462</v>
      </c>
      <c r="D1483" s="509"/>
      <c r="E1483" s="496"/>
      <c r="F1483" s="498"/>
      <c r="G1483" s="353"/>
      <c r="H1483" s="355"/>
      <c r="I1483" s="355"/>
      <c r="J1483" s="355"/>
    </row>
    <row r="1484" spans="1:10" s="356" customFormat="1">
      <c r="A1484" s="506"/>
      <c r="B1484" s="525"/>
      <c r="C1484" s="526" t="s">
        <v>2463</v>
      </c>
      <c r="D1484" s="509"/>
      <c r="E1484" s="496"/>
      <c r="F1484" s="498"/>
      <c r="G1484" s="353"/>
      <c r="H1484" s="355"/>
      <c r="I1484" s="355"/>
      <c r="J1484" s="355"/>
    </row>
    <row r="1485" spans="1:10" s="511" customFormat="1">
      <c r="A1485" s="510"/>
      <c r="B1485" s="525"/>
      <c r="C1485" s="526" t="s">
        <v>2464</v>
      </c>
      <c r="D1485" s="509"/>
      <c r="E1485" s="496"/>
      <c r="F1485" s="498"/>
      <c r="G1485" s="353"/>
      <c r="H1485" s="355"/>
      <c r="I1485" s="355"/>
      <c r="J1485" s="355"/>
    </row>
    <row r="1486" spans="1:10" s="356" customFormat="1">
      <c r="A1486" s="506"/>
      <c r="B1486" s="512"/>
      <c r="C1486" s="526" t="s">
        <v>2465</v>
      </c>
      <c r="D1486" s="348"/>
      <c r="E1486" s="496"/>
      <c r="F1486" s="498"/>
      <c r="G1486" s="353"/>
      <c r="H1486" s="355"/>
      <c r="I1486" s="355"/>
      <c r="J1486" s="355"/>
    </row>
    <row r="1487" spans="1:10" s="356" customFormat="1">
      <c r="A1487" s="506"/>
      <c r="B1487" s="512"/>
      <c r="C1487" s="526" t="s">
        <v>2466</v>
      </c>
      <c r="D1487" s="348"/>
      <c r="E1487" s="496"/>
      <c r="F1487" s="498"/>
      <c r="G1487" s="353"/>
      <c r="H1487" s="355"/>
      <c r="I1487" s="355"/>
      <c r="J1487" s="355"/>
    </row>
    <row r="1488" spans="1:10" s="356" customFormat="1">
      <c r="A1488" s="506"/>
      <c r="B1488" s="512"/>
      <c r="C1488" s="526" t="s">
        <v>2467</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2458</v>
      </c>
      <c r="D1494" s="345"/>
      <c r="E1494" s="345"/>
      <c r="F1494" s="521"/>
    </row>
    <row r="1495" spans="1:10" s="356" customFormat="1">
      <c r="A1495" s="502"/>
      <c r="B1495" s="503" t="s">
        <v>2468</v>
      </c>
      <c r="C1495" s="526" t="s">
        <v>2469</v>
      </c>
      <c r="D1495" s="505" t="s">
        <v>2470</v>
      </c>
      <c r="E1495" s="496">
        <v>19342.596491228072</v>
      </c>
      <c r="F1495" s="310" t="s">
        <v>236</v>
      </c>
      <c r="G1495" s="353"/>
      <c r="H1495" s="263"/>
      <c r="I1495" s="527"/>
      <c r="J1495" s="355"/>
    </row>
    <row r="1496" spans="1:10" s="356" customFormat="1">
      <c r="A1496" s="506"/>
      <c r="B1496" s="507" t="s">
        <v>2471</v>
      </c>
      <c r="C1496" s="526" t="s">
        <v>2462</v>
      </c>
      <c r="D1496" s="509" t="s">
        <v>2472</v>
      </c>
      <c r="E1496" s="496">
        <v>20853.736842105271</v>
      </c>
      <c r="F1496" s="310" t="s">
        <v>236</v>
      </c>
      <c r="G1496" s="353"/>
      <c r="H1496" s="263"/>
      <c r="I1496" s="527"/>
      <c r="J1496" s="355"/>
    </row>
    <row r="1497" spans="1:10" s="356" customFormat="1">
      <c r="A1497" s="506"/>
      <c r="B1497" s="525"/>
      <c r="C1497" s="526" t="s">
        <v>2463</v>
      </c>
      <c r="D1497" s="509"/>
      <c r="E1497" s="496"/>
      <c r="F1497" s="498"/>
      <c r="G1497" s="353"/>
      <c r="H1497" s="515"/>
      <c r="I1497" s="527"/>
      <c r="J1497" s="355"/>
    </row>
    <row r="1498" spans="1:10" s="511" customFormat="1">
      <c r="A1498" s="510"/>
      <c r="B1498" s="525"/>
      <c r="C1498" s="526" t="s">
        <v>2473</v>
      </c>
      <c r="D1498" s="509"/>
      <c r="E1498" s="496"/>
      <c r="F1498" s="498"/>
      <c r="G1498" s="353"/>
      <c r="H1498" s="515"/>
      <c r="I1498" s="527"/>
      <c r="J1498" s="355"/>
    </row>
    <row r="1499" spans="1:10" s="356" customFormat="1">
      <c r="A1499" s="506"/>
      <c r="B1499" s="512"/>
      <c r="C1499" s="526" t="s">
        <v>2466</v>
      </c>
      <c r="D1499" s="348"/>
      <c r="E1499" s="496"/>
      <c r="F1499" s="498"/>
      <c r="G1499" s="353"/>
      <c r="H1499" s="515"/>
      <c r="I1499" s="527"/>
      <c r="J1499" s="355"/>
    </row>
    <row r="1500" spans="1:10" s="356" customFormat="1">
      <c r="A1500" s="506"/>
      <c r="B1500" s="512"/>
      <c r="C1500" s="526" t="s">
        <v>2467</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2474</v>
      </c>
      <c r="D1507" s="345"/>
      <c r="E1507" s="345"/>
      <c r="F1507" s="345"/>
    </row>
    <row r="1508" spans="1:60" s="356" customFormat="1">
      <c r="A1508" s="502"/>
      <c r="B1508" s="530" t="s">
        <v>2475</v>
      </c>
      <c r="C1508" s="531" t="s">
        <v>2476</v>
      </c>
      <c r="D1508" s="505" t="s">
        <v>2439</v>
      </c>
      <c r="E1508" s="496">
        <v>2691.5122807017542</v>
      </c>
      <c r="F1508" s="310" t="s">
        <v>236</v>
      </c>
      <c r="G1508" s="353"/>
      <c r="H1508" s="263"/>
      <c r="I1508" s="355"/>
      <c r="J1508" s="355"/>
    </row>
    <row r="1509" spans="1:60" s="356" customFormat="1">
      <c r="A1509" s="506"/>
      <c r="B1509" s="532"/>
      <c r="C1509" s="533" t="s">
        <v>2477</v>
      </c>
      <c r="D1509" s="509"/>
      <c r="E1509" s="534"/>
      <c r="F1509" s="535"/>
      <c r="G1509" s="353"/>
      <c r="H1509" s="355"/>
      <c r="I1509" s="355"/>
      <c r="J1509" s="355"/>
    </row>
    <row r="1510" spans="1:60" s="356" customFormat="1">
      <c r="A1510" s="506"/>
      <c r="B1510" s="532"/>
      <c r="C1510" s="533" t="s">
        <v>2478</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1905</v>
      </c>
      <c r="B1516" s="326"/>
      <c r="C1516" s="1526" t="s">
        <v>2479</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1562</v>
      </c>
      <c r="B1517" s="331"/>
      <c r="C1517" s="1527"/>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405</v>
      </c>
      <c r="B1518" s="293" t="s">
        <v>406</v>
      </c>
      <c r="C1518" s="294" t="s">
        <v>407</v>
      </c>
      <c r="D1518" s="292" t="s">
        <v>408</v>
      </c>
      <c r="E1518" s="295" t="s">
        <v>409</v>
      </c>
      <c r="F1518" s="296" t="s">
        <v>1563</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2480</v>
      </c>
      <c r="D1519" s="410"/>
      <c r="E1519" s="543"/>
      <c r="F1519" s="342"/>
    </row>
    <row r="1520" spans="1:60" ht="14.25" customHeight="1">
      <c r="A1520" s="305"/>
      <c r="B1520" s="306" t="s">
        <v>2481</v>
      </c>
      <c r="C1520" s="388" t="s">
        <v>2482</v>
      </c>
      <c r="D1520" s="319" t="s">
        <v>1685</v>
      </c>
      <c r="E1520" s="544">
        <v>10400</v>
      </c>
      <c r="F1520" s="310" t="s">
        <v>236</v>
      </c>
    </row>
    <row r="1521" spans="1:6" ht="14.25" customHeight="1">
      <c r="A1521" s="305"/>
      <c r="B1521" s="314"/>
      <c r="C1521" s="388" t="s">
        <v>2483</v>
      </c>
      <c r="D1521" s="319"/>
      <c r="E1521" s="545"/>
      <c r="F1521" s="321"/>
    </row>
    <row r="1522" spans="1:6" ht="14.25" customHeight="1">
      <c r="A1522" s="305"/>
      <c r="B1522" s="314"/>
      <c r="C1522" s="388" t="s">
        <v>2484</v>
      </c>
      <c r="D1522" s="319"/>
      <c r="E1522" s="545"/>
      <c r="F1522" s="321"/>
    </row>
    <row r="1523" spans="1:6" ht="14.25" customHeight="1">
      <c r="A1523" s="546"/>
      <c r="B1523" s="314"/>
      <c r="C1523" s="547" t="s">
        <v>2485</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1564</v>
      </c>
      <c r="D1530" s="410"/>
      <c r="E1530" s="422"/>
      <c r="F1530" s="549"/>
    </row>
    <row r="1531" spans="1:6" ht="14.25" customHeight="1">
      <c r="A1531" s="393"/>
      <c r="B1531" s="322" t="s">
        <v>2486</v>
      </c>
      <c r="C1531" s="388" t="s">
        <v>2487</v>
      </c>
      <c r="D1531" s="398" t="s">
        <v>2488</v>
      </c>
      <c r="E1531" s="453">
        <v>11578.947368421053</v>
      </c>
      <c r="F1531" s="310" t="s">
        <v>1821</v>
      </c>
    </row>
    <row r="1532" spans="1:6" ht="14.25" customHeight="1">
      <c r="A1532" s="395"/>
      <c r="B1532" s="312" t="s">
        <v>2489</v>
      </c>
      <c r="C1532" s="388" t="s">
        <v>2490</v>
      </c>
      <c r="D1532" s="319" t="s">
        <v>2491</v>
      </c>
      <c r="E1532" s="453">
        <v>11578.947368421053</v>
      </c>
      <c r="F1532" s="310" t="s">
        <v>1821</v>
      </c>
    </row>
    <row r="1533" spans="1:6" ht="14.25" customHeight="1">
      <c r="A1533" s="395"/>
      <c r="B1533" s="312" t="s">
        <v>2492</v>
      </c>
      <c r="C1533" s="388" t="s">
        <v>1568</v>
      </c>
      <c r="D1533" s="319" t="s">
        <v>2493</v>
      </c>
      <c r="E1533" s="453">
        <v>13380.116959064328</v>
      </c>
      <c r="F1533" s="310" t="s">
        <v>1821</v>
      </c>
    </row>
    <row r="1534" spans="1:6" ht="14.25" customHeight="1">
      <c r="A1534" s="395"/>
      <c r="B1534" s="312" t="s">
        <v>2494</v>
      </c>
      <c r="C1534" s="547" t="s">
        <v>2485</v>
      </c>
      <c r="D1534" s="319" t="s">
        <v>2495</v>
      </c>
      <c r="E1534" s="453">
        <v>13380.116959064328</v>
      </c>
      <c r="F1534" s="310" t="s">
        <v>1821</v>
      </c>
    </row>
    <row r="1535" spans="1:6" ht="14.25" customHeight="1">
      <c r="A1535" s="395"/>
      <c r="B1535" s="312" t="s">
        <v>2496</v>
      </c>
      <c r="C1535" s="337"/>
      <c r="D1535" s="319" t="s">
        <v>2497</v>
      </c>
      <c r="E1535" s="453">
        <v>13380.116959064328</v>
      </c>
      <c r="F1535" s="310" t="s">
        <v>1821</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1905</v>
      </c>
      <c r="B1541" s="326"/>
      <c r="C1541" s="1526" t="s">
        <v>2498</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1562</v>
      </c>
      <c r="B1542" s="331"/>
      <c r="C1542" s="1527"/>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405</v>
      </c>
      <c r="B1543" s="293" t="s">
        <v>406</v>
      </c>
      <c r="C1543" s="294" t="s">
        <v>407</v>
      </c>
      <c r="D1543" s="292" t="s">
        <v>408</v>
      </c>
      <c r="E1543" s="295" t="s">
        <v>409</v>
      </c>
      <c r="F1543" s="296" t="s">
        <v>1563</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2499</v>
      </c>
      <c r="D1544" s="410"/>
      <c r="E1544" s="543"/>
      <c r="F1544" s="342"/>
    </row>
    <row r="1545" spans="1:60" ht="14.25" customHeight="1">
      <c r="A1545" s="305"/>
      <c r="B1545" s="306" t="s">
        <v>2500</v>
      </c>
      <c r="C1545" s="1538" t="s">
        <v>2501</v>
      </c>
      <c r="D1545" s="319" t="s">
        <v>2502</v>
      </c>
      <c r="E1545" s="453">
        <v>3006.5122807017547</v>
      </c>
      <c r="F1545" s="310" t="s">
        <v>236</v>
      </c>
    </row>
    <row r="1546" spans="1:60" ht="14.25" customHeight="1">
      <c r="A1546" s="305"/>
      <c r="B1546" s="314"/>
      <c r="C1546" s="1538"/>
      <c r="D1546" s="319"/>
      <c r="E1546" s="453"/>
      <c r="F1546" s="377"/>
    </row>
    <row r="1547" spans="1:60" ht="14.25" customHeight="1">
      <c r="A1547" s="305"/>
      <c r="B1547" s="314"/>
      <c r="C1547" s="1538"/>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2503</v>
      </c>
      <c r="D1555" s="340"/>
      <c r="E1555" s="410"/>
      <c r="F1555" s="342"/>
    </row>
    <row r="1556" spans="1:9" ht="14.25" customHeight="1">
      <c r="A1556" s="305"/>
      <c r="B1556" s="306" t="s">
        <v>2504</v>
      </c>
      <c r="C1556" s="388" t="s">
        <v>2505</v>
      </c>
      <c r="D1556" s="319" t="s">
        <v>2506</v>
      </c>
      <c r="E1556" s="453">
        <v>4578.7974209026843</v>
      </c>
      <c r="F1556" s="310" t="s">
        <v>236</v>
      </c>
      <c r="I1556" s="552"/>
    </row>
    <row r="1557" spans="1:9" ht="14.25" customHeight="1">
      <c r="A1557" s="305"/>
      <c r="B1557" s="314" t="s">
        <v>2507</v>
      </c>
      <c r="C1557" s="388" t="s">
        <v>2508</v>
      </c>
      <c r="D1557" s="319" t="s">
        <v>2509</v>
      </c>
      <c r="E1557" s="453">
        <v>5140.9206777627833</v>
      </c>
      <c r="F1557" s="310" t="s">
        <v>236</v>
      </c>
      <c r="I1557" s="552"/>
    </row>
    <row r="1558" spans="1:9" ht="14.25" customHeight="1">
      <c r="A1558" s="305"/>
      <c r="B1558" s="314" t="s">
        <v>2510</v>
      </c>
      <c r="C1558" s="388" t="s">
        <v>2511</v>
      </c>
      <c r="D1558" s="319" t="s">
        <v>2512</v>
      </c>
      <c r="E1558" s="453">
        <v>6201.8293597240972</v>
      </c>
      <c r="F1558" s="310" t="s">
        <v>236</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2513</v>
      </c>
      <c r="D1568" s="340"/>
      <c r="E1568" s="410"/>
      <c r="F1568" s="342"/>
    </row>
    <row r="1569" spans="1:8" ht="14.25" customHeight="1">
      <c r="A1569" s="305"/>
      <c r="B1569" s="306" t="s">
        <v>2514</v>
      </c>
      <c r="C1569" s="388" t="s">
        <v>2515</v>
      </c>
      <c r="D1569" s="319" t="s">
        <v>2516</v>
      </c>
      <c r="E1569" s="453">
        <v>4863.1578947368425</v>
      </c>
      <c r="F1569" s="310" t="s">
        <v>1821</v>
      </c>
    </row>
    <row r="1570" spans="1:8" ht="14.25" customHeight="1">
      <c r="A1570" s="305"/>
      <c r="B1570" s="314"/>
      <c r="C1570" s="388" t="s">
        <v>2508</v>
      </c>
      <c r="D1570" s="319"/>
      <c r="E1570" s="453"/>
      <c r="F1570" s="321"/>
    </row>
    <row r="1571" spans="1:8" ht="14.25" customHeight="1">
      <c r="A1571" s="305"/>
      <c r="B1571" s="314"/>
      <c r="C1571" s="388" t="s">
        <v>2511</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2517</v>
      </c>
      <c r="D1579" s="340"/>
      <c r="E1579" s="410"/>
      <c r="F1579" s="342"/>
    </row>
    <row r="1580" spans="1:8" ht="14.25" customHeight="1">
      <c r="A1580" s="305"/>
      <c r="B1580" s="306" t="s">
        <v>2518</v>
      </c>
      <c r="C1580" s="486" t="s">
        <v>2519</v>
      </c>
      <c r="D1580" s="319" t="s">
        <v>2520</v>
      </c>
      <c r="E1580" s="453">
        <v>4334.6725597523227</v>
      </c>
      <c r="F1580" s="310" t="s">
        <v>1821</v>
      </c>
      <c r="H1580" s="554"/>
    </row>
    <row r="1581" spans="1:8" ht="14.25" customHeight="1">
      <c r="A1581" s="305"/>
      <c r="B1581" s="314"/>
      <c r="C1581" s="388" t="s">
        <v>2521</v>
      </c>
      <c r="D1581" s="319"/>
      <c r="E1581" s="453"/>
      <c r="F1581" s="321"/>
    </row>
    <row r="1582" spans="1:8" ht="14.25" customHeight="1">
      <c r="A1582" s="305"/>
      <c r="B1582" s="314"/>
      <c r="C1582" s="388" t="s">
        <v>2522</v>
      </c>
      <c r="D1582" s="319"/>
      <c r="E1582" s="453"/>
      <c r="F1582" s="321"/>
    </row>
    <row r="1583" spans="1:8" ht="14.25" customHeight="1">
      <c r="A1583" s="305"/>
      <c r="B1583" s="314"/>
      <c r="C1583" s="385" t="s">
        <v>2523</v>
      </c>
      <c r="D1583" s="319"/>
      <c r="E1583" s="453"/>
      <c r="F1583" s="321"/>
    </row>
    <row r="1584" spans="1:8" ht="14.25" customHeight="1">
      <c r="A1584" s="305"/>
      <c r="B1584" s="314"/>
      <c r="C1584" s="385" t="s">
        <v>2524</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2517</v>
      </c>
      <c r="D1588" s="340"/>
      <c r="E1588" s="410"/>
      <c r="F1588" s="342"/>
    </row>
    <row r="1589" spans="1:8" ht="14.25" customHeight="1">
      <c r="A1589" s="305"/>
      <c r="B1589" s="306" t="s">
        <v>2525</v>
      </c>
      <c r="C1589" s="486" t="s">
        <v>2526</v>
      </c>
      <c r="D1589" s="319" t="s">
        <v>2527</v>
      </c>
      <c r="E1589" s="453">
        <v>5475.7778229102169</v>
      </c>
      <c r="F1589" s="310" t="s">
        <v>1821</v>
      </c>
    </row>
    <row r="1590" spans="1:8" ht="14.25" customHeight="1">
      <c r="A1590" s="305"/>
      <c r="B1590" s="314"/>
      <c r="C1590" s="388" t="s">
        <v>2528</v>
      </c>
      <c r="D1590" s="319"/>
      <c r="E1590" s="453"/>
      <c r="F1590" s="321"/>
    </row>
    <row r="1591" spans="1:8" ht="14.25" customHeight="1">
      <c r="A1591" s="305"/>
      <c r="B1591" s="314"/>
      <c r="C1591" s="388" t="s">
        <v>2522</v>
      </c>
      <c r="D1591" s="319"/>
      <c r="E1591" s="453"/>
      <c r="F1591" s="321"/>
    </row>
    <row r="1592" spans="1:8" ht="14.25" customHeight="1">
      <c r="A1592" s="305"/>
      <c r="B1592" s="314"/>
      <c r="C1592" s="385" t="s">
        <v>2529</v>
      </c>
      <c r="D1592" s="319"/>
      <c r="E1592" s="453"/>
      <c r="F1592" s="321"/>
      <c r="H1592" s="554"/>
    </row>
    <row r="1593" spans="1:8" ht="14.25" customHeight="1">
      <c r="A1593" s="305"/>
      <c r="B1593" s="314"/>
      <c r="C1593" s="385" t="s">
        <v>2530</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2531</v>
      </c>
      <c r="D1597" s="340"/>
      <c r="E1597" s="410"/>
      <c r="F1597" s="342"/>
    </row>
    <row r="1598" spans="1:8" ht="14.25" customHeight="1">
      <c r="A1598" s="305"/>
      <c r="B1598" s="306" t="s">
        <v>2532</v>
      </c>
      <c r="C1598" s="486" t="s">
        <v>2533</v>
      </c>
      <c r="D1598" s="319" t="s">
        <v>2534</v>
      </c>
      <c r="E1598" s="453">
        <v>4569.9060000000018</v>
      </c>
      <c r="F1598" s="310" t="s">
        <v>1821</v>
      </c>
      <c r="H1598" s="554"/>
    </row>
    <row r="1599" spans="1:8" ht="14.25" customHeight="1">
      <c r="A1599" s="305"/>
      <c r="B1599" s="314"/>
      <c r="C1599" s="388" t="s">
        <v>2528</v>
      </c>
      <c r="D1599" s="319"/>
      <c r="E1599" s="453"/>
      <c r="F1599" s="321"/>
    </row>
    <row r="1600" spans="1:8" ht="14.25" customHeight="1">
      <c r="A1600" s="305"/>
      <c r="B1600" s="314"/>
      <c r="C1600" s="388" t="s">
        <v>2522</v>
      </c>
      <c r="D1600" s="319"/>
      <c r="E1600" s="453"/>
      <c r="F1600" s="321"/>
    </row>
    <row r="1601" spans="1:6" ht="14.25" customHeight="1">
      <c r="A1601" s="305"/>
      <c r="B1601" s="314"/>
      <c r="C1601" s="385" t="s">
        <v>2523</v>
      </c>
      <c r="D1601" s="319"/>
      <c r="E1601" s="453"/>
      <c r="F1601" s="321"/>
    </row>
    <row r="1602" spans="1:6" ht="14.25" customHeight="1">
      <c r="A1602" s="305"/>
      <c r="B1602" s="314"/>
      <c r="C1602" s="385" t="s">
        <v>2524</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2535</v>
      </c>
      <c r="D1608" s="340"/>
      <c r="E1608" s="410"/>
      <c r="F1608" s="342"/>
    </row>
    <row r="1609" spans="1:6" ht="14.25" customHeight="1">
      <c r="A1609" s="305"/>
      <c r="B1609" s="306" t="s">
        <v>2536</v>
      </c>
      <c r="C1609" s="486" t="s">
        <v>2537</v>
      </c>
      <c r="D1609" s="319" t="s">
        <v>2538</v>
      </c>
      <c r="E1609" s="453">
        <v>5711.0112631578959</v>
      </c>
      <c r="F1609" s="310" t="s">
        <v>1821</v>
      </c>
    </row>
    <row r="1610" spans="1:6" ht="14.25" customHeight="1">
      <c r="A1610" s="305"/>
      <c r="B1610" s="314"/>
      <c r="C1610" s="388" t="s">
        <v>2528</v>
      </c>
      <c r="D1610" s="319"/>
      <c r="E1610" s="453"/>
      <c r="F1610" s="321"/>
    </row>
    <row r="1611" spans="1:6" ht="14.25" customHeight="1">
      <c r="A1611" s="305"/>
      <c r="B1611" s="314"/>
      <c r="C1611" s="388" t="s">
        <v>2522</v>
      </c>
      <c r="D1611" s="319"/>
      <c r="E1611" s="453"/>
      <c r="F1611" s="321"/>
    </row>
    <row r="1612" spans="1:6" ht="14.25" customHeight="1">
      <c r="A1612" s="305"/>
      <c r="B1612" s="314"/>
      <c r="C1612" s="385" t="s">
        <v>2529</v>
      </c>
      <c r="D1612" s="319"/>
      <c r="E1612" s="453"/>
      <c r="F1612" s="321"/>
    </row>
    <row r="1613" spans="1:6" ht="14.25" customHeight="1">
      <c r="A1613" s="305"/>
      <c r="B1613" s="314"/>
      <c r="C1613" s="385" t="s">
        <v>2530</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2535</v>
      </c>
      <c r="D1619" s="340"/>
      <c r="E1619" s="410"/>
      <c r="F1619" s="410"/>
    </row>
    <row r="1620" spans="1:9" ht="14.25" customHeight="1">
      <c r="A1620" s="305"/>
      <c r="B1620" s="306" t="s">
        <v>2539</v>
      </c>
      <c r="C1620" s="486" t="s">
        <v>2540</v>
      </c>
      <c r="D1620" s="319" t="s">
        <v>2541</v>
      </c>
      <c r="E1620" s="453">
        <v>6913.3089473684222</v>
      </c>
      <c r="F1620" s="310" t="s">
        <v>1821</v>
      </c>
      <c r="I1620" s="554"/>
    </row>
    <row r="1621" spans="1:9" ht="14.25" customHeight="1">
      <c r="A1621" s="305"/>
      <c r="B1621" s="314"/>
      <c r="C1621" s="388" t="s">
        <v>2528</v>
      </c>
      <c r="D1621" s="319"/>
      <c r="E1621" s="453"/>
      <c r="F1621" s="321"/>
    </row>
    <row r="1622" spans="1:9" ht="14.25" customHeight="1">
      <c r="A1622" s="305"/>
      <c r="B1622" s="314"/>
      <c r="C1622" s="388" t="s">
        <v>2522</v>
      </c>
      <c r="D1622" s="319"/>
      <c r="E1622" s="453"/>
      <c r="F1622" s="321"/>
    </row>
    <row r="1623" spans="1:9" ht="14.25" customHeight="1">
      <c r="A1623" s="305"/>
      <c r="B1623" s="314"/>
      <c r="C1623" s="385" t="s">
        <v>2542</v>
      </c>
      <c r="D1623" s="319"/>
      <c r="E1623" s="453"/>
      <c r="F1623" s="321"/>
    </row>
    <row r="1624" spans="1:9" ht="14.25" customHeight="1">
      <c r="A1624" s="305"/>
      <c r="B1624" s="314"/>
      <c r="C1624" s="385" t="s">
        <v>2543</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2544</v>
      </c>
      <c r="D1631" s="340"/>
      <c r="E1631" s="410"/>
      <c r="F1631" s="342"/>
    </row>
    <row r="1632" spans="1:9" ht="14.25" customHeight="1">
      <c r="A1632" s="305"/>
      <c r="B1632" s="306" t="s">
        <v>2545</v>
      </c>
      <c r="C1632" s="486" t="s">
        <v>2546</v>
      </c>
      <c r="D1632" s="319" t="s">
        <v>2547</v>
      </c>
      <c r="E1632" s="453">
        <v>5981.2291578947388</v>
      </c>
      <c r="F1632" s="310" t="s">
        <v>1821</v>
      </c>
      <c r="I1632" s="554"/>
    </row>
    <row r="1633" spans="1:9" ht="14.25" customHeight="1">
      <c r="A1633" s="305"/>
      <c r="B1633" s="306"/>
      <c r="C1633" s="388" t="s">
        <v>2528</v>
      </c>
      <c r="D1633" s="319"/>
      <c r="E1633" s="453"/>
      <c r="F1633" s="321"/>
    </row>
    <row r="1634" spans="1:9" ht="14.25" customHeight="1">
      <c r="A1634" s="305"/>
      <c r="B1634" s="314"/>
      <c r="C1634" s="388" t="s">
        <v>2522</v>
      </c>
      <c r="D1634" s="319"/>
      <c r="E1634" s="453"/>
      <c r="F1634" s="321"/>
    </row>
    <row r="1635" spans="1:9" ht="14.25" customHeight="1">
      <c r="A1635" s="305"/>
      <c r="B1635" s="314"/>
      <c r="C1635" s="385" t="s">
        <v>2529</v>
      </c>
      <c r="D1635" s="319"/>
      <c r="E1635" s="453"/>
      <c r="F1635" s="321"/>
    </row>
    <row r="1636" spans="1:9" ht="14.25" customHeight="1">
      <c r="A1636" s="305"/>
      <c r="B1636" s="314"/>
      <c r="C1636" s="385" t="s">
        <v>2530</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2548</v>
      </c>
      <c r="D1643" s="340"/>
      <c r="E1643" s="410"/>
      <c r="F1643" s="410"/>
    </row>
    <row r="1644" spans="1:9" ht="14.25" customHeight="1">
      <c r="A1644" s="305"/>
      <c r="B1644" s="556" t="s">
        <v>2549</v>
      </c>
      <c r="C1644" s="486" t="s">
        <v>2550</v>
      </c>
      <c r="D1644" s="319" t="s">
        <v>2520</v>
      </c>
      <c r="E1644" s="453">
        <v>3955.2926769230771</v>
      </c>
      <c r="F1644" s="310" t="s">
        <v>1821</v>
      </c>
    </row>
    <row r="1645" spans="1:9" ht="14.25" customHeight="1">
      <c r="A1645" s="305"/>
      <c r="B1645" s="387"/>
      <c r="C1645" s="388" t="s">
        <v>2551</v>
      </c>
      <c r="D1645" s="319"/>
      <c r="E1645" s="453"/>
      <c r="F1645" s="321"/>
    </row>
    <row r="1646" spans="1:9" ht="14.25" customHeight="1">
      <c r="A1646" s="305"/>
      <c r="B1646" s="387"/>
      <c r="C1646" s="388" t="s">
        <v>2522</v>
      </c>
      <c r="D1646" s="319"/>
      <c r="E1646" s="453"/>
      <c r="F1646" s="321"/>
    </row>
    <row r="1647" spans="1:9" ht="14.25" customHeight="1">
      <c r="A1647" s="305"/>
      <c r="B1647" s="387"/>
      <c r="C1647" s="385" t="s">
        <v>2523</v>
      </c>
      <c r="D1647" s="319"/>
      <c r="E1647" s="453"/>
      <c r="F1647" s="321"/>
    </row>
    <row r="1648" spans="1:9" ht="14.25" customHeight="1">
      <c r="A1648" s="305"/>
      <c r="B1648" s="387"/>
      <c r="C1648" s="385" t="s">
        <v>2524</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2548</v>
      </c>
      <c r="D1653" s="340"/>
      <c r="E1653" s="410"/>
      <c r="F1653" s="342"/>
    </row>
    <row r="1654" spans="1:7" ht="14.25" customHeight="1">
      <c r="A1654" s="305"/>
      <c r="B1654" s="556" t="s">
        <v>2552</v>
      </c>
      <c r="C1654" s="486" t="s">
        <v>2550</v>
      </c>
      <c r="D1654" s="319" t="s">
        <v>2527</v>
      </c>
      <c r="E1654" s="453">
        <v>5494.9664544891657</v>
      </c>
      <c r="F1654" s="310" t="s">
        <v>1821</v>
      </c>
    </row>
    <row r="1655" spans="1:7" ht="14.25" customHeight="1">
      <c r="A1655" s="305"/>
      <c r="B1655" s="387"/>
      <c r="C1655" s="388" t="s">
        <v>2553</v>
      </c>
      <c r="D1655" s="319"/>
      <c r="E1655" s="453"/>
      <c r="F1655" s="321"/>
    </row>
    <row r="1656" spans="1:7" ht="14.25" customHeight="1">
      <c r="A1656" s="305"/>
      <c r="B1656" s="387"/>
      <c r="C1656" s="388" t="s">
        <v>2522</v>
      </c>
      <c r="D1656" s="319"/>
      <c r="E1656" s="453"/>
      <c r="F1656" s="321"/>
    </row>
    <row r="1657" spans="1:7" ht="14.25" customHeight="1">
      <c r="A1657" s="305"/>
      <c r="B1657" s="387"/>
      <c r="C1657" s="385" t="s">
        <v>2529</v>
      </c>
      <c r="D1657" s="319"/>
      <c r="E1657" s="453"/>
      <c r="F1657" s="321"/>
    </row>
    <row r="1658" spans="1:7" ht="14.25" customHeight="1">
      <c r="A1658" s="305"/>
      <c r="B1658" s="387"/>
      <c r="C1658" s="385" t="s">
        <v>2530</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2554</v>
      </c>
      <c r="D1662" s="340"/>
      <c r="E1662" s="410"/>
      <c r="F1662" s="342"/>
    </row>
    <row r="1663" spans="1:7" ht="14.25" customHeight="1">
      <c r="A1663" s="305"/>
      <c r="B1663" s="556" t="s">
        <v>2555</v>
      </c>
      <c r="C1663" s="486" t="s">
        <v>2556</v>
      </c>
      <c r="D1663" s="319" t="s">
        <v>2534</v>
      </c>
      <c r="E1663" s="453">
        <v>4322.8070175438597</v>
      </c>
      <c r="F1663" s="310" t="s">
        <v>1821</v>
      </c>
      <c r="G1663" s="554"/>
    </row>
    <row r="1664" spans="1:7" ht="14.25" customHeight="1">
      <c r="A1664" s="305"/>
      <c r="B1664" s="387"/>
      <c r="C1664" s="388" t="s">
        <v>2557</v>
      </c>
      <c r="D1664" s="319"/>
      <c r="E1664" s="453"/>
      <c r="F1664" s="321"/>
    </row>
    <row r="1665" spans="1:7" ht="14.25" customHeight="1">
      <c r="A1665" s="305"/>
      <c r="B1665" s="387"/>
      <c r="C1665" s="388" t="s">
        <v>2522</v>
      </c>
      <c r="D1665" s="319"/>
      <c r="E1665" s="453"/>
      <c r="F1665" s="321"/>
    </row>
    <row r="1666" spans="1:7" ht="14.25" customHeight="1">
      <c r="A1666" s="305"/>
      <c r="B1666" s="387"/>
      <c r="C1666" s="385" t="s">
        <v>2523</v>
      </c>
      <c r="D1666" s="319"/>
      <c r="E1666" s="453"/>
      <c r="F1666" s="321"/>
    </row>
    <row r="1667" spans="1:7" ht="14.25" customHeight="1">
      <c r="A1667" s="305"/>
      <c r="B1667" s="387"/>
      <c r="C1667" s="385" t="s">
        <v>2524</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2558</v>
      </c>
      <c r="D1674" s="340"/>
      <c r="E1674" s="410"/>
      <c r="F1674" s="410"/>
    </row>
    <row r="1675" spans="1:7" ht="14.25" customHeight="1">
      <c r="A1675" s="305"/>
      <c r="B1675" s="556" t="s">
        <v>2559</v>
      </c>
      <c r="C1675" s="486" t="s">
        <v>2560</v>
      </c>
      <c r="D1675" s="319" t="s">
        <v>2538</v>
      </c>
      <c r="E1675" s="453">
        <v>5730.1998947368438</v>
      </c>
      <c r="F1675" s="310" t="s">
        <v>1821</v>
      </c>
      <c r="G1675" s="554"/>
    </row>
    <row r="1676" spans="1:7" ht="14.25" customHeight="1">
      <c r="A1676" s="305"/>
      <c r="B1676" s="387"/>
      <c r="C1676" s="388" t="s">
        <v>2561</v>
      </c>
      <c r="D1676" s="319"/>
      <c r="E1676" s="453"/>
      <c r="F1676" s="321"/>
    </row>
    <row r="1677" spans="1:7" ht="14.25" customHeight="1">
      <c r="A1677" s="305"/>
      <c r="B1677" s="387"/>
      <c r="C1677" s="388" t="s">
        <v>2522</v>
      </c>
      <c r="D1677" s="319"/>
      <c r="E1677" s="453"/>
      <c r="F1677" s="321"/>
    </row>
    <row r="1678" spans="1:7" ht="14.25" customHeight="1">
      <c r="A1678" s="305"/>
      <c r="B1678" s="387"/>
      <c r="C1678" s="385" t="s">
        <v>2529</v>
      </c>
      <c r="D1678" s="319"/>
      <c r="E1678" s="453"/>
      <c r="F1678" s="321"/>
    </row>
    <row r="1679" spans="1:7" ht="14.25" customHeight="1">
      <c r="A1679" s="305"/>
      <c r="B1679" s="387"/>
      <c r="C1679" s="385" t="s">
        <v>2530</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2562</v>
      </c>
      <c r="D1686" s="340"/>
      <c r="E1686" s="410"/>
      <c r="F1686" s="410"/>
    </row>
    <row r="1687" spans="1:7" ht="14.25" customHeight="1">
      <c r="A1687" s="305"/>
      <c r="B1687" s="556" t="s">
        <v>2563</v>
      </c>
      <c r="C1687" s="486" t="s">
        <v>2564</v>
      </c>
      <c r="D1687" s="319" t="s">
        <v>2541</v>
      </c>
      <c r="E1687" s="453">
        <v>6933.9565263157892</v>
      </c>
      <c r="F1687" s="310" t="s">
        <v>1821</v>
      </c>
    </row>
    <row r="1688" spans="1:7" ht="14.25" customHeight="1">
      <c r="A1688" s="305"/>
      <c r="B1688" s="387"/>
      <c r="C1688" s="388" t="s">
        <v>2565</v>
      </c>
      <c r="D1688" s="319"/>
      <c r="E1688" s="453"/>
      <c r="F1688" s="321"/>
    </row>
    <row r="1689" spans="1:7" ht="14.25" customHeight="1">
      <c r="A1689" s="305"/>
      <c r="B1689" s="387"/>
      <c r="C1689" s="560" t="s">
        <v>2522</v>
      </c>
      <c r="D1689" s="319"/>
      <c r="E1689" s="453"/>
      <c r="F1689" s="321"/>
    </row>
    <row r="1690" spans="1:7" ht="14.25" customHeight="1">
      <c r="A1690" s="305"/>
      <c r="B1690" s="387"/>
      <c r="C1690" s="385" t="s">
        <v>2542</v>
      </c>
      <c r="D1690" s="319"/>
      <c r="E1690" s="453"/>
      <c r="F1690" s="321"/>
    </row>
    <row r="1691" spans="1:7" ht="14.25" customHeight="1">
      <c r="A1691" s="305"/>
      <c r="B1691" s="387"/>
      <c r="C1691" s="385" t="s">
        <v>2543</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2566</v>
      </c>
      <c r="D1697" s="340"/>
      <c r="E1697" s="410"/>
      <c r="F1697" s="342"/>
    </row>
    <row r="1698" spans="1:60" ht="14.25" customHeight="1">
      <c r="A1698" s="305"/>
      <c r="B1698" s="556" t="s">
        <v>2567</v>
      </c>
      <c r="C1698" s="486" t="s">
        <v>2568</v>
      </c>
      <c r="D1698" s="319" t="s">
        <v>2547</v>
      </c>
      <c r="E1698" s="453">
        <v>6000.4177894736868</v>
      </c>
      <c r="F1698" s="310" t="s">
        <v>1821</v>
      </c>
    </row>
    <row r="1699" spans="1:60" ht="14.25" customHeight="1">
      <c r="A1699" s="305"/>
      <c r="B1699" s="387"/>
      <c r="C1699" s="388" t="s">
        <v>2569</v>
      </c>
      <c r="D1699" s="319"/>
      <c r="E1699" s="453"/>
      <c r="F1699" s="321"/>
    </row>
    <row r="1700" spans="1:60" ht="14.25" customHeight="1">
      <c r="A1700" s="305"/>
      <c r="B1700" s="387"/>
      <c r="C1700" s="560" t="s">
        <v>2522</v>
      </c>
      <c r="D1700" s="319"/>
      <c r="E1700" s="453"/>
      <c r="F1700" s="321"/>
    </row>
    <row r="1701" spans="1:60" ht="14.25" customHeight="1">
      <c r="A1701" s="305"/>
      <c r="B1701" s="387"/>
      <c r="C1701" s="385" t="s">
        <v>2529</v>
      </c>
      <c r="D1701" s="319"/>
      <c r="E1701" s="453"/>
      <c r="F1701" s="321"/>
    </row>
    <row r="1702" spans="1:60" ht="14.25" customHeight="1">
      <c r="A1702" s="305"/>
      <c r="B1702" s="387"/>
      <c r="C1702" s="385" t="s">
        <v>2530</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1905</v>
      </c>
      <c r="B1711" s="326"/>
      <c r="C1711" s="1526" t="s">
        <v>2570</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2571</v>
      </c>
      <c r="B1712" s="331"/>
      <c r="C1712" s="1527"/>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405</v>
      </c>
      <c r="B1713" s="293" t="s">
        <v>406</v>
      </c>
      <c r="C1713" s="294" t="s">
        <v>407</v>
      </c>
      <c r="D1713" s="292" t="s">
        <v>408</v>
      </c>
      <c r="E1713" s="295" t="s">
        <v>409</v>
      </c>
      <c r="F1713" s="296" t="s">
        <v>1563</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2572</v>
      </c>
      <c r="D1714" s="410"/>
      <c r="E1714" s="543"/>
      <c r="F1714" s="342"/>
    </row>
    <row r="1715" spans="1:60" ht="14.25" customHeight="1">
      <c r="A1715" s="305"/>
      <c r="B1715" s="556" t="s">
        <v>2573</v>
      </c>
      <c r="C1715" s="486" t="s">
        <v>2574</v>
      </c>
      <c r="D1715" s="319" t="s">
        <v>2575</v>
      </c>
      <c r="E1715" s="453">
        <v>1597.4597100000001</v>
      </c>
      <c r="F1715" s="310" t="s">
        <v>236</v>
      </c>
    </row>
    <row r="1716" spans="1:60" ht="14.25" customHeight="1">
      <c r="A1716" s="305"/>
      <c r="B1716" s="387"/>
      <c r="C1716" s="385" t="s">
        <v>2576</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2577</v>
      </c>
      <c r="D1724" s="422"/>
      <c r="E1724" s="422"/>
      <c r="F1724" s="391"/>
    </row>
    <row r="1725" spans="1:60" ht="14.25" customHeight="1">
      <c r="A1725" s="305"/>
      <c r="B1725" s="556" t="s">
        <v>2578</v>
      </c>
      <c r="C1725" s="564" t="s">
        <v>2579</v>
      </c>
      <c r="D1725" s="319" t="s">
        <v>2580</v>
      </c>
      <c r="E1725" s="453">
        <v>2241.2775000000001</v>
      </c>
      <c r="F1725" s="310" t="s">
        <v>236</v>
      </c>
    </row>
    <row r="1726" spans="1:60" ht="14.25" customHeight="1">
      <c r="A1726" s="305"/>
      <c r="B1726" s="387"/>
      <c r="C1726" s="385" t="s">
        <v>2581</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2582</v>
      </c>
      <c r="D1734" s="422"/>
      <c r="E1734" s="422"/>
      <c r="F1734" s="422"/>
    </row>
    <row r="1735" spans="1:6" ht="14.25" customHeight="1">
      <c r="A1735" s="305"/>
      <c r="B1735" s="556" t="s">
        <v>2573</v>
      </c>
      <c r="C1735" s="564" t="s">
        <v>2583</v>
      </c>
      <c r="D1735" s="319" t="s">
        <v>2575</v>
      </c>
      <c r="E1735" s="453">
        <v>1569.0360000000001</v>
      </c>
      <c r="F1735" s="310" t="s">
        <v>236</v>
      </c>
    </row>
    <row r="1736" spans="1:6" ht="14.25" customHeight="1">
      <c r="A1736" s="305"/>
      <c r="B1736" s="387"/>
      <c r="C1736" s="385" t="s">
        <v>2584</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2585</v>
      </c>
      <c r="D1744" s="422"/>
      <c r="E1744" s="422"/>
      <c r="F1744" s="422"/>
    </row>
    <row r="1745" spans="1:6" ht="14.25" customHeight="1">
      <c r="A1745" s="305"/>
      <c r="B1745" s="556" t="s">
        <v>2586</v>
      </c>
      <c r="C1745" s="564" t="s">
        <v>2587</v>
      </c>
      <c r="D1745" s="319" t="s">
        <v>2588</v>
      </c>
      <c r="E1745" s="453">
        <v>1825.8046872449761</v>
      </c>
      <c r="F1745" s="310" t="s">
        <v>236</v>
      </c>
    </row>
    <row r="1746" spans="1:6" ht="14.25" customHeight="1">
      <c r="A1746" s="305"/>
      <c r="B1746" s="387"/>
      <c r="C1746" s="385" t="s">
        <v>2589</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2590</v>
      </c>
      <c r="D1754" s="422"/>
      <c r="E1754" s="422"/>
      <c r="F1754" s="412"/>
    </row>
    <row r="1755" spans="1:6" ht="14.25" customHeight="1">
      <c r="A1755" s="305"/>
      <c r="B1755" s="556" t="s">
        <v>2591</v>
      </c>
      <c r="C1755" s="565" t="s">
        <v>2592</v>
      </c>
      <c r="D1755" s="319" t="s">
        <v>2593</v>
      </c>
      <c r="E1755" s="453">
        <v>3076.844708291303</v>
      </c>
      <c r="F1755" s="310" t="s">
        <v>236</v>
      </c>
    </row>
    <row r="1756" spans="1:6" ht="14.25" customHeight="1">
      <c r="A1756" s="305"/>
      <c r="B1756" s="556" t="s">
        <v>2594</v>
      </c>
      <c r="C1756" s="558" t="s">
        <v>2595</v>
      </c>
      <c r="D1756" s="319" t="s">
        <v>2596</v>
      </c>
      <c r="E1756" s="453">
        <v>3982.6336813151765</v>
      </c>
      <c r="F1756" s="310" t="s">
        <v>236</v>
      </c>
    </row>
    <row r="1757" spans="1:6" ht="14.25" customHeight="1">
      <c r="A1757" s="305"/>
      <c r="B1757" s="387"/>
      <c r="C1757" s="385" t="s">
        <v>2597</v>
      </c>
      <c r="D1757" s="319"/>
      <c r="E1757" s="453"/>
      <c r="F1757" s="389"/>
    </row>
    <row r="1758" spans="1:6" ht="14.25" customHeight="1">
      <c r="A1758" s="305"/>
      <c r="B1758" s="387"/>
      <c r="C1758" s="385" t="s">
        <v>2598</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2599</v>
      </c>
      <c r="D1765" s="422"/>
      <c r="E1765" s="422"/>
      <c r="F1765" s="549"/>
    </row>
    <row r="1766" spans="1:6" ht="14.25" customHeight="1">
      <c r="A1766" s="305"/>
      <c r="B1766" s="566" t="s">
        <v>2600</v>
      </c>
      <c r="C1766" s="565" t="s">
        <v>2601</v>
      </c>
      <c r="D1766" s="319" t="s">
        <v>2602</v>
      </c>
      <c r="E1766" s="453">
        <v>4062.7894650000007</v>
      </c>
      <c r="F1766" s="310" t="s">
        <v>236</v>
      </c>
    </row>
    <row r="1767" spans="1:6" ht="14.25" customHeight="1">
      <c r="A1767" s="305"/>
      <c r="B1767" s="567" t="s">
        <v>2603</v>
      </c>
      <c r="C1767" s="558" t="s">
        <v>2604</v>
      </c>
      <c r="D1767" s="319" t="s">
        <v>2605</v>
      </c>
      <c r="E1767" s="453">
        <v>3701.022465</v>
      </c>
      <c r="F1767" s="310" t="s">
        <v>236</v>
      </c>
    </row>
    <row r="1768" spans="1:6" ht="14.25" customHeight="1">
      <c r="A1768" s="305"/>
      <c r="B1768" s="567" t="s">
        <v>2606</v>
      </c>
      <c r="C1768" s="385" t="s">
        <v>2607</v>
      </c>
      <c r="D1768" s="319" t="s">
        <v>2608</v>
      </c>
      <c r="E1768" s="453">
        <v>4122.8517750000001</v>
      </c>
      <c r="F1768" s="310" t="s">
        <v>236</v>
      </c>
    </row>
    <row r="1769" spans="1:6" ht="14.25" customHeight="1">
      <c r="A1769" s="305"/>
      <c r="B1769" s="387"/>
      <c r="C1769" s="385" t="s">
        <v>2609</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1905</v>
      </c>
      <c r="B1777" s="326"/>
      <c r="C1777" s="1526" t="s">
        <v>2610</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2611</v>
      </c>
      <c r="B1778" s="331"/>
      <c r="C1778" s="1527"/>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405</v>
      </c>
      <c r="B1779" s="293" t="s">
        <v>406</v>
      </c>
      <c r="C1779" s="294" t="s">
        <v>407</v>
      </c>
      <c r="D1779" s="292" t="s">
        <v>408</v>
      </c>
      <c r="E1779" s="295" t="s">
        <v>409</v>
      </c>
      <c r="F1779" s="296" t="s">
        <v>1563</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2612</v>
      </c>
      <c r="D1780" s="410"/>
      <c r="E1780" s="543"/>
      <c r="F1780" s="342"/>
    </row>
    <row r="1781" spans="1:60" ht="14.25" customHeight="1">
      <c r="A1781" s="305"/>
      <c r="B1781" s="306" t="s">
        <v>2613</v>
      </c>
      <c r="C1781" s="450" t="s">
        <v>2614</v>
      </c>
      <c r="D1781" s="319"/>
      <c r="E1781" s="568">
        <v>6166.0818713450299</v>
      </c>
      <c r="F1781" s="310" t="s">
        <v>236</v>
      </c>
    </row>
    <row r="1782" spans="1:60" ht="14.25" customHeight="1">
      <c r="A1782" s="305"/>
      <c r="B1782" s="306" t="s">
        <v>2615</v>
      </c>
      <c r="C1782" s="460"/>
      <c r="D1782" s="319"/>
      <c r="E1782" s="568">
        <v>8229.2397660818715</v>
      </c>
      <c r="F1782" s="310" t="s">
        <v>236</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2616</v>
      </c>
      <c r="D1791" s="410"/>
      <c r="E1791" s="410"/>
      <c r="F1791" s="410"/>
    </row>
    <row r="1792" spans="1:60" ht="14.25" customHeight="1">
      <c r="A1792" s="305"/>
      <c r="B1792" s="306" t="s">
        <v>2617</v>
      </c>
      <c r="C1792" s="450" t="s">
        <v>2618</v>
      </c>
      <c r="D1792" s="319"/>
      <c r="E1792" s="570">
        <v>17345.029239766081</v>
      </c>
      <c r="F1792" s="310" t="s">
        <v>236</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2619</v>
      </c>
      <c r="D1802" s="410"/>
      <c r="E1802" s="410"/>
      <c r="F1802" s="391"/>
    </row>
    <row r="1803" spans="1:6" ht="14.25" customHeight="1">
      <c r="A1803" s="305"/>
      <c r="B1803" s="306" t="s">
        <v>2620</v>
      </c>
      <c r="C1803" s="450" t="s">
        <v>2621</v>
      </c>
      <c r="D1803" s="319"/>
      <c r="E1803" s="568">
        <v>17712.280701754386</v>
      </c>
      <c r="F1803" s="310" t="s">
        <v>236</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2622</v>
      </c>
      <c r="D1813" s="410"/>
      <c r="E1813" s="410"/>
      <c r="F1813" s="549"/>
    </row>
    <row r="1814" spans="1:6" ht="14.25" customHeight="1">
      <c r="A1814" s="305"/>
      <c r="B1814" s="306" t="s">
        <v>2623</v>
      </c>
      <c r="C1814" s="486" t="s">
        <v>2624</v>
      </c>
      <c r="D1814" s="319"/>
      <c r="E1814" s="568">
        <v>43592.982456140358</v>
      </c>
      <c r="F1814" s="310" t="s">
        <v>236</v>
      </c>
    </row>
    <row r="1815" spans="1:6" ht="14.25" customHeight="1">
      <c r="A1815" s="305"/>
      <c r="B1815" s="314"/>
      <c r="C1815" s="388" t="s">
        <v>2625</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2626</v>
      </c>
      <c r="D1824" s="410"/>
      <c r="E1824" s="410"/>
      <c r="F1824" s="342"/>
    </row>
    <row r="1825" spans="1:6" ht="14.25" customHeight="1">
      <c r="A1825" s="426"/>
      <c r="B1825" s="306" t="s">
        <v>2627</v>
      </c>
      <c r="C1825" s="450" t="s">
        <v>2628</v>
      </c>
      <c r="D1825" s="398" t="s">
        <v>1688</v>
      </c>
      <c r="E1825" s="453">
        <v>0</v>
      </c>
      <c r="F1825" s="310" t="s">
        <v>236</v>
      </c>
    </row>
    <row r="1826" spans="1:6" ht="14.25" customHeight="1">
      <c r="A1826" s="305"/>
      <c r="B1826" s="314"/>
      <c r="C1826" s="451" t="s">
        <v>2629</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2630</v>
      </c>
      <c r="D1836" s="410"/>
      <c r="E1836" s="410"/>
      <c r="F1836" s="342"/>
    </row>
    <row r="1837" spans="1:6" ht="14.25" customHeight="1">
      <c r="A1837" s="426"/>
      <c r="B1837" s="306" t="s">
        <v>2631</v>
      </c>
      <c r="C1837" s="1540" t="s">
        <v>2632</v>
      </c>
      <c r="D1837" s="573" t="s">
        <v>2633</v>
      </c>
      <c r="E1837" s="453">
        <v>118156.72514619882</v>
      </c>
      <c r="F1837" s="310" t="s">
        <v>236</v>
      </c>
    </row>
    <row r="1838" spans="1:6" ht="14.25" customHeight="1">
      <c r="A1838" s="305"/>
      <c r="B1838" s="314"/>
      <c r="C1838" s="1538"/>
      <c r="D1838" s="319"/>
      <c r="E1838" s="474"/>
      <c r="F1838" s="377"/>
    </row>
    <row r="1839" spans="1:6" ht="14.25" customHeight="1">
      <c r="A1839" s="305"/>
      <c r="B1839" s="314"/>
      <c r="C1839" s="1538"/>
      <c r="D1839" s="319"/>
      <c r="E1839" s="474"/>
      <c r="F1839" s="377"/>
    </row>
    <row r="1840" spans="1:6" ht="14.25" customHeight="1">
      <c r="A1840" s="305"/>
      <c r="B1840" s="314"/>
      <c r="C1840" s="1538"/>
      <c r="D1840" s="319"/>
      <c r="E1840" s="474"/>
      <c r="F1840" s="377"/>
    </row>
    <row r="1841" spans="1:60" ht="14.25" customHeight="1">
      <c r="A1841" s="305"/>
      <c r="B1841" s="314"/>
      <c r="C1841" s="1538"/>
      <c r="D1841" s="319"/>
      <c r="E1841" s="474"/>
      <c r="F1841" s="377"/>
    </row>
    <row r="1842" spans="1:60" ht="14.25" customHeight="1">
      <c r="A1842" s="305"/>
      <c r="B1842" s="314"/>
      <c r="C1842" s="1538"/>
      <c r="D1842" s="319"/>
      <c r="E1842" s="474"/>
      <c r="F1842" s="377"/>
    </row>
    <row r="1843" spans="1:60" ht="14.25" customHeight="1">
      <c r="A1843" s="305"/>
      <c r="B1843" s="314"/>
      <c r="C1843" s="1538"/>
      <c r="D1843" s="319"/>
      <c r="E1843" s="474"/>
      <c r="F1843" s="377"/>
    </row>
    <row r="1844" spans="1:60" ht="14.25" customHeight="1">
      <c r="A1844" s="305"/>
      <c r="B1844" s="314"/>
      <c r="C1844" s="1538"/>
      <c r="D1844" s="319"/>
      <c r="E1844" s="474"/>
      <c r="F1844" s="377"/>
    </row>
    <row r="1845" spans="1:60" ht="14.25" customHeight="1">
      <c r="A1845" s="305"/>
      <c r="B1845" s="314"/>
      <c r="C1845" s="1538"/>
      <c r="D1845" s="319"/>
      <c r="E1845" s="474"/>
      <c r="F1845" s="377"/>
    </row>
    <row r="1846" spans="1:60" ht="14.25" customHeight="1">
      <c r="A1846" s="305"/>
      <c r="B1846" s="314"/>
      <c r="C1846" s="1538"/>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1905</v>
      </c>
      <c r="B1849" s="326"/>
      <c r="C1849" s="1526" t="s">
        <v>1855</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1856</v>
      </c>
      <c r="B1850" s="331"/>
      <c r="C1850" s="1527"/>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405</v>
      </c>
      <c r="B1851" s="293" t="s">
        <v>406</v>
      </c>
      <c r="C1851" s="294" t="s">
        <v>407</v>
      </c>
      <c r="D1851" s="292" t="s">
        <v>408</v>
      </c>
      <c r="E1851" s="295" t="s">
        <v>409</v>
      </c>
      <c r="F1851" s="296" t="s">
        <v>1563</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1857</v>
      </c>
      <c r="D1852" s="410"/>
      <c r="E1852" s="543"/>
      <c r="F1852" s="576"/>
    </row>
    <row r="1853" spans="1:60" ht="14.25" customHeight="1">
      <c r="A1853" s="305"/>
      <c r="B1853" s="306" t="s">
        <v>1858</v>
      </c>
      <c r="C1853" s="486" t="s">
        <v>1859</v>
      </c>
      <c r="D1853" s="319" t="s">
        <v>1860</v>
      </c>
      <c r="E1853" s="453">
        <v>6746.6666666666661</v>
      </c>
      <c r="F1853" s="310" t="s">
        <v>235</v>
      </c>
      <c r="G1853" s="554"/>
    </row>
    <row r="1854" spans="1:60" ht="14.25" customHeight="1">
      <c r="A1854" s="305"/>
      <c r="B1854" s="306"/>
      <c r="C1854" s="388" t="s">
        <v>1861</v>
      </c>
      <c r="D1854" s="319"/>
      <c r="E1854" s="453"/>
      <c r="F1854" s="401"/>
    </row>
    <row r="1855" spans="1:60" ht="14.25" customHeight="1">
      <c r="A1855" s="305"/>
      <c r="B1855" s="306"/>
      <c r="C1855" s="388" t="s">
        <v>1862</v>
      </c>
      <c r="D1855" s="319"/>
      <c r="E1855" s="453"/>
      <c r="F1855" s="401"/>
    </row>
    <row r="1856" spans="1:60" ht="14.25" customHeight="1">
      <c r="A1856" s="305"/>
      <c r="B1856" s="306"/>
      <c r="C1856" s="388" t="s">
        <v>1863</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1864</v>
      </c>
      <c r="C1863" s="388" t="s">
        <v>1865</v>
      </c>
      <c r="D1863" s="319" t="s">
        <v>1866</v>
      </c>
      <c r="E1863" s="453">
        <v>269.00584795321635</v>
      </c>
      <c r="F1863" s="310" t="s">
        <v>235</v>
      </c>
    </row>
    <row r="1864" spans="1:7" ht="14.25" customHeight="1">
      <c r="A1864" s="305"/>
      <c r="B1864" s="306"/>
      <c r="C1864" s="388" t="s">
        <v>1867</v>
      </c>
      <c r="D1864" s="319"/>
      <c r="E1864" s="453"/>
      <c r="F1864" s="401"/>
    </row>
    <row r="1865" spans="1:7" ht="14.25" customHeight="1">
      <c r="A1865" s="305"/>
      <c r="B1865" s="306"/>
      <c r="C1865" s="388" t="s">
        <v>1862</v>
      </c>
      <c r="D1865" s="319"/>
      <c r="E1865" s="453"/>
      <c r="F1865" s="401"/>
    </row>
    <row r="1866" spans="1:7" ht="14.25" customHeight="1">
      <c r="A1866" s="305"/>
      <c r="B1866" s="306"/>
      <c r="C1866" s="388" t="s">
        <v>1863</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1868</v>
      </c>
      <c r="C1874" s="388" t="s">
        <v>1869</v>
      </c>
      <c r="D1874" s="319" t="s">
        <v>1870</v>
      </c>
      <c r="E1874" s="453">
        <v>5740.5847953216371</v>
      </c>
      <c r="F1874" s="310" t="s">
        <v>235</v>
      </c>
    </row>
    <row r="1875" spans="1:6" ht="14.25" customHeight="1">
      <c r="A1875" s="305"/>
      <c r="B1875" s="306"/>
      <c r="C1875" s="388" t="s">
        <v>1871</v>
      </c>
      <c r="D1875" s="319"/>
      <c r="E1875" s="453"/>
      <c r="F1875" s="401"/>
    </row>
    <row r="1876" spans="1:6" ht="14.25" customHeight="1">
      <c r="A1876" s="305"/>
      <c r="B1876" s="306"/>
      <c r="C1876" s="388" t="s">
        <v>1872</v>
      </c>
      <c r="D1876" s="319"/>
      <c r="E1876" s="453"/>
      <c r="F1876" s="401"/>
    </row>
    <row r="1877" spans="1:6" ht="14.25" customHeight="1">
      <c r="A1877" s="305"/>
      <c r="B1877" s="306"/>
      <c r="C1877" s="388" t="s">
        <v>1873</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2634</v>
      </c>
      <c r="C1883" s="388" t="s">
        <v>2635</v>
      </c>
      <c r="D1883" s="319" t="s">
        <v>2636</v>
      </c>
      <c r="E1883" s="568">
        <v>839.76608187134502</v>
      </c>
      <c r="F1883" s="310" t="s">
        <v>236</v>
      </c>
    </row>
    <row r="1884" spans="1:6" ht="14.25" customHeight="1">
      <c r="A1884" s="305"/>
      <c r="B1884" s="580"/>
      <c r="C1884" s="388"/>
      <c r="D1884" s="582"/>
      <c r="E1884" s="568"/>
      <c r="F1884" s="389"/>
    </row>
    <row r="1885" spans="1:6" ht="14.25" customHeight="1">
      <c r="A1885" s="305"/>
      <c r="B1885" s="306" t="s">
        <v>2637</v>
      </c>
      <c r="C1885" s="388" t="s">
        <v>2638</v>
      </c>
      <c r="D1885" s="319" t="s">
        <v>2639</v>
      </c>
      <c r="E1885" s="568">
        <v>818.71345029239762</v>
      </c>
      <c r="F1885" s="310" t="s">
        <v>236</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2640</v>
      </c>
      <c r="C1888" s="388" t="s">
        <v>2641</v>
      </c>
      <c r="D1888" s="319" t="s">
        <v>2642</v>
      </c>
      <c r="E1888" s="453">
        <v>4991.812865497076</v>
      </c>
      <c r="F1888" s="310" t="s">
        <v>236</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1905</v>
      </c>
      <c r="B1896" s="326"/>
      <c r="C1896" s="327" t="s">
        <v>1874</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1856</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405</v>
      </c>
      <c r="B1898" s="293" t="s">
        <v>406</v>
      </c>
      <c r="C1898" s="294" t="s">
        <v>407</v>
      </c>
      <c r="D1898" s="292" t="s">
        <v>408</v>
      </c>
      <c r="E1898" s="295" t="s">
        <v>409</v>
      </c>
      <c r="F1898" s="296" t="s">
        <v>1563</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1875</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1876</v>
      </c>
      <c r="C1900" s="586" t="s">
        <v>1877</v>
      </c>
      <c r="D1900" s="587" t="s">
        <v>1878</v>
      </c>
      <c r="E1900" s="453">
        <v>7873.6842105263158</v>
      </c>
      <c r="F1900" s="310" t="s">
        <v>235</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1879</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1880</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1881</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1882</v>
      </c>
      <c r="C1910" s="589" t="s">
        <v>1883</v>
      </c>
      <c r="D1910" s="590" t="s">
        <v>1884</v>
      </c>
      <c r="E1910" s="453">
        <v>19354.385964912282</v>
      </c>
      <c r="F1910" s="310" t="s">
        <v>236</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1885</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1886</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1887</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1888</v>
      </c>
      <c r="C1918" s="589" t="s">
        <v>1889</v>
      </c>
      <c r="D1918" s="590" t="s">
        <v>1890</v>
      </c>
      <c r="E1918" s="453">
        <v>24954.385964912282</v>
      </c>
      <c r="F1918" s="310" t="s">
        <v>236</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1885</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1886</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1887</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1891</v>
      </c>
      <c r="C1927" s="589" t="s">
        <v>1892</v>
      </c>
      <c r="D1927" s="590" t="s">
        <v>1893</v>
      </c>
      <c r="E1927" s="453">
        <v>30328.998968008254</v>
      </c>
      <c r="F1927" s="310" t="s">
        <v>236</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1885</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1886</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1887</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1894</v>
      </c>
      <c r="C1935" s="586" t="s">
        <v>1895</v>
      </c>
      <c r="D1935" s="319" t="s">
        <v>1896</v>
      </c>
      <c r="E1935" s="453">
        <v>11283.797729618163</v>
      </c>
      <c r="F1935" s="310" t="s">
        <v>236</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1897</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1898</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1899</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1900</v>
      </c>
      <c r="C1942" s="586" t="s">
        <v>1901</v>
      </c>
      <c r="D1942" s="319" t="s">
        <v>1896</v>
      </c>
      <c r="E1942" s="453">
        <v>14433.436532507742</v>
      </c>
      <c r="F1942" s="310" t="s">
        <v>236</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1902</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1903</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1904</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1899</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2643</v>
      </c>
      <c r="C1949" s="595" t="s">
        <v>2644</v>
      </c>
      <c r="D1949" s="319"/>
      <c r="E1949" s="596">
        <v>912.28070175438597</v>
      </c>
      <c r="F1949" s="310" t="s">
        <v>236</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1905</v>
      </c>
      <c r="B1952" s="326"/>
      <c r="C1952" s="1526" t="s">
        <v>1906</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1907</v>
      </c>
      <c r="B1953" s="331"/>
      <c r="C1953" s="1527"/>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405</v>
      </c>
      <c r="B1954" s="293" t="s">
        <v>406</v>
      </c>
      <c r="C1954" s="294" t="s">
        <v>407</v>
      </c>
      <c r="D1954" s="292" t="s">
        <v>408</v>
      </c>
      <c r="E1954" s="295" t="s">
        <v>409</v>
      </c>
      <c r="F1954" s="296" t="s">
        <v>1563</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1908</v>
      </c>
      <c r="D1955" s="410"/>
      <c r="E1955" s="543"/>
      <c r="F1955" s="576"/>
    </row>
    <row r="1956" spans="1:60" ht="14.25" customHeight="1">
      <c r="A1956" s="426"/>
      <c r="B1956" s="424" t="s">
        <v>1909</v>
      </c>
      <c r="C1956" s="450" t="s">
        <v>1910</v>
      </c>
      <c r="D1956" s="398"/>
      <c r="E1956" s="599">
        <v>3859.6491228070176</v>
      </c>
      <c r="F1956" s="310" t="s">
        <v>236</v>
      </c>
    </row>
    <row r="1957" spans="1:60" ht="14.25" customHeight="1">
      <c r="A1957" s="305"/>
      <c r="B1957" s="306"/>
      <c r="C1957" s="451" t="s">
        <v>1911</v>
      </c>
      <c r="D1957" s="319"/>
      <c r="E1957" s="473"/>
      <c r="F1957" s="377"/>
    </row>
    <row r="1958" spans="1:60" ht="14.25" customHeight="1">
      <c r="A1958" s="305"/>
      <c r="B1958" s="306"/>
      <c r="C1958" s="451" t="s">
        <v>1912</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1913</v>
      </c>
      <c r="C1965" s="451" t="s">
        <v>1914</v>
      </c>
      <c r="D1965" s="319"/>
      <c r="E1965" s="453">
        <v>6947.3684210526317</v>
      </c>
      <c r="F1965" s="310" t="s">
        <v>236</v>
      </c>
    </row>
    <row r="1966" spans="1:60" ht="14.25" customHeight="1">
      <c r="A1966" s="305"/>
      <c r="B1966" s="306"/>
      <c r="C1966" s="451" t="s">
        <v>1911</v>
      </c>
      <c r="D1966" s="319"/>
      <c r="E1966" s="473"/>
      <c r="F1966" s="377"/>
    </row>
    <row r="1967" spans="1:60" ht="14.25" customHeight="1">
      <c r="A1967" s="305"/>
      <c r="B1967" s="306"/>
      <c r="C1967" s="451" t="s">
        <v>1912</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1054" customWidth="1"/>
    <col min="2" max="2" width="17.36328125" style="1123" bestFit="1" customWidth="1"/>
    <col min="3" max="3" width="98.81640625" style="1097" customWidth="1"/>
    <col min="4" max="4" width="24" style="1054" customWidth="1"/>
    <col min="5" max="5" width="15.453125" style="423" customWidth="1"/>
    <col min="6" max="6" width="15.6328125" style="913" customWidth="1"/>
    <col min="7" max="8" width="12" style="1054" bestFit="1" customWidth="1"/>
    <col min="9" max="9" width="11.453125" style="1054" bestFit="1" customWidth="1"/>
    <col min="10" max="13" width="10.81640625" style="1054"/>
    <col min="14" max="60" width="10.81640625" style="1056"/>
    <col min="61" max="16384" width="10.81640625" style="1054"/>
  </cols>
  <sheetData>
    <row r="1" spans="1:60" ht="15" customHeight="1">
      <c r="A1" s="1051"/>
      <c r="B1" s="1052"/>
      <c r="C1" s="1053"/>
      <c r="F1" s="1055" t="s">
        <v>1351</v>
      </c>
      <c r="G1" s="844"/>
      <c r="H1" s="844"/>
      <c r="I1" s="844"/>
    </row>
    <row r="2" spans="1:60" s="1061" customFormat="1" ht="27.75" customHeight="1">
      <c r="A2" s="1057"/>
      <c r="B2" s="1058"/>
      <c r="C2" s="1059"/>
      <c r="D2" s="1060" t="s">
        <v>1352</v>
      </c>
      <c r="G2" s="1060"/>
      <c r="H2" s="1060"/>
      <c r="I2" s="1060"/>
    </row>
    <row r="3" spans="1:60" s="1061" customFormat="1" ht="15" customHeight="1">
      <c r="A3" s="1057"/>
      <c r="B3" s="1058"/>
      <c r="C3" s="1062"/>
      <c r="F3" s="852" t="s">
        <v>1353</v>
      </c>
      <c r="G3" s="852"/>
      <c r="H3" s="852"/>
      <c r="I3" s="852"/>
    </row>
    <row r="4" spans="1:60" s="1061" customFormat="1" ht="14.5">
      <c r="A4" s="1063"/>
      <c r="B4" s="1064"/>
      <c r="C4" s="855"/>
      <c r="F4" s="856" t="s">
        <v>399</v>
      </c>
      <c r="G4" s="856"/>
      <c r="H4" s="856"/>
      <c r="I4" s="856"/>
    </row>
    <row r="5" spans="1:60" s="1069" customFormat="1" ht="15" customHeight="1">
      <c r="A5" s="1545"/>
      <c r="B5" s="1546"/>
      <c r="C5" s="1065" t="s">
        <v>400</v>
      </c>
      <c r="D5" s="1066" t="s">
        <v>401</v>
      </c>
      <c r="E5" s="1507">
        <f ca="1">(TODAY())</f>
        <v>46181</v>
      </c>
      <c r="F5" s="1508"/>
      <c r="G5" s="1067"/>
      <c r="H5" s="1068"/>
      <c r="I5" s="1068"/>
      <c r="J5" s="1068"/>
      <c r="K5" s="1068"/>
      <c r="L5" s="1068"/>
      <c r="M5" s="1068"/>
      <c r="N5" s="1068"/>
      <c r="O5" s="1068"/>
      <c r="P5" s="1068"/>
      <c r="Q5" s="1068"/>
      <c r="R5" s="1068"/>
      <c r="S5" s="1068"/>
      <c r="T5" s="1068"/>
      <c r="U5" s="1068"/>
    </row>
    <row r="6" spans="1:60" s="1069" customFormat="1" ht="15" customHeight="1">
      <c r="A6" s="1070" t="s">
        <v>2645</v>
      </c>
      <c r="B6" s="1071"/>
      <c r="C6" s="1543" t="s">
        <v>2646</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 customHeight="1">
      <c r="A7" s="1075" t="s">
        <v>2647</v>
      </c>
      <c r="B7" s="1076"/>
      <c r="C7" s="1544"/>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405</v>
      </c>
      <c r="B8" s="1083" t="s">
        <v>406</v>
      </c>
      <c r="C8" s="294" t="s">
        <v>407</v>
      </c>
      <c r="D8" s="1082" t="s">
        <v>408</v>
      </c>
      <c r="E8" s="295" t="s">
        <v>409</v>
      </c>
      <c r="F8" s="878" t="s">
        <v>410</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2648</v>
      </c>
      <c r="D9" s="1089"/>
      <c r="E9" s="303"/>
      <c r="F9" s="885"/>
      <c r="G9" s="1061"/>
    </row>
    <row r="10" spans="1:60" ht="14" customHeight="1">
      <c r="A10" s="1090"/>
      <c r="B10" s="1091" t="s">
        <v>2649</v>
      </c>
      <c r="C10" s="1092" t="s">
        <v>2650</v>
      </c>
      <c r="D10" s="1093" t="s">
        <v>2651</v>
      </c>
      <c r="E10" s="309">
        <v>10151.111111111111</v>
      </c>
      <c r="F10" s="352" t="s">
        <v>236</v>
      </c>
    </row>
    <row r="11" spans="1:60" ht="14" customHeight="1">
      <c r="A11" s="1090"/>
      <c r="B11" s="1091"/>
      <c r="C11" s="1094" t="s">
        <v>2652</v>
      </c>
      <c r="D11" s="1093"/>
      <c r="E11" s="309"/>
      <c r="F11" s="352"/>
    </row>
    <row r="12" spans="1:60" ht="14" customHeight="1">
      <c r="A12" s="1090"/>
      <c r="B12" s="1095"/>
      <c r="C12" s="1096" t="s">
        <v>2653</v>
      </c>
      <c r="D12" s="1093"/>
      <c r="E12" s="309"/>
      <c r="F12" s="352"/>
    </row>
    <row r="13" spans="1:60" ht="14" customHeight="1">
      <c r="A13" s="1090"/>
      <c r="B13" s="1091"/>
      <c r="D13" s="1093"/>
      <c r="E13" s="309"/>
      <c r="F13" s="352"/>
    </row>
    <row r="14" spans="1:60" ht="14" customHeight="1">
      <c r="A14" s="1090"/>
      <c r="B14" s="1091"/>
      <c r="C14" s="1098" t="s">
        <v>2654</v>
      </c>
      <c r="D14" s="1093"/>
      <c r="E14" s="309"/>
      <c r="F14" s="352"/>
    </row>
    <row r="15" spans="1:60" ht="14" customHeight="1">
      <c r="A15" s="1090"/>
      <c r="B15" s="1091"/>
      <c r="C15" s="1099" t="s">
        <v>2655</v>
      </c>
      <c r="D15" s="1093"/>
      <c r="E15" s="309"/>
      <c r="F15" s="352"/>
    </row>
    <row r="16" spans="1:60" ht="14" customHeight="1">
      <c r="A16" s="1090"/>
      <c r="B16" s="1091"/>
      <c r="D16" s="1093"/>
      <c r="E16" s="309"/>
      <c r="F16" s="352"/>
    </row>
    <row r="17" spans="1:6" ht="14" customHeight="1">
      <c r="A17" s="1090"/>
      <c r="B17" s="1100"/>
      <c r="C17" s="1101" t="s">
        <v>2656</v>
      </c>
      <c r="D17" s="1093"/>
      <c r="E17" s="315"/>
      <c r="F17" s="898"/>
    </row>
    <row r="18" spans="1:6" ht="14" customHeight="1">
      <c r="A18" s="1090"/>
      <c r="B18" s="1102"/>
      <c r="C18" s="1103"/>
      <c r="D18" s="1104"/>
      <c r="E18" s="320"/>
      <c r="F18" s="902"/>
    </row>
    <row r="19" spans="1:6" ht="15" customHeight="1">
      <c r="A19" s="1086"/>
      <c r="B19" s="1087"/>
      <c r="C19" s="1088" t="s">
        <v>2657</v>
      </c>
      <c r="D19" s="1089"/>
      <c r="E19" s="303"/>
      <c r="F19" s="304"/>
    </row>
    <row r="20" spans="1:6" ht="14" customHeight="1">
      <c r="A20" s="1090"/>
      <c r="B20" s="1091" t="s">
        <v>2658</v>
      </c>
      <c r="C20" s="1092" t="s">
        <v>2659</v>
      </c>
      <c r="D20" s="1093" t="s">
        <v>2651</v>
      </c>
      <c r="E20" s="309">
        <v>11088.888888888891</v>
      </c>
      <c r="F20" s="352" t="s">
        <v>236</v>
      </c>
    </row>
    <row r="21" spans="1:6" ht="14" customHeight="1">
      <c r="A21" s="1090"/>
      <c r="B21" s="1091"/>
      <c r="C21" s="1094" t="s">
        <v>2660</v>
      </c>
      <c r="D21" s="1093"/>
      <c r="E21" s="903"/>
      <c r="F21" s="352"/>
    </row>
    <row r="22" spans="1:6" ht="14" customHeight="1">
      <c r="A22" s="1090"/>
      <c r="B22" s="1095"/>
      <c r="C22" s="1096" t="s">
        <v>2661</v>
      </c>
      <c r="D22" s="1093"/>
      <c r="E22" s="903"/>
      <c r="F22" s="352"/>
    </row>
    <row r="23" spans="1:6" ht="14" customHeight="1">
      <c r="A23" s="1090"/>
      <c r="B23" s="1091"/>
      <c r="D23" s="1093"/>
      <c r="E23" s="903"/>
      <c r="F23" s="352"/>
    </row>
    <row r="24" spans="1:6" ht="14" customHeight="1">
      <c r="A24" s="1090"/>
      <c r="B24" s="1091"/>
      <c r="C24" s="1098" t="s">
        <v>2662</v>
      </c>
      <c r="D24" s="1093"/>
      <c r="E24" s="903"/>
      <c r="F24" s="352"/>
    </row>
    <row r="25" spans="1:6" ht="14" customHeight="1">
      <c r="A25" s="1090"/>
      <c r="B25" s="1091"/>
      <c r="C25" s="1099" t="s">
        <v>2655</v>
      </c>
      <c r="D25" s="1093"/>
      <c r="E25" s="903"/>
      <c r="F25" s="352"/>
    </row>
    <row r="26" spans="1:6" ht="14" customHeight="1">
      <c r="A26" s="1090"/>
      <c r="B26" s="1091"/>
      <c r="D26" s="1093"/>
      <c r="E26" s="903"/>
      <c r="F26" s="352"/>
    </row>
    <row r="27" spans="1:6" ht="14" customHeight="1">
      <c r="A27" s="1090"/>
      <c r="B27" s="1095"/>
      <c r="C27" s="1101" t="s">
        <v>2656</v>
      </c>
      <c r="D27" s="1093"/>
      <c r="E27" s="903"/>
      <c r="F27" s="352"/>
    </row>
    <row r="28" spans="1:6" ht="14" customHeight="1">
      <c r="A28" s="1090"/>
      <c r="B28" s="1095"/>
      <c r="C28" s="1105"/>
      <c r="D28" s="1093"/>
      <c r="E28" s="903"/>
      <c r="F28" s="352"/>
    </row>
    <row r="29" spans="1:6" ht="14" customHeight="1">
      <c r="A29" s="1090"/>
      <c r="B29" s="1095"/>
      <c r="C29" s="1094"/>
      <c r="D29" s="1093"/>
      <c r="E29" s="903"/>
      <c r="F29" s="352"/>
    </row>
    <row r="30" spans="1:6">
      <c r="A30" s="1086"/>
      <c r="B30" s="1087"/>
      <c r="C30" s="1088" t="s">
        <v>2663</v>
      </c>
      <c r="D30" s="1089"/>
      <c r="E30" s="303"/>
      <c r="F30" s="304"/>
    </row>
    <row r="31" spans="1:6">
      <c r="A31" s="1090"/>
      <c r="B31" s="1091" t="s">
        <v>2664</v>
      </c>
      <c r="C31" s="1092" t="s">
        <v>2665</v>
      </c>
      <c r="D31" s="1093" t="s">
        <v>2666</v>
      </c>
      <c r="E31" s="309">
        <v>12222.222222222224</v>
      </c>
      <c r="F31" s="352" t="s">
        <v>236</v>
      </c>
    </row>
    <row r="32" spans="1:6">
      <c r="A32" s="1090"/>
      <c r="B32" s="1091"/>
      <c r="C32" s="1094" t="s">
        <v>2667</v>
      </c>
      <c r="D32" s="1093"/>
      <c r="E32" s="903"/>
      <c r="F32" s="352"/>
    </row>
    <row r="33" spans="1:6">
      <c r="A33" s="1090"/>
      <c r="B33" s="1095"/>
      <c r="C33" s="1096" t="s">
        <v>2668</v>
      </c>
      <c r="D33" s="1093"/>
      <c r="E33" s="903"/>
      <c r="F33" s="352"/>
    </row>
    <row r="34" spans="1:6">
      <c r="A34" s="1090"/>
      <c r="B34" s="1091"/>
      <c r="C34" s="1106" t="s">
        <v>2669</v>
      </c>
      <c r="D34" s="1093"/>
      <c r="E34" s="903"/>
      <c r="F34" s="352"/>
    </row>
    <row r="35" spans="1:6">
      <c r="A35" s="1090"/>
      <c r="B35" s="1091"/>
      <c r="D35" s="1093"/>
      <c r="E35" s="903"/>
      <c r="F35" s="352"/>
    </row>
    <row r="36" spans="1:6">
      <c r="A36" s="1090"/>
      <c r="B36" s="1091"/>
      <c r="C36" s="1098" t="s">
        <v>2654</v>
      </c>
      <c r="D36" s="1093"/>
      <c r="E36" s="903"/>
      <c r="F36" s="352"/>
    </row>
    <row r="37" spans="1:6">
      <c r="A37" s="1090"/>
      <c r="B37" s="1091"/>
      <c r="C37" s="1099" t="s">
        <v>2655</v>
      </c>
      <c r="D37" s="1093"/>
      <c r="E37" s="903"/>
      <c r="F37" s="352"/>
    </row>
    <row r="38" spans="1:6">
      <c r="A38" s="1090"/>
      <c r="B38" s="1091"/>
      <c r="D38" s="1093"/>
      <c r="E38" s="903"/>
      <c r="F38" s="352"/>
    </row>
    <row r="39" spans="1:6">
      <c r="A39" s="1090"/>
      <c r="B39" s="1100"/>
      <c r="C39" s="1101" t="s">
        <v>2656</v>
      </c>
      <c r="D39" s="1093"/>
      <c r="E39" s="323"/>
      <c r="F39" s="310"/>
    </row>
    <row r="40" spans="1:6">
      <c r="A40" s="1090"/>
      <c r="B40" s="1100"/>
      <c r="C40" s="1107"/>
      <c r="D40" s="1093"/>
      <c r="E40" s="1108"/>
      <c r="F40" s="1109"/>
    </row>
    <row r="41" spans="1:6">
      <c r="A41" s="1090"/>
      <c r="B41" s="1102"/>
      <c r="C41" s="1103"/>
      <c r="D41" s="1104"/>
      <c r="E41" s="1110"/>
      <c r="F41" s="1111"/>
    </row>
    <row r="42" spans="1:6">
      <c r="A42" s="1086"/>
      <c r="B42" s="1087"/>
      <c r="C42" s="1088" t="s">
        <v>2670</v>
      </c>
      <c r="D42" s="1089"/>
      <c r="E42" s="303"/>
      <c r="F42" s="304"/>
    </row>
    <row r="43" spans="1:6">
      <c r="A43" s="1090"/>
      <c r="B43" s="1091" t="s">
        <v>2671</v>
      </c>
      <c r="C43" s="1092" t="s">
        <v>2672</v>
      </c>
      <c r="D43" s="1093" t="s">
        <v>2673</v>
      </c>
      <c r="E43" s="309">
        <v>17000</v>
      </c>
      <c r="F43" s="352" t="s">
        <v>236</v>
      </c>
    </row>
    <row r="44" spans="1:6">
      <c r="A44" s="1090"/>
      <c r="B44" s="1091"/>
      <c r="C44" s="1094" t="s">
        <v>2667</v>
      </c>
      <c r="D44" s="1093"/>
      <c r="E44" s="903"/>
      <c r="F44" s="352"/>
    </row>
    <row r="45" spans="1:6">
      <c r="A45" s="1090"/>
      <c r="B45" s="1091"/>
      <c r="C45" s="1096" t="s">
        <v>2674</v>
      </c>
      <c r="D45" s="1093"/>
      <c r="E45" s="903"/>
      <c r="F45" s="352"/>
    </row>
    <row r="46" spans="1:6">
      <c r="A46" s="1090"/>
      <c r="B46" s="1095"/>
      <c r="C46" s="1106" t="s">
        <v>2675</v>
      </c>
      <c r="D46" s="1093"/>
      <c r="E46" s="903"/>
      <c r="F46" s="352"/>
    </row>
    <row r="47" spans="1:6">
      <c r="A47" s="1090"/>
      <c r="B47" s="1091"/>
      <c r="D47" s="1093"/>
      <c r="E47" s="903"/>
      <c r="F47" s="352"/>
    </row>
    <row r="48" spans="1:6">
      <c r="A48" s="1090"/>
      <c r="B48" s="1091"/>
      <c r="C48" s="1098" t="s">
        <v>2662</v>
      </c>
      <c r="D48" s="1093"/>
      <c r="E48" s="903"/>
      <c r="F48" s="352"/>
    </row>
    <row r="49" spans="1:6">
      <c r="A49" s="1090"/>
      <c r="B49" s="1091"/>
      <c r="C49" s="1099" t="s">
        <v>2655</v>
      </c>
      <c r="D49" s="1093"/>
      <c r="E49" s="903"/>
      <c r="F49" s="352"/>
    </row>
    <row r="50" spans="1:6">
      <c r="A50" s="1090"/>
      <c r="B50" s="1091"/>
      <c r="D50" s="1093"/>
      <c r="E50" s="903"/>
      <c r="F50" s="352"/>
    </row>
    <row r="51" spans="1:6">
      <c r="A51" s="1090"/>
      <c r="B51" s="1091"/>
      <c r="C51" s="1101" t="s">
        <v>2656</v>
      </c>
      <c r="D51" s="1093"/>
      <c r="E51" s="903"/>
      <c r="F51" s="352"/>
    </row>
    <row r="52" spans="1:6">
      <c r="A52" s="1090"/>
      <c r="B52" s="1100"/>
      <c r="C52" s="1094"/>
      <c r="D52" s="1093"/>
      <c r="E52" s="903"/>
      <c r="F52" s="352"/>
    </row>
    <row r="53" spans="1:6">
      <c r="A53" s="1090"/>
      <c r="B53" s="1102"/>
      <c r="C53" s="1103"/>
      <c r="D53" s="1104"/>
      <c r="E53" s="903"/>
      <c r="F53" s="352"/>
    </row>
    <row r="54" spans="1:6">
      <c r="A54" s="1086"/>
      <c r="B54" s="1087"/>
      <c r="C54" s="1088" t="s">
        <v>2676</v>
      </c>
      <c r="D54" s="1089"/>
      <c r="E54" s="303"/>
      <c r="F54" s="304"/>
    </row>
    <row r="55" spans="1:6">
      <c r="A55" s="1090"/>
      <c r="B55" s="1091" t="s">
        <v>2677</v>
      </c>
      <c r="C55" s="1541" t="s">
        <v>2678</v>
      </c>
      <c r="D55" s="1093" t="s">
        <v>2679</v>
      </c>
      <c r="E55" s="309">
        <v>10208.333333333334</v>
      </c>
      <c r="F55" s="352" t="s">
        <v>236</v>
      </c>
    </row>
    <row r="56" spans="1:6">
      <c r="A56" s="1090"/>
      <c r="B56" s="1091"/>
      <c r="C56" s="1542"/>
      <c r="D56" s="1093"/>
      <c r="E56" s="903"/>
      <c r="F56" s="352"/>
    </row>
    <row r="57" spans="1:6">
      <c r="A57" s="1090"/>
      <c r="B57" s="1095"/>
      <c r="C57" s="1542"/>
      <c r="D57" s="1093"/>
      <c r="E57" s="903"/>
      <c r="F57" s="352"/>
    </row>
    <row r="58" spans="1:6">
      <c r="A58" s="1090"/>
      <c r="B58" s="1091"/>
      <c r="C58" s="1107"/>
      <c r="D58" s="1093"/>
      <c r="E58" s="903"/>
      <c r="F58" s="352"/>
    </row>
    <row r="59" spans="1:6">
      <c r="A59" s="1090"/>
      <c r="B59" s="1091"/>
      <c r="D59" s="1093"/>
      <c r="E59" s="903"/>
      <c r="F59" s="352"/>
    </row>
    <row r="60" spans="1:6">
      <c r="A60" s="1090"/>
      <c r="B60" s="1091"/>
      <c r="C60" s="1098" t="s">
        <v>2680</v>
      </c>
      <c r="D60" s="1093"/>
      <c r="E60" s="903"/>
      <c r="F60" s="352"/>
    </row>
    <row r="61" spans="1:6">
      <c r="A61" s="1090"/>
      <c r="B61" s="1091"/>
      <c r="C61" s="1099" t="s">
        <v>2681</v>
      </c>
      <c r="D61" s="1093"/>
      <c r="E61" s="903"/>
      <c r="F61" s="352"/>
    </row>
    <row r="62" spans="1:6">
      <c r="A62" s="1090"/>
      <c r="B62" s="1091"/>
      <c r="D62" s="1093"/>
      <c r="E62" s="903"/>
      <c r="F62" s="352"/>
    </row>
    <row r="63" spans="1:6">
      <c r="A63" s="1090"/>
      <c r="B63" s="1091"/>
      <c r="C63" s="1101" t="s">
        <v>2656</v>
      </c>
      <c r="D63" s="1093"/>
      <c r="E63" s="903"/>
      <c r="F63" s="352"/>
    </row>
    <row r="64" spans="1:6">
      <c r="A64" s="1090"/>
      <c r="B64" s="1091"/>
      <c r="C64" s="1105"/>
      <c r="D64" s="1093"/>
      <c r="E64" s="903"/>
      <c r="F64" s="352"/>
    </row>
    <row r="65" spans="1:6">
      <c r="A65" s="1090"/>
      <c r="B65" s="1100"/>
      <c r="C65" s="1094"/>
      <c r="D65" s="1093"/>
      <c r="E65" s="903"/>
      <c r="F65" s="352"/>
    </row>
    <row r="66" spans="1:6">
      <c r="A66" s="1113"/>
      <c r="B66" s="1102"/>
      <c r="C66" s="1114"/>
      <c r="D66" s="1115"/>
      <c r="E66" s="907"/>
      <c r="F66" s="908"/>
    </row>
    <row r="67" spans="1:6">
      <c r="A67" s="1086"/>
      <c r="B67" s="1087"/>
      <c r="C67" s="1088" t="s">
        <v>2682</v>
      </c>
      <c r="D67" s="1089"/>
      <c r="E67" s="303"/>
      <c r="F67" s="304"/>
    </row>
    <row r="68" spans="1:6">
      <c r="A68" s="1090"/>
      <c r="B68" s="1091" t="s">
        <v>2683</v>
      </c>
      <c r="C68" s="1541" t="s">
        <v>2684</v>
      </c>
      <c r="D68" s="1093" t="s">
        <v>2673</v>
      </c>
      <c r="E68" s="309">
        <v>17000</v>
      </c>
      <c r="F68" s="352" t="s">
        <v>236</v>
      </c>
    </row>
    <row r="69" spans="1:6">
      <c r="A69" s="1090"/>
      <c r="B69" s="1091"/>
      <c r="C69" s="1542"/>
      <c r="D69" s="1093"/>
      <c r="E69" s="903"/>
      <c r="F69" s="352"/>
    </row>
    <row r="70" spans="1:6">
      <c r="A70" s="1090"/>
      <c r="B70" s="1095"/>
      <c r="C70" s="1542"/>
      <c r="D70" s="1093"/>
      <c r="E70" s="903"/>
      <c r="F70" s="352"/>
    </row>
    <row r="71" spans="1:6">
      <c r="A71" s="1090"/>
      <c r="B71" s="1091"/>
      <c r="C71" s="1542"/>
      <c r="D71" s="1093"/>
      <c r="E71" s="903"/>
      <c r="F71" s="352"/>
    </row>
    <row r="72" spans="1:6">
      <c r="A72" s="1090"/>
      <c r="B72" s="1091"/>
      <c r="D72" s="1093"/>
      <c r="E72" s="903"/>
      <c r="F72" s="352"/>
    </row>
    <row r="73" spans="1:6">
      <c r="A73" s="1090"/>
      <c r="B73" s="1091"/>
      <c r="C73" s="1098" t="s">
        <v>2662</v>
      </c>
      <c r="D73" s="1093"/>
      <c r="E73" s="903"/>
      <c r="F73" s="352"/>
    </row>
    <row r="74" spans="1:6">
      <c r="A74" s="1090"/>
      <c r="B74" s="1091"/>
      <c r="C74" s="1099" t="s">
        <v>2681</v>
      </c>
      <c r="D74" s="1093"/>
      <c r="E74" s="903"/>
      <c r="F74" s="352"/>
    </row>
    <row r="75" spans="1:6">
      <c r="A75" s="1090"/>
      <c r="B75" s="1091"/>
      <c r="D75" s="1093"/>
      <c r="E75" s="903"/>
      <c r="F75" s="352"/>
    </row>
    <row r="76" spans="1:6">
      <c r="A76" s="1090"/>
      <c r="B76" s="1091"/>
      <c r="C76" s="1101" t="s">
        <v>2656</v>
      </c>
      <c r="D76" s="1093"/>
      <c r="E76" s="903"/>
      <c r="F76" s="352"/>
    </row>
    <row r="77" spans="1:6">
      <c r="A77" s="1090"/>
      <c r="B77" s="1100"/>
      <c r="C77" s="1094"/>
      <c r="D77" s="1093"/>
      <c r="E77" s="903"/>
      <c r="F77" s="352"/>
    </row>
    <row r="78" spans="1:6">
      <c r="A78" s="1090"/>
      <c r="B78" s="1102"/>
      <c r="C78" s="1103"/>
      <c r="D78" s="1104"/>
      <c r="E78" s="903"/>
      <c r="F78" s="352"/>
    </row>
    <row r="79" spans="1:6">
      <c r="A79" s="1086"/>
      <c r="B79" s="1087"/>
      <c r="C79" s="1088" t="s">
        <v>2682</v>
      </c>
      <c r="D79" s="1089"/>
      <c r="E79" s="303"/>
      <c r="F79" s="304"/>
    </row>
    <row r="80" spans="1:6">
      <c r="A80" s="1090"/>
      <c r="B80" s="1091" t="s">
        <v>2683</v>
      </c>
      <c r="C80" s="1092" t="s">
        <v>2685</v>
      </c>
      <c r="D80" s="1093" t="s">
        <v>2673</v>
      </c>
      <c r="E80" s="309">
        <v>17395.555555555558</v>
      </c>
      <c r="F80" s="352" t="s">
        <v>236</v>
      </c>
    </row>
    <row r="81" spans="1:6">
      <c r="A81" s="1090"/>
      <c r="B81" s="1091"/>
      <c r="C81" s="1094" t="s">
        <v>2667</v>
      </c>
      <c r="D81" s="1093"/>
      <c r="E81" s="903"/>
      <c r="F81" s="352"/>
    </row>
    <row r="82" spans="1:6">
      <c r="A82" s="1090"/>
      <c r="B82" s="1095"/>
      <c r="C82" s="1096" t="s">
        <v>2674</v>
      </c>
      <c r="D82" s="1093"/>
      <c r="E82" s="903"/>
      <c r="F82" s="352"/>
    </row>
    <row r="83" spans="1:6">
      <c r="A83" s="1090"/>
      <c r="B83" s="1091"/>
      <c r="C83" s="1106" t="s">
        <v>2675</v>
      </c>
      <c r="D83" s="1093"/>
      <c r="E83" s="903"/>
      <c r="F83" s="352"/>
    </row>
    <row r="84" spans="1:6">
      <c r="A84" s="1090"/>
      <c r="B84" s="1091"/>
      <c r="D84" s="1093"/>
      <c r="E84" s="903"/>
      <c r="F84" s="352"/>
    </row>
    <row r="85" spans="1:6">
      <c r="A85" s="1090"/>
      <c r="B85" s="1091"/>
      <c r="C85" s="1098" t="s">
        <v>2662</v>
      </c>
      <c r="D85" s="1093"/>
      <c r="E85" s="903"/>
      <c r="F85" s="352"/>
    </row>
    <row r="86" spans="1:6">
      <c r="A86" s="1090"/>
      <c r="B86" s="1091"/>
      <c r="C86" s="1099" t="s">
        <v>2655</v>
      </c>
      <c r="D86" s="1093"/>
      <c r="E86" s="903"/>
      <c r="F86" s="352"/>
    </row>
    <row r="87" spans="1:6">
      <c r="A87" s="1090"/>
      <c r="B87" s="1091"/>
      <c r="D87" s="1093"/>
      <c r="E87" s="903"/>
      <c r="F87" s="352"/>
    </row>
    <row r="88" spans="1:6">
      <c r="A88" s="1090"/>
      <c r="B88" s="1091"/>
      <c r="C88" s="1101" t="s">
        <v>2656</v>
      </c>
      <c r="D88" s="1093"/>
      <c r="E88" s="903"/>
      <c r="F88" s="352"/>
    </row>
    <row r="89" spans="1:6">
      <c r="A89" s="1090"/>
      <c r="B89" s="1100"/>
      <c r="C89" s="1094"/>
      <c r="D89" s="1093"/>
      <c r="E89" s="903"/>
      <c r="F89" s="352"/>
    </row>
    <row r="90" spans="1:6">
      <c r="A90" s="1090"/>
      <c r="B90" s="1102"/>
      <c r="C90" s="1103"/>
      <c r="D90" s="1104"/>
      <c r="E90" s="903"/>
      <c r="F90" s="352"/>
    </row>
    <row r="91" spans="1:6">
      <c r="A91" s="1086"/>
      <c r="B91" s="1087"/>
      <c r="C91" s="1088" t="s">
        <v>2682</v>
      </c>
      <c r="D91" s="1089"/>
      <c r="E91" s="303"/>
      <c r="F91" s="304"/>
    </row>
    <row r="92" spans="1:6">
      <c r="A92" s="1090"/>
      <c r="B92" s="1091" t="s">
        <v>2686</v>
      </c>
      <c r="C92" s="1541" t="s">
        <v>2687</v>
      </c>
      <c r="D92" s="1093" t="s">
        <v>2688</v>
      </c>
      <c r="E92" s="309">
        <v>26131.111111111113</v>
      </c>
      <c r="F92" s="352" t="s">
        <v>236</v>
      </c>
    </row>
    <row r="93" spans="1:6">
      <c r="A93" s="1090"/>
      <c r="B93" s="1091"/>
      <c r="C93" s="1542"/>
      <c r="D93" s="1093"/>
      <c r="E93" s="903"/>
      <c r="F93" s="352"/>
    </row>
    <row r="94" spans="1:6">
      <c r="A94" s="1090"/>
      <c r="B94" s="1095"/>
      <c r="C94" s="1542"/>
      <c r="D94" s="1093"/>
      <c r="E94" s="903"/>
      <c r="F94" s="352"/>
    </row>
    <row r="95" spans="1:6">
      <c r="A95" s="1090"/>
      <c r="B95" s="1091"/>
      <c r="C95" s="1542"/>
      <c r="D95" s="1093"/>
      <c r="E95" s="903"/>
      <c r="F95" s="352"/>
    </row>
    <row r="96" spans="1:6">
      <c r="A96" s="1090"/>
      <c r="B96" s="1091"/>
      <c r="D96" s="1093"/>
      <c r="E96" s="903"/>
      <c r="F96" s="352"/>
    </row>
    <row r="97" spans="1:6">
      <c r="A97" s="1090"/>
      <c r="B97" s="1091"/>
      <c r="C97" s="1098" t="s">
        <v>2662</v>
      </c>
      <c r="D97" s="1093"/>
      <c r="E97" s="903"/>
      <c r="F97" s="352"/>
    </row>
    <row r="98" spans="1:6">
      <c r="A98" s="1090"/>
      <c r="B98" s="1091"/>
      <c r="C98" s="1099" t="s">
        <v>2681</v>
      </c>
      <c r="D98" s="1093"/>
      <c r="E98" s="903"/>
      <c r="F98" s="352"/>
    </row>
    <row r="99" spans="1:6">
      <c r="A99" s="1090"/>
      <c r="B99" s="1091"/>
      <c r="D99" s="1093"/>
      <c r="E99" s="903"/>
      <c r="F99" s="352"/>
    </row>
    <row r="100" spans="1:6">
      <c r="A100" s="1090"/>
      <c r="B100" s="1091"/>
      <c r="C100" s="1101" t="s">
        <v>2656</v>
      </c>
      <c r="D100" s="1093"/>
      <c r="E100" s="903"/>
      <c r="F100" s="352"/>
    </row>
    <row r="101" spans="1:6">
      <c r="A101" s="1090"/>
      <c r="B101" s="1100"/>
      <c r="C101" s="1094"/>
      <c r="D101" s="1093"/>
      <c r="E101" s="903"/>
      <c r="F101" s="352"/>
    </row>
    <row r="102" spans="1:6">
      <c r="A102" s="1090"/>
      <c r="B102" s="1102"/>
      <c r="C102" s="1103"/>
      <c r="D102" s="1104"/>
      <c r="E102" s="903"/>
      <c r="F102" s="352"/>
    </row>
    <row r="103" spans="1:6">
      <c r="A103" s="1086"/>
      <c r="B103" s="1087"/>
      <c r="C103" s="1088" t="s">
        <v>2676</v>
      </c>
      <c r="D103" s="1089"/>
      <c r="E103" s="303"/>
      <c r="F103" s="304"/>
    </row>
    <row r="104" spans="1:6">
      <c r="A104" s="1090"/>
      <c r="B104" s="1091" t="s">
        <v>2689</v>
      </c>
      <c r="C104" s="1092" t="s">
        <v>2690</v>
      </c>
      <c r="D104" s="1093"/>
      <c r="E104" s="309">
        <v>24500</v>
      </c>
      <c r="F104" s="352" t="s">
        <v>236</v>
      </c>
    </row>
    <row r="105" spans="1:6">
      <c r="A105" s="1090"/>
      <c r="B105" s="1091"/>
      <c r="C105" s="1094" t="s">
        <v>2667</v>
      </c>
      <c r="D105" s="1093"/>
      <c r="E105" s="903"/>
      <c r="F105" s="352"/>
    </row>
    <row r="106" spans="1:6">
      <c r="A106" s="1090"/>
      <c r="B106" s="1095"/>
      <c r="C106" s="1096" t="s">
        <v>2674</v>
      </c>
      <c r="D106" s="1093"/>
      <c r="E106" s="903"/>
      <c r="F106" s="352"/>
    </row>
    <row r="107" spans="1:6">
      <c r="A107" s="1090"/>
      <c r="B107" s="1091"/>
      <c r="C107" s="1107" t="s">
        <v>2691</v>
      </c>
      <c r="D107" s="1093"/>
      <c r="E107" s="903"/>
      <c r="F107" s="352"/>
    </row>
    <row r="108" spans="1:6">
      <c r="A108" s="1090"/>
      <c r="B108" s="1091"/>
      <c r="D108" s="1093"/>
      <c r="E108" s="903"/>
      <c r="F108" s="352"/>
    </row>
    <row r="109" spans="1:6">
      <c r="A109" s="1090"/>
      <c r="B109" s="1091"/>
      <c r="C109" s="1098" t="s">
        <v>2662</v>
      </c>
      <c r="D109" s="1093"/>
      <c r="E109" s="903"/>
      <c r="F109" s="352"/>
    </row>
    <row r="110" spans="1:6">
      <c r="A110" s="1090"/>
      <c r="B110" s="1091"/>
      <c r="C110" s="1099" t="s">
        <v>2655</v>
      </c>
      <c r="D110" s="1093"/>
      <c r="E110" s="903"/>
      <c r="F110" s="352"/>
    </row>
    <row r="111" spans="1:6">
      <c r="A111" s="1090"/>
      <c r="B111" s="1091"/>
      <c r="D111" s="1093"/>
      <c r="E111" s="903"/>
      <c r="F111" s="352"/>
    </row>
    <row r="112" spans="1:6">
      <c r="A112" s="1090"/>
      <c r="B112" s="1091"/>
      <c r="C112" s="1101" t="s">
        <v>2656</v>
      </c>
      <c r="D112" s="1093"/>
      <c r="E112" s="903"/>
      <c r="F112" s="352"/>
    </row>
    <row r="113" spans="1:6">
      <c r="A113" s="1090"/>
      <c r="B113" s="1091"/>
      <c r="C113" s="1105"/>
      <c r="D113" s="1093"/>
      <c r="E113" s="903"/>
      <c r="F113" s="352"/>
    </row>
    <row r="114" spans="1:6">
      <c r="A114" s="1090"/>
      <c r="B114" s="1100"/>
      <c r="C114" s="1094"/>
      <c r="D114" s="1093"/>
      <c r="E114" s="903"/>
      <c r="F114" s="352"/>
    </row>
    <row r="115" spans="1:6">
      <c r="A115" s="1113"/>
      <c r="B115" s="1102"/>
      <c r="C115" s="1114"/>
      <c r="D115" s="1115"/>
      <c r="E115" s="903"/>
      <c r="F115" s="352"/>
    </row>
    <row r="116" spans="1:6">
      <c r="A116" s="1086"/>
      <c r="B116" s="1087"/>
      <c r="C116" s="1088" t="s">
        <v>2676</v>
      </c>
      <c r="D116" s="1089"/>
      <c r="E116" s="303"/>
      <c r="F116" s="304"/>
    </row>
    <row r="117" spans="1:6">
      <c r="A117" s="1090"/>
      <c r="B117" s="1091" t="s">
        <v>2692</v>
      </c>
      <c r="C117" s="1092" t="s">
        <v>2690</v>
      </c>
      <c r="D117" s="1093" t="s">
        <v>1391</v>
      </c>
      <c r="E117" s="309">
        <v>24500</v>
      </c>
      <c r="F117" s="352" t="s">
        <v>236</v>
      </c>
    </row>
    <row r="118" spans="1:6">
      <c r="A118" s="1090"/>
      <c r="B118" s="1091"/>
      <c r="C118" s="1094" t="s">
        <v>2667</v>
      </c>
      <c r="D118" s="1093"/>
      <c r="E118" s="903"/>
      <c r="F118" s="352"/>
    </row>
    <row r="119" spans="1:6">
      <c r="A119" s="1090"/>
      <c r="B119" s="1095"/>
      <c r="C119" s="1096" t="s">
        <v>2674</v>
      </c>
      <c r="D119" s="1093"/>
      <c r="E119" s="903"/>
      <c r="F119" s="352"/>
    </row>
    <row r="120" spans="1:6">
      <c r="A120" s="1090"/>
      <c r="B120" s="1091"/>
      <c r="C120" s="1107" t="s">
        <v>2693</v>
      </c>
      <c r="D120" s="1093"/>
      <c r="E120" s="903"/>
      <c r="F120" s="352"/>
    </row>
    <row r="121" spans="1:6">
      <c r="A121" s="1090"/>
      <c r="B121" s="1091"/>
      <c r="D121" s="1093"/>
      <c r="E121" s="903"/>
      <c r="F121" s="352"/>
    </row>
    <row r="122" spans="1:6">
      <c r="A122" s="1090"/>
      <c r="B122" s="1091"/>
      <c r="C122" s="1098" t="s">
        <v>2662</v>
      </c>
      <c r="D122" s="1093"/>
      <c r="E122" s="903"/>
      <c r="F122" s="352"/>
    </row>
    <row r="123" spans="1:6">
      <c r="A123" s="1090"/>
      <c r="B123" s="1091"/>
      <c r="C123" s="1099" t="s">
        <v>2655</v>
      </c>
      <c r="D123" s="1093"/>
      <c r="E123" s="903"/>
      <c r="F123" s="352"/>
    </row>
    <row r="124" spans="1:6">
      <c r="A124" s="1090"/>
      <c r="B124" s="1091"/>
      <c r="D124" s="1093"/>
      <c r="E124" s="903"/>
      <c r="F124" s="352"/>
    </row>
    <row r="125" spans="1:6">
      <c r="A125" s="1090"/>
      <c r="B125" s="1091"/>
      <c r="C125" s="1101" t="s">
        <v>2656</v>
      </c>
      <c r="D125" s="1093"/>
      <c r="E125" s="903"/>
      <c r="F125" s="352"/>
    </row>
    <row r="126" spans="1:6">
      <c r="A126" s="1090"/>
      <c r="B126" s="1091"/>
      <c r="C126" s="1105"/>
      <c r="D126" s="1093"/>
      <c r="E126" s="903"/>
      <c r="F126" s="352"/>
    </row>
    <row r="127" spans="1:6">
      <c r="A127" s="1090"/>
      <c r="B127" s="1100"/>
      <c r="C127" s="1094"/>
      <c r="D127" s="1093"/>
      <c r="E127" s="903"/>
      <c r="F127" s="352"/>
    </row>
    <row r="128" spans="1:6">
      <c r="A128" s="1113"/>
      <c r="B128" s="1102"/>
      <c r="C128" s="1114"/>
      <c r="D128" s="1116"/>
      <c r="E128" s="907"/>
      <c r="F128" s="908"/>
    </row>
    <row r="129" spans="1:60">
      <c r="A129" s="1086"/>
      <c r="B129" s="1087"/>
      <c r="C129" s="1088" t="s">
        <v>2694</v>
      </c>
      <c r="D129" s="1089"/>
      <c r="E129" s="303"/>
      <c r="F129" s="304"/>
    </row>
    <row r="130" spans="1:60">
      <c r="A130" s="1090"/>
      <c r="B130" s="1091" t="s">
        <v>2695</v>
      </c>
      <c r="C130" s="1541" t="s">
        <v>2696</v>
      </c>
      <c r="D130" s="1093" t="s">
        <v>2697</v>
      </c>
      <c r="E130" s="309">
        <v>34629.166666666664</v>
      </c>
      <c r="F130" s="352" t="s">
        <v>236</v>
      </c>
    </row>
    <row r="131" spans="1:60">
      <c r="A131" s="1090"/>
      <c r="B131" s="1091"/>
      <c r="C131" s="1542"/>
      <c r="D131" s="1093"/>
      <c r="E131" s="903"/>
      <c r="F131" s="352"/>
    </row>
    <row r="132" spans="1:60">
      <c r="A132" s="1090"/>
      <c r="B132" s="1095"/>
      <c r="C132" s="1542"/>
      <c r="D132" s="1093"/>
      <c r="E132" s="903"/>
      <c r="F132" s="352"/>
    </row>
    <row r="133" spans="1:60">
      <c r="A133" s="1090"/>
      <c r="B133" s="1091"/>
      <c r="C133" s="1107"/>
      <c r="D133" s="1093"/>
      <c r="E133" s="903"/>
      <c r="F133" s="352"/>
    </row>
    <row r="134" spans="1:60">
      <c r="A134" s="1090"/>
      <c r="B134" s="1091"/>
      <c r="D134" s="1093"/>
      <c r="E134" s="903"/>
      <c r="F134" s="352"/>
    </row>
    <row r="135" spans="1:60">
      <c r="A135" s="1090"/>
      <c r="B135" s="1091"/>
      <c r="C135" s="1098" t="s">
        <v>2680</v>
      </c>
      <c r="D135" s="1093"/>
      <c r="E135" s="903"/>
      <c r="F135" s="352"/>
    </row>
    <row r="136" spans="1:60">
      <c r="A136" s="1090"/>
      <c r="B136" s="1091"/>
      <c r="C136" s="1099" t="s">
        <v>2681</v>
      </c>
      <c r="D136" s="1093"/>
      <c r="E136" s="903"/>
      <c r="F136" s="352"/>
    </row>
    <row r="137" spans="1:60">
      <c r="A137" s="1090"/>
      <c r="B137" s="1091"/>
      <c r="D137" s="1093"/>
      <c r="E137" s="903"/>
      <c r="F137" s="352"/>
    </row>
    <row r="138" spans="1:60">
      <c r="A138" s="1090"/>
      <c r="B138" s="1091"/>
      <c r="C138" s="1101" t="s">
        <v>2656</v>
      </c>
      <c r="D138" s="1093"/>
      <c r="E138" s="903"/>
      <c r="F138" s="352"/>
    </row>
    <row r="139" spans="1:60">
      <c r="A139" s="1090"/>
      <c r="B139" s="1091"/>
      <c r="C139" s="1105"/>
      <c r="D139" s="1093"/>
      <c r="E139" s="903"/>
      <c r="F139" s="352"/>
    </row>
    <row r="140" spans="1:60">
      <c r="A140" s="1090"/>
      <c r="B140" s="1100"/>
      <c r="C140" s="1094"/>
      <c r="D140" s="1093"/>
      <c r="E140" s="903"/>
      <c r="F140" s="352"/>
    </row>
    <row r="141" spans="1:60">
      <c r="A141" s="1113"/>
      <c r="B141" s="1102"/>
      <c r="C141" s="1114"/>
      <c r="D141" s="1115"/>
      <c r="E141" s="907"/>
      <c r="F141" s="908"/>
    </row>
    <row r="142" spans="1:60" s="1069" customFormat="1" ht="15" customHeight="1">
      <c r="A142" s="1070" t="s">
        <v>2645</v>
      </c>
      <c r="B142" s="1071"/>
      <c r="C142" s="1543" t="s">
        <v>1906</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 customHeight="1">
      <c r="A143" s="1075" t="s">
        <v>1907</v>
      </c>
      <c r="B143" s="1076"/>
      <c r="C143" s="1544"/>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2698</v>
      </c>
      <c r="D144" s="1089"/>
      <c r="E144" s="1089"/>
      <c r="F144" s="1089"/>
    </row>
    <row r="145" spans="1:6">
      <c r="A145" s="1090"/>
      <c r="B145" s="1091" t="s">
        <v>2699</v>
      </c>
      <c r="C145" s="1541" t="s">
        <v>2700</v>
      </c>
      <c r="D145" s="1093" t="s">
        <v>2701</v>
      </c>
      <c r="E145" s="1117">
        <v>3537.5</v>
      </c>
      <c r="F145" s="352" t="s">
        <v>236</v>
      </c>
    </row>
    <row r="146" spans="1:6">
      <c r="A146" s="1090"/>
      <c r="B146" s="1091"/>
      <c r="C146" s="1542"/>
      <c r="D146" s="1093"/>
      <c r="E146" s="1093"/>
      <c r="F146" s="1091"/>
    </row>
    <row r="147" spans="1:6">
      <c r="A147" s="1090"/>
      <c r="B147" s="1095"/>
      <c r="C147" s="1542"/>
      <c r="D147" s="1093"/>
      <c r="E147" s="1093"/>
      <c r="F147" s="1091"/>
    </row>
    <row r="148" spans="1:6">
      <c r="A148" s="1090"/>
      <c r="B148" s="1095"/>
      <c r="C148" s="1107"/>
      <c r="D148" s="1095"/>
      <c r="E148" s="1095"/>
      <c r="F148" s="1095"/>
    </row>
    <row r="149" spans="1:6">
      <c r="B149" s="1095"/>
      <c r="C149" s="1099" t="s">
        <v>2702</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2703</v>
      </c>
      <c r="D152" s="1089"/>
      <c r="E152" s="1089"/>
      <c r="F152" s="1089"/>
    </row>
    <row r="153" spans="1:6">
      <c r="A153" s="1090"/>
      <c r="B153" s="1091" t="s">
        <v>2704</v>
      </c>
      <c r="C153" s="1541" t="s">
        <v>2705</v>
      </c>
      <c r="D153" s="1093" t="s">
        <v>2701</v>
      </c>
      <c r="E153" s="1117">
        <v>1766.6666666666667</v>
      </c>
      <c r="F153" s="352" t="s">
        <v>236</v>
      </c>
    </row>
    <row r="154" spans="1:6">
      <c r="A154" s="1090"/>
      <c r="B154" s="1091"/>
      <c r="C154" s="1542"/>
      <c r="D154" s="1093"/>
      <c r="E154" s="1093"/>
      <c r="F154" s="1091"/>
    </row>
    <row r="155" spans="1:6">
      <c r="A155" s="1090"/>
      <c r="B155" s="1095"/>
      <c r="C155" s="1542"/>
      <c r="D155" s="1093"/>
      <c r="E155" s="1093"/>
      <c r="F155" s="1091"/>
    </row>
    <row r="156" spans="1:6">
      <c r="A156" s="1090"/>
      <c r="B156" s="1095"/>
      <c r="C156" s="1098" t="s">
        <v>2706</v>
      </c>
      <c r="D156" s="1095"/>
      <c r="E156" s="1095"/>
      <c r="F156" s="1095"/>
    </row>
    <row r="157" spans="1:6">
      <c r="B157" s="1095"/>
      <c r="C157" s="1099" t="s">
        <v>2702</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2707</v>
      </c>
      <c r="D162" s="1089"/>
      <c r="E162" s="1089"/>
      <c r="F162" s="1089"/>
    </row>
    <row r="163" spans="1:6">
      <c r="A163" s="1090"/>
      <c r="B163" s="1091" t="s">
        <v>2708</v>
      </c>
      <c r="C163" s="1541" t="s">
        <v>2709</v>
      </c>
      <c r="D163" s="1093"/>
      <c r="E163" s="1117">
        <v>1766.6666666666667</v>
      </c>
      <c r="F163" s="352" t="s">
        <v>236</v>
      </c>
    </row>
    <row r="164" spans="1:6">
      <c r="A164" s="1090"/>
      <c r="B164" s="1091"/>
      <c r="C164" s="1542"/>
      <c r="D164" s="1093"/>
      <c r="E164" s="1093"/>
      <c r="F164" s="1091"/>
    </row>
    <row r="165" spans="1:6">
      <c r="A165" s="1090"/>
      <c r="B165" s="1095"/>
      <c r="C165" s="1542"/>
      <c r="D165" s="1093"/>
      <c r="E165" s="1093"/>
      <c r="F165" s="1091"/>
    </row>
    <row r="166" spans="1:6">
      <c r="A166" s="1090"/>
      <c r="B166" s="1095"/>
      <c r="C166" s="1098" t="s">
        <v>2706</v>
      </c>
      <c r="D166" s="1095"/>
      <c r="E166" s="1095"/>
      <c r="F166" s="1095"/>
    </row>
    <row r="167" spans="1:6">
      <c r="B167" s="1095"/>
      <c r="C167" s="1099" t="s">
        <v>2702</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2710</v>
      </c>
      <c r="D172" s="1089"/>
      <c r="E172" s="1089"/>
      <c r="F172" s="1089"/>
    </row>
    <row r="173" spans="1:6">
      <c r="A173" s="1090"/>
      <c r="B173" s="1091" t="s">
        <v>2711</v>
      </c>
      <c r="C173" s="1541" t="s">
        <v>2712</v>
      </c>
      <c r="D173" s="1093"/>
      <c r="E173" s="1117">
        <v>1766.6666666666667</v>
      </c>
      <c r="F173" s="352" t="s">
        <v>236</v>
      </c>
    </row>
    <row r="174" spans="1:6">
      <c r="A174" s="1090"/>
      <c r="B174" s="1091"/>
      <c r="C174" s="1542"/>
      <c r="D174" s="1093"/>
      <c r="E174" s="1093"/>
      <c r="F174" s="1091"/>
    </row>
    <row r="175" spans="1:6">
      <c r="A175" s="1090"/>
      <c r="B175" s="1095"/>
      <c r="C175" s="1542"/>
      <c r="D175" s="1093"/>
      <c r="E175" s="1093"/>
      <c r="F175" s="1091"/>
    </row>
    <row r="176" spans="1:6">
      <c r="A176" s="1090"/>
      <c r="B176" s="1095"/>
      <c r="C176" s="1098" t="s">
        <v>2706</v>
      </c>
      <c r="D176" s="1095"/>
      <c r="E176" s="1095"/>
      <c r="F176" s="1095"/>
    </row>
    <row r="177" spans="1:60">
      <c r="B177" s="1095"/>
      <c r="C177" s="1099" t="s">
        <v>2702</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2710</v>
      </c>
      <c r="D182" s="1089"/>
      <c r="E182" s="1089"/>
      <c r="F182" s="1089"/>
    </row>
    <row r="183" spans="1:60">
      <c r="A183" s="1090"/>
      <c r="B183" s="1547" t="s">
        <v>2713</v>
      </c>
      <c r="C183" s="1541" t="s">
        <v>2714</v>
      </c>
      <c r="D183" s="1093"/>
      <c r="E183" s="1117">
        <v>4370.833333333333</v>
      </c>
      <c r="F183" s="352" t="s">
        <v>236</v>
      </c>
    </row>
    <row r="184" spans="1:60">
      <c r="A184" s="1090"/>
      <c r="B184" s="1548"/>
      <c r="C184" s="1542"/>
      <c r="D184" s="1093"/>
      <c r="E184" s="1093"/>
      <c r="F184" s="1091"/>
    </row>
    <row r="185" spans="1:60">
      <c r="A185" s="1090"/>
      <c r="B185" s="1095"/>
      <c r="C185" s="1542"/>
      <c r="D185" s="1093"/>
      <c r="E185" s="1093"/>
      <c r="F185" s="1091"/>
    </row>
    <row r="186" spans="1:60">
      <c r="A186" s="1090"/>
      <c r="B186" s="1095"/>
      <c r="C186" s="1098" t="s">
        <v>2715</v>
      </c>
      <c r="D186" s="1095"/>
      <c r="E186" s="1095"/>
      <c r="F186" s="1095"/>
    </row>
    <row r="187" spans="1:60">
      <c r="B187" s="1095"/>
      <c r="C187" s="1099" t="s">
        <v>2702</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2645</v>
      </c>
      <c r="B192" s="1071"/>
      <c r="C192" s="1543" t="s">
        <v>2716</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 customHeight="1">
      <c r="A193" s="1075" t="s">
        <v>2647</v>
      </c>
      <c r="B193" s="1076"/>
      <c r="C193" s="1544"/>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2694</v>
      </c>
      <c r="D194" s="1087"/>
      <c r="E194" s="1087"/>
      <c r="F194" s="1087"/>
    </row>
    <row r="195" spans="1:60">
      <c r="A195" s="1090"/>
      <c r="B195" s="1091" t="s">
        <v>2717</v>
      </c>
      <c r="C195" s="1541" t="s">
        <v>2696</v>
      </c>
      <c r="D195" s="1091" t="s">
        <v>2697</v>
      </c>
      <c r="E195" s="1117">
        <v>37179.166666666664</v>
      </c>
      <c r="F195" s="352" t="s">
        <v>236</v>
      </c>
    </row>
    <row r="196" spans="1:60">
      <c r="A196" s="1090"/>
      <c r="B196" s="1091"/>
      <c r="C196" s="1542"/>
      <c r="D196" s="1091"/>
      <c r="E196" s="1091"/>
      <c r="F196" s="1091"/>
    </row>
    <row r="197" spans="1:60">
      <c r="A197" s="1090"/>
      <c r="B197" s="1095"/>
      <c r="C197" s="1542"/>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2706</v>
      </c>
      <c r="D200" s="1091"/>
      <c r="E200" s="1091"/>
      <c r="F200" s="1091"/>
    </row>
    <row r="201" spans="1:60">
      <c r="A201" s="1090"/>
      <c r="B201" s="1091"/>
      <c r="C201" s="1099" t="s">
        <v>2681</v>
      </c>
      <c r="D201" s="1091"/>
      <c r="E201" s="1091"/>
      <c r="F201" s="1091"/>
    </row>
    <row r="202" spans="1:60">
      <c r="A202" s="1090"/>
      <c r="B202" s="1091"/>
      <c r="D202" s="1091"/>
      <c r="E202" s="1091"/>
      <c r="F202" s="1091"/>
    </row>
    <row r="203" spans="1:60">
      <c r="A203" s="1090"/>
      <c r="B203" s="1091"/>
      <c r="C203" s="1101" t="s">
        <v>2656</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2694</v>
      </c>
      <c r="D207" s="1087"/>
      <c r="E207" s="1087"/>
      <c r="F207" s="1087"/>
    </row>
    <row r="208" spans="1:60">
      <c r="A208" s="1090"/>
      <c r="B208" s="1091" t="s">
        <v>2718</v>
      </c>
      <c r="C208" s="1541" t="s">
        <v>2696</v>
      </c>
      <c r="D208" s="1091" t="s">
        <v>2697</v>
      </c>
      <c r="E208" s="1117">
        <v>36245.833333333336</v>
      </c>
      <c r="F208" s="352" t="s">
        <v>236</v>
      </c>
    </row>
    <row r="209" spans="1:6">
      <c r="A209" s="1090"/>
      <c r="B209" s="1091"/>
      <c r="C209" s="1542"/>
      <c r="D209" s="1091"/>
      <c r="E209" s="1091"/>
      <c r="F209" s="1091"/>
    </row>
    <row r="210" spans="1:6">
      <c r="A210" s="1090"/>
      <c r="B210" s="1095"/>
      <c r="C210" s="1542"/>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2715</v>
      </c>
      <c r="D213" s="1091"/>
      <c r="E213" s="1091"/>
      <c r="F213" s="1091"/>
    </row>
    <row r="214" spans="1:6">
      <c r="A214" s="1090"/>
      <c r="B214" s="1091"/>
      <c r="C214" s="1099" t="s">
        <v>2681</v>
      </c>
      <c r="D214" s="1091"/>
      <c r="E214" s="1091"/>
      <c r="F214" s="1091"/>
    </row>
    <row r="215" spans="1:6">
      <c r="A215" s="1090"/>
      <c r="B215" s="1091"/>
      <c r="D215" s="1091"/>
      <c r="E215" s="1091"/>
      <c r="F215" s="1091"/>
    </row>
    <row r="216" spans="1:6">
      <c r="A216" s="1090"/>
      <c r="B216" s="1091"/>
      <c r="C216" s="1101" t="s">
        <v>2656</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2719</v>
      </c>
      <c r="D220" s="1087"/>
      <c r="E220" s="1087"/>
      <c r="F220" s="1087"/>
    </row>
    <row r="221" spans="1:6">
      <c r="A221" s="1090"/>
      <c r="B221" s="1091" t="s">
        <v>2720</v>
      </c>
      <c r="C221" s="1092" t="s">
        <v>2721</v>
      </c>
      <c r="D221" s="1091" t="s">
        <v>2722</v>
      </c>
      <c r="E221" s="1117">
        <v>24500</v>
      </c>
      <c r="F221" s="352" t="s">
        <v>236</v>
      </c>
    </row>
    <row r="222" spans="1:6">
      <c r="A222" s="1090"/>
      <c r="B222" s="1091"/>
      <c r="C222" s="1094" t="s">
        <v>2667</v>
      </c>
      <c r="D222" s="1091"/>
      <c r="E222" s="1091"/>
      <c r="F222" s="1091"/>
    </row>
    <row r="223" spans="1:6">
      <c r="A223" s="1090"/>
      <c r="B223" s="1095"/>
      <c r="C223" s="1096" t="s">
        <v>2674</v>
      </c>
      <c r="D223" s="1091"/>
      <c r="E223" s="1091"/>
      <c r="F223" s="1091"/>
    </row>
    <row r="224" spans="1:6">
      <c r="A224" s="1090"/>
      <c r="B224" s="1091"/>
      <c r="C224" s="1107" t="s">
        <v>2723</v>
      </c>
      <c r="D224" s="1091"/>
      <c r="E224" s="1091"/>
      <c r="F224" s="1091"/>
    </row>
    <row r="225" spans="1:60">
      <c r="A225" s="1090"/>
      <c r="B225" s="1091"/>
      <c r="D225" s="1091"/>
      <c r="E225" s="1091"/>
      <c r="F225" s="1091"/>
    </row>
    <row r="226" spans="1:60">
      <c r="A226" s="1090"/>
      <c r="B226" s="1091"/>
      <c r="C226" s="1098" t="s">
        <v>2680</v>
      </c>
      <c r="D226" s="1091"/>
      <c r="E226" s="1091"/>
      <c r="F226" s="1091"/>
    </row>
    <row r="227" spans="1:60">
      <c r="A227" s="1090"/>
      <c r="B227" s="1091"/>
      <c r="C227" s="1099" t="s">
        <v>2681</v>
      </c>
      <c r="D227" s="1091"/>
      <c r="E227" s="1091"/>
      <c r="F227" s="1091"/>
    </row>
    <row r="228" spans="1:60">
      <c r="A228" s="1090"/>
      <c r="B228" s="1091"/>
      <c r="D228" s="1091"/>
      <c r="E228" s="1091"/>
      <c r="F228" s="1091"/>
    </row>
    <row r="229" spans="1:60">
      <c r="A229" s="1090"/>
      <c r="B229" s="1091"/>
      <c r="C229" s="1101" t="s">
        <v>2656</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2645</v>
      </c>
      <c r="B233" s="1071"/>
      <c r="C233" s="1543" t="s">
        <v>2724</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 customHeight="1">
      <c r="A234" s="1075" t="s">
        <v>2725</v>
      </c>
      <c r="B234" s="1076"/>
      <c r="C234" s="1544"/>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2726</v>
      </c>
      <c r="D235" s="1089"/>
      <c r="E235" s="1089"/>
      <c r="F235" s="1089"/>
    </row>
    <row r="236" spans="1:60">
      <c r="A236" s="1090"/>
      <c r="B236" s="1547" t="s">
        <v>2727</v>
      </c>
      <c r="C236" s="1541" t="s">
        <v>2728</v>
      </c>
      <c r="D236" s="1122"/>
      <c r="E236" s="1117">
        <v>18747.916666666668</v>
      </c>
      <c r="F236" s="352" t="s">
        <v>236</v>
      </c>
    </row>
    <row r="237" spans="1:60">
      <c r="A237" s="1090"/>
      <c r="B237" s="1548"/>
      <c r="C237" s="1542"/>
      <c r="D237" s="1091"/>
      <c r="E237" s="1117"/>
      <c r="F237" s="1091"/>
    </row>
    <row r="238" spans="1:60">
      <c r="A238" s="1090"/>
      <c r="B238" s="1095"/>
      <c r="C238" s="1542"/>
      <c r="D238" s="1091"/>
      <c r="E238" s="1091"/>
      <c r="F238" s="1091"/>
    </row>
    <row r="239" spans="1:60">
      <c r="A239" s="1090"/>
      <c r="B239" s="1095"/>
      <c r="C239" s="1112"/>
      <c r="D239" s="1091"/>
      <c r="E239" s="1091"/>
      <c r="F239" s="1091"/>
    </row>
    <row r="240" spans="1:60">
      <c r="A240" s="1090"/>
      <c r="B240" s="1095"/>
      <c r="C240" s="1098" t="s">
        <v>2729</v>
      </c>
      <c r="D240" s="1095"/>
      <c r="E240" s="1095"/>
      <c r="F240" s="1095"/>
    </row>
    <row r="241" spans="1:6">
      <c r="B241" s="1095"/>
      <c r="C241" s="1099" t="s">
        <v>2681</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2726</v>
      </c>
      <c r="D246" s="1089"/>
      <c r="E246" s="1089"/>
      <c r="F246" s="1089"/>
    </row>
    <row r="247" spans="1:6">
      <c r="A247" s="1090"/>
      <c r="B247" s="1547" t="s">
        <v>2730</v>
      </c>
      <c r="C247" s="1541" t="s">
        <v>2731</v>
      </c>
      <c r="D247" s="1122"/>
      <c r="E247" s="1117">
        <v>19622.916666666668</v>
      </c>
      <c r="F247" s="352" t="s">
        <v>236</v>
      </c>
    </row>
    <row r="248" spans="1:6">
      <c r="A248" s="1090"/>
      <c r="B248" s="1548"/>
      <c r="C248" s="1542"/>
      <c r="D248" s="1091"/>
      <c r="E248" s="1091"/>
      <c r="F248" s="1091"/>
    </row>
    <row r="249" spans="1:6">
      <c r="A249" s="1090"/>
      <c r="B249" s="1095"/>
      <c r="C249" s="1542"/>
      <c r="D249" s="1091"/>
      <c r="E249" s="1091"/>
      <c r="F249" s="1091"/>
    </row>
    <row r="250" spans="1:6">
      <c r="A250" s="1090"/>
      <c r="B250" s="1095"/>
      <c r="C250" s="1112"/>
      <c r="D250" s="1091"/>
      <c r="E250" s="1091"/>
      <c r="F250" s="1091"/>
    </row>
    <row r="251" spans="1:6">
      <c r="A251" s="1090"/>
      <c r="B251" s="1095"/>
      <c r="C251" s="1098" t="s">
        <v>2732</v>
      </c>
      <c r="D251" s="1095"/>
      <c r="E251" s="1095"/>
      <c r="F251" s="1095"/>
    </row>
    <row r="252" spans="1:6">
      <c r="B252" s="1095"/>
      <c r="C252" s="1099" t="s">
        <v>2681</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2726</v>
      </c>
      <c r="D257" s="1089"/>
      <c r="E257" s="1089"/>
      <c r="F257" s="1089"/>
    </row>
    <row r="258" spans="1:6">
      <c r="A258" s="1090"/>
      <c r="B258" s="1547" t="s">
        <v>2733</v>
      </c>
      <c r="C258" s="1541" t="s">
        <v>2734</v>
      </c>
      <c r="D258" s="1122"/>
      <c r="E258" s="1117">
        <v>19622.916666666668</v>
      </c>
      <c r="F258" s="352" t="s">
        <v>236</v>
      </c>
    </row>
    <row r="259" spans="1:6">
      <c r="A259" s="1090"/>
      <c r="B259" s="1548"/>
      <c r="C259" s="1542"/>
      <c r="D259" s="1091"/>
      <c r="E259" s="1091"/>
      <c r="F259" s="1091"/>
    </row>
    <row r="260" spans="1:6">
      <c r="A260" s="1090"/>
      <c r="B260" s="1095"/>
      <c r="C260" s="1542"/>
      <c r="D260" s="1091"/>
      <c r="E260" s="1091"/>
      <c r="F260" s="1091"/>
    </row>
    <row r="261" spans="1:6">
      <c r="A261" s="1090"/>
      <c r="B261" s="1095"/>
      <c r="C261" s="1112"/>
      <c r="D261" s="1091"/>
      <c r="E261" s="1091"/>
      <c r="F261" s="1091"/>
    </row>
    <row r="262" spans="1:6">
      <c r="A262" s="1090"/>
      <c r="B262" s="1095"/>
      <c r="C262" s="1098" t="s">
        <v>2735</v>
      </c>
      <c r="D262" s="1095"/>
      <c r="E262" s="1095"/>
      <c r="F262" s="1095"/>
    </row>
    <row r="263" spans="1:6">
      <c r="B263" s="1095"/>
      <c r="C263" s="1099" t="s">
        <v>2681</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2726</v>
      </c>
      <c r="D268" s="1089"/>
      <c r="E268" s="1089"/>
      <c r="F268" s="1089"/>
    </row>
    <row r="269" spans="1:6">
      <c r="A269" s="1090"/>
      <c r="B269" s="1547" t="s">
        <v>2736</v>
      </c>
      <c r="C269" s="1541" t="s">
        <v>2737</v>
      </c>
      <c r="D269" s="1122"/>
      <c r="E269" s="1117">
        <v>31025</v>
      </c>
      <c r="F269" s="352" t="s">
        <v>236</v>
      </c>
    </row>
    <row r="270" spans="1:6">
      <c r="A270" s="1090"/>
      <c r="B270" s="1548"/>
      <c r="C270" s="1542"/>
      <c r="D270" s="1091"/>
      <c r="E270" s="1091"/>
      <c r="F270" s="1091"/>
    </row>
    <row r="271" spans="1:6">
      <c r="A271" s="1090"/>
      <c r="B271" s="1095"/>
      <c r="C271" s="1542"/>
      <c r="D271" s="1091"/>
      <c r="E271" s="1091"/>
      <c r="F271" s="1091"/>
    </row>
    <row r="272" spans="1:6">
      <c r="A272" s="1090"/>
      <c r="B272" s="1095"/>
      <c r="C272" s="1112"/>
      <c r="D272" s="1091"/>
      <c r="E272" s="1091"/>
      <c r="F272" s="1091"/>
    </row>
    <row r="273" spans="1:6">
      <c r="A273" s="1090"/>
      <c r="B273" s="1095"/>
      <c r="C273" s="1098" t="s">
        <v>2738</v>
      </c>
      <c r="D273" s="1095"/>
      <c r="E273" s="1095"/>
      <c r="F273" s="1095"/>
    </row>
    <row r="274" spans="1:6">
      <c r="B274" s="1095"/>
      <c r="C274" s="1099" t="s">
        <v>2681</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2726</v>
      </c>
      <c r="D279" s="1089"/>
      <c r="E279" s="1089"/>
      <c r="F279" s="1089"/>
    </row>
    <row r="280" spans="1:6">
      <c r="A280" s="1090"/>
      <c r="B280" s="1547" t="s">
        <v>2739</v>
      </c>
      <c r="C280" s="1541" t="s">
        <v>2740</v>
      </c>
      <c r="D280" s="1122"/>
      <c r="E280" s="1117">
        <v>22781.25</v>
      </c>
      <c r="F280" s="352" t="s">
        <v>236</v>
      </c>
    </row>
    <row r="281" spans="1:6">
      <c r="A281" s="1090"/>
      <c r="B281" s="1548"/>
      <c r="C281" s="1542"/>
      <c r="D281" s="1091"/>
      <c r="E281" s="1091"/>
      <c r="F281" s="1091"/>
    </row>
    <row r="282" spans="1:6">
      <c r="A282" s="1090"/>
      <c r="B282" s="1095"/>
      <c r="C282" s="1542"/>
      <c r="D282" s="1091"/>
      <c r="E282" s="1091"/>
      <c r="F282" s="1091"/>
    </row>
    <row r="283" spans="1:6">
      <c r="A283" s="1090"/>
      <c r="B283" s="1095"/>
      <c r="C283" s="1112"/>
      <c r="D283" s="1091"/>
      <c r="E283" s="1091"/>
      <c r="F283" s="1091"/>
    </row>
    <row r="284" spans="1:6">
      <c r="A284" s="1090"/>
      <c r="B284" s="1095"/>
      <c r="C284" s="1098" t="s">
        <v>2738</v>
      </c>
      <c r="D284" s="1095"/>
      <c r="E284" s="1095"/>
      <c r="F284" s="1095"/>
    </row>
    <row r="285" spans="1:6">
      <c r="B285" s="1095"/>
      <c r="C285" s="1099" t="s">
        <v>2681</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2726</v>
      </c>
      <c r="D290" s="1089"/>
      <c r="E290" s="1089"/>
      <c r="F290" s="1089"/>
    </row>
    <row r="291" spans="1:60">
      <c r="A291" s="1090"/>
      <c r="B291" s="1547" t="s">
        <v>2741</v>
      </c>
      <c r="C291" s="1541" t="s">
        <v>2742</v>
      </c>
      <c r="D291" s="1122"/>
      <c r="E291" s="1117">
        <v>16450</v>
      </c>
      <c r="F291" s="352" t="s">
        <v>236</v>
      </c>
    </row>
    <row r="292" spans="1:60">
      <c r="A292" s="1090"/>
      <c r="B292" s="1548"/>
      <c r="C292" s="1542"/>
      <c r="D292" s="1091"/>
      <c r="E292" s="1091"/>
      <c r="F292" s="1091"/>
    </row>
    <row r="293" spans="1:60">
      <c r="A293" s="1090"/>
      <c r="B293" s="1095"/>
      <c r="C293" s="1542"/>
      <c r="D293" s="1091"/>
      <c r="E293" s="1091"/>
      <c r="F293" s="1091"/>
    </row>
    <row r="294" spans="1:60">
      <c r="A294" s="1090"/>
      <c r="B294" s="1095"/>
      <c r="C294" s="1112"/>
      <c r="D294" s="1091"/>
      <c r="E294" s="1091"/>
      <c r="F294" s="1091"/>
    </row>
    <row r="295" spans="1:60">
      <c r="A295" s="1090"/>
      <c r="B295" s="1095"/>
      <c r="C295" s="1098" t="s">
        <v>2743</v>
      </c>
      <c r="D295" s="1095"/>
      <c r="E295" s="1095"/>
      <c r="F295" s="1095"/>
    </row>
    <row r="296" spans="1:60">
      <c r="B296" s="1095"/>
      <c r="C296" s="1099" t="s">
        <v>2681</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2645</v>
      </c>
      <c r="B301" s="1071"/>
      <c r="C301" s="1543" t="s">
        <v>2744</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 customHeight="1">
      <c r="A302" s="1075" t="s">
        <v>2745</v>
      </c>
      <c r="B302" s="1076"/>
      <c r="C302" s="1544"/>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2746</v>
      </c>
      <c r="D303" s="1089"/>
      <c r="E303" s="1089"/>
      <c r="F303" s="1089"/>
    </row>
    <row r="304" spans="1:60">
      <c r="A304" s="1090"/>
      <c r="B304" s="1547" t="s">
        <v>2747</v>
      </c>
      <c r="C304" s="1541" t="s">
        <v>2748</v>
      </c>
      <c r="D304" s="1122"/>
      <c r="E304" s="1117">
        <v>9318.75</v>
      </c>
      <c r="F304" s="352" t="s">
        <v>236</v>
      </c>
    </row>
    <row r="305" spans="1:6">
      <c r="A305" s="1090"/>
      <c r="B305" s="1548"/>
      <c r="C305" s="1542"/>
      <c r="D305" s="1091"/>
      <c r="E305" s="1091"/>
      <c r="F305" s="1091"/>
    </row>
    <row r="306" spans="1:6">
      <c r="A306" s="1090"/>
      <c r="B306" s="1095"/>
      <c r="C306" s="1542"/>
      <c r="D306" s="1091"/>
      <c r="E306" s="1091"/>
      <c r="F306" s="1091"/>
    </row>
    <row r="307" spans="1:6">
      <c r="A307" s="1090"/>
      <c r="B307" s="1095"/>
      <c r="C307" s="1112"/>
      <c r="D307" s="1091"/>
      <c r="E307" s="1091"/>
      <c r="F307" s="1091"/>
    </row>
    <row r="308" spans="1:6">
      <c r="A308" s="1090"/>
      <c r="B308" s="1095"/>
      <c r="C308" s="1098" t="s">
        <v>2749</v>
      </c>
      <c r="D308" s="1095"/>
      <c r="E308" s="1095"/>
      <c r="F308" s="1095"/>
    </row>
    <row r="309" spans="1:6">
      <c r="B309" s="1095"/>
      <c r="C309" s="1099" t="s">
        <v>2681</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2746</v>
      </c>
      <c r="D314" s="1089"/>
      <c r="E314" s="1089"/>
      <c r="F314" s="1089"/>
    </row>
    <row r="315" spans="1:6">
      <c r="A315" s="1090"/>
      <c r="B315" s="1547" t="s">
        <v>2750</v>
      </c>
      <c r="C315" s="1541" t="s">
        <v>2751</v>
      </c>
      <c r="D315" s="1093"/>
      <c r="E315" s="1117">
        <v>11014.583333333334</v>
      </c>
      <c r="F315" s="352" t="s">
        <v>236</v>
      </c>
    </row>
    <row r="316" spans="1:6">
      <c r="A316" s="1090"/>
      <c r="B316" s="1548"/>
      <c r="C316" s="1542"/>
      <c r="D316" s="1093"/>
      <c r="E316" s="1091"/>
      <c r="F316" s="1091"/>
    </row>
    <row r="317" spans="1:6">
      <c r="A317" s="1090"/>
      <c r="B317" s="1095"/>
      <c r="C317" s="1542"/>
      <c r="D317" s="1093"/>
      <c r="E317" s="1091"/>
      <c r="F317" s="1091"/>
    </row>
    <row r="318" spans="1:6">
      <c r="A318" s="1090"/>
      <c r="B318" s="1095"/>
      <c r="C318" s="1112"/>
      <c r="D318" s="1093"/>
      <c r="E318" s="1091"/>
      <c r="F318" s="1091"/>
    </row>
    <row r="319" spans="1:6">
      <c r="A319" s="1090"/>
      <c r="B319" s="1095"/>
      <c r="C319" s="1098" t="s">
        <v>2706</v>
      </c>
      <c r="D319" s="1095"/>
      <c r="E319" s="1095"/>
      <c r="F319" s="1095"/>
    </row>
    <row r="320" spans="1:6">
      <c r="B320" s="1095"/>
      <c r="C320" s="1099" t="s">
        <v>2681</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2746</v>
      </c>
      <c r="D325" s="1089"/>
      <c r="E325" s="1089"/>
      <c r="F325" s="1089"/>
    </row>
    <row r="326" spans="1:6">
      <c r="A326" s="1090"/>
      <c r="B326" s="1547" t="s">
        <v>2752</v>
      </c>
      <c r="C326" s="1541" t="s">
        <v>2753</v>
      </c>
      <c r="D326" s="1093"/>
      <c r="E326" s="1117">
        <v>11014.583333333334</v>
      </c>
      <c r="F326" s="352" t="s">
        <v>236</v>
      </c>
    </row>
    <row r="327" spans="1:6">
      <c r="A327" s="1090"/>
      <c r="B327" s="1548"/>
      <c r="C327" s="1542"/>
      <c r="D327" s="1093"/>
      <c r="E327" s="1091"/>
      <c r="F327" s="1091"/>
    </row>
    <row r="328" spans="1:6">
      <c r="A328" s="1090"/>
      <c r="B328" s="1095"/>
      <c r="C328" s="1542"/>
      <c r="D328" s="1093"/>
      <c r="E328" s="1091"/>
      <c r="F328" s="1091"/>
    </row>
    <row r="329" spans="1:6">
      <c r="A329" s="1090"/>
      <c r="B329" s="1095"/>
      <c r="C329" s="1112"/>
      <c r="D329" s="1093"/>
      <c r="E329" s="1091"/>
      <c r="F329" s="1091"/>
    </row>
    <row r="330" spans="1:6">
      <c r="A330" s="1090"/>
      <c r="B330" s="1095"/>
      <c r="C330" s="1098" t="s">
        <v>2706</v>
      </c>
      <c r="D330" s="1095"/>
      <c r="E330" s="1095"/>
      <c r="F330" s="1095"/>
    </row>
    <row r="331" spans="1:6">
      <c r="B331" s="1095"/>
      <c r="C331" s="1099" t="s">
        <v>2681</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2746</v>
      </c>
      <c r="D336" s="1089"/>
      <c r="E336" s="1089"/>
      <c r="F336" s="1089"/>
    </row>
    <row r="337" spans="1:6">
      <c r="A337" s="1090"/>
      <c r="B337" s="1547" t="s">
        <v>2754</v>
      </c>
      <c r="C337" s="1541" t="s">
        <v>2755</v>
      </c>
      <c r="D337" s="1093"/>
      <c r="E337" s="1117">
        <v>12250</v>
      </c>
      <c r="F337" s="352" t="s">
        <v>236</v>
      </c>
    </row>
    <row r="338" spans="1:6">
      <c r="A338" s="1090"/>
      <c r="B338" s="1548"/>
      <c r="C338" s="1542"/>
      <c r="D338" s="1093"/>
      <c r="E338" s="1091"/>
      <c r="F338" s="1091"/>
    </row>
    <row r="339" spans="1:6">
      <c r="A339" s="1090"/>
      <c r="B339" s="1095"/>
      <c r="C339" s="1542"/>
      <c r="D339" s="1093"/>
      <c r="E339" s="1091"/>
      <c r="F339" s="1091"/>
    </row>
    <row r="340" spans="1:6">
      <c r="A340" s="1090"/>
      <c r="B340" s="1095"/>
      <c r="C340" s="1112"/>
      <c r="D340" s="1093"/>
      <c r="E340" s="1091"/>
      <c r="F340" s="1091"/>
    </row>
    <row r="341" spans="1:6">
      <c r="A341" s="1090"/>
      <c r="B341" s="1095"/>
      <c r="C341" s="1098" t="s">
        <v>2706</v>
      </c>
      <c r="D341" s="1095"/>
      <c r="E341" s="1095"/>
      <c r="F341" s="1095"/>
    </row>
    <row r="342" spans="1:6">
      <c r="B342" s="1095"/>
      <c r="C342" s="1099" t="s">
        <v>2681</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2746</v>
      </c>
      <c r="D347" s="1089"/>
      <c r="E347" s="1089"/>
      <c r="F347" s="1089"/>
    </row>
    <row r="348" spans="1:6">
      <c r="A348" s="1090"/>
      <c r="B348" s="1547" t="s">
        <v>2756</v>
      </c>
      <c r="C348" s="1541" t="s">
        <v>2757</v>
      </c>
      <c r="D348" s="1093"/>
      <c r="E348" s="1117">
        <v>15904.166666666666</v>
      </c>
      <c r="F348" s="352" t="s">
        <v>236</v>
      </c>
    </row>
    <row r="349" spans="1:6">
      <c r="A349" s="1090"/>
      <c r="B349" s="1548"/>
      <c r="C349" s="1542"/>
      <c r="D349" s="1093"/>
      <c r="E349" s="1091"/>
      <c r="F349" s="1091"/>
    </row>
    <row r="350" spans="1:6">
      <c r="A350" s="1090"/>
      <c r="B350" s="1095"/>
      <c r="C350" s="1542"/>
      <c r="D350" s="1093"/>
      <c r="E350" s="1091"/>
      <c r="F350" s="1091"/>
    </row>
    <row r="351" spans="1:6">
      <c r="A351" s="1090"/>
      <c r="B351" s="1095"/>
      <c r="C351" s="1112"/>
      <c r="D351" s="1093"/>
      <c r="E351" s="1091"/>
      <c r="F351" s="1091"/>
    </row>
    <row r="352" spans="1:6">
      <c r="A352" s="1090"/>
      <c r="B352" s="1095"/>
      <c r="C352" s="1098" t="s">
        <v>2706</v>
      </c>
      <c r="D352" s="1095"/>
      <c r="E352" s="1095"/>
      <c r="F352" s="1095"/>
    </row>
    <row r="353" spans="1:60">
      <c r="B353" s="1095"/>
      <c r="C353" s="1099" t="s">
        <v>2681</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2645</v>
      </c>
      <c r="B358" s="1071"/>
      <c r="C358" s="1543" t="s">
        <v>2758</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 customHeight="1">
      <c r="A359" s="1075" t="s">
        <v>2759</v>
      </c>
      <c r="B359" s="1076"/>
      <c r="C359" s="1544"/>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2746</v>
      </c>
      <c r="D360" s="1089"/>
      <c r="E360" s="1089"/>
      <c r="F360" s="1089"/>
    </row>
    <row r="361" spans="1:60">
      <c r="A361" s="1090"/>
      <c r="B361" s="1547" t="s">
        <v>2760</v>
      </c>
      <c r="C361" s="1541" t="s">
        <v>2761</v>
      </c>
      <c r="D361" s="1093"/>
      <c r="E361" s="1117">
        <v>8087.5</v>
      </c>
      <c r="F361" s="352" t="s">
        <v>236</v>
      </c>
    </row>
    <row r="362" spans="1:60">
      <c r="A362" s="1090"/>
      <c r="B362" s="1548"/>
      <c r="C362" s="1542"/>
      <c r="D362" s="1093"/>
      <c r="E362" s="1093"/>
      <c r="F362" s="1091"/>
    </row>
    <row r="363" spans="1:60">
      <c r="A363" s="1090"/>
      <c r="B363" s="1095"/>
      <c r="C363" s="1542"/>
      <c r="D363" s="1093"/>
      <c r="E363" s="1093"/>
      <c r="F363" s="1091"/>
    </row>
    <row r="364" spans="1:60">
      <c r="A364" s="1090"/>
      <c r="B364" s="1095"/>
      <c r="C364" s="1112"/>
      <c r="D364" s="1093"/>
      <c r="E364" s="1093"/>
      <c r="F364" s="1091"/>
    </row>
    <row r="365" spans="1:60">
      <c r="A365" s="1090"/>
      <c r="B365" s="1095"/>
      <c r="C365" s="1098" t="s">
        <v>2762</v>
      </c>
      <c r="D365" s="1095"/>
      <c r="E365" s="1095"/>
      <c r="F365" s="1095"/>
    </row>
    <row r="366" spans="1:60">
      <c r="B366" s="1095"/>
      <c r="C366" s="1099" t="s">
        <v>2702</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2746</v>
      </c>
      <c r="D371" s="1089"/>
      <c r="E371" s="1089"/>
      <c r="F371" s="1089"/>
    </row>
    <row r="372" spans="1:6">
      <c r="A372" s="1090"/>
      <c r="B372" s="1547" t="s">
        <v>2763</v>
      </c>
      <c r="C372" s="1541" t="s">
        <v>2764</v>
      </c>
      <c r="D372" s="1093"/>
      <c r="E372" s="1117">
        <v>11437.5</v>
      </c>
      <c r="F372" s="352" t="s">
        <v>236</v>
      </c>
    </row>
    <row r="373" spans="1:6">
      <c r="A373" s="1090"/>
      <c r="B373" s="1548"/>
      <c r="C373" s="1542"/>
      <c r="D373" s="1093"/>
      <c r="E373" s="1093"/>
      <c r="F373" s="1091"/>
    </row>
    <row r="374" spans="1:6">
      <c r="A374" s="1090"/>
      <c r="B374" s="1095"/>
      <c r="C374" s="1542"/>
      <c r="D374" s="1093"/>
      <c r="E374" s="1093"/>
      <c r="F374" s="1091"/>
    </row>
    <row r="375" spans="1:6">
      <c r="A375" s="1090"/>
      <c r="B375" s="1095"/>
      <c r="C375" s="1112"/>
      <c r="D375" s="1093"/>
      <c r="E375" s="1093"/>
      <c r="F375" s="1091"/>
    </row>
    <row r="376" spans="1:6">
      <c r="A376" s="1090"/>
      <c r="B376" s="1095"/>
      <c r="C376" s="1098" t="s">
        <v>2765</v>
      </c>
      <c r="D376" s="1095"/>
      <c r="E376" s="1095"/>
      <c r="F376" s="1095"/>
    </row>
    <row r="377" spans="1:6">
      <c r="B377" s="1095"/>
      <c r="C377" s="1099" t="s">
        <v>2702</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2746</v>
      </c>
      <c r="D382" s="1089"/>
      <c r="E382" s="1089"/>
      <c r="F382" s="1089"/>
    </row>
    <row r="383" spans="1:6">
      <c r="A383" s="1090"/>
      <c r="B383" s="1547" t="s">
        <v>2766</v>
      </c>
      <c r="C383" s="1541" t="s">
        <v>2767</v>
      </c>
      <c r="D383" s="1093"/>
      <c r="E383" s="1117">
        <v>11666.666666666666</v>
      </c>
      <c r="F383" s="352" t="s">
        <v>236</v>
      </c>
    </row>
    <row r="384" spans="1:6">
      <c r="A384" s="1090"/>
      <c r="B384" s="1548"/>
      <c r="C384" s="1542"/>
      <c r="D384" s="1093"/>
      <c r="E384" s="1093"/>
      <c r="F384" s="1091"/>
    </row>
    <row r="385" spans="1:60">
      <c r="A385" s="1090"/>
      <c r="B385" s="1095"/>
      <c r="C385" s="1542"/>
      <c r="D385" s="1093"/>
      <c r="E385" s="1093"/>
      <c r="F385" s="1091"/>
    </row>
    <row r="386" spans="1:60">
      <c r="A386" s="1090"/>
      <c r="B386" s="1095"/>
      <c r="C386" s="1112"/>
      <c r="D386" s="1093"/>
      <c r="E386" s="1093"/>
      <c r="F386" s="1091"/>
    </row>
    <row r="387" spans="1:60">
      <c r="A387" s="1090"/>
      <c r="B387" s="1095"/>
      <c r="C387" s="1098" t="s">
        <v>2765</v>
      </c>
      <c r="D387" s="1095"/>
      <c r="E387" s="1095"/>
      <c r="F387" s="1095"/>
    </row>
    <row r="388" spans="1:60">
      <c r="B388" s="1095"/>
      <c r="C388" s="1099" t="s">
        <v>2702</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2645</v>
      </c>
      <c r="B393" s="1071"/>
      <c r="C393" s="1543" t="s">
        <v>2768</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 customHeight="1">
      <c r="A394" s="1075" t="s">
        <v>1907</v>
      </c>
      <c r="B394" s="1076"/>
      <c r="C394" s="1544"/>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2769</v>
      </c>
      <c r="D395" s="1087"/>
      <c r="E395" s="1087"/>
      <c r="F395" s="1087"/>
    </row>
    <row r="396" spans="1:60">
      <c r="A396" s="1090"/>
      <c r="B396" s="1547" t="s">
        <v>2770</v>
      </c>
      <c r="C396" s="1541" t="s">
        <v>2771</v>
      </c>
      <c r="D396" s="1122"/>
      <c r="E396" s="1117">
        <v>11987.5</v>
      </c>
      <c r="F396" s="352" t="s">
        <v>236</v>
      </c>
    </row>
    <row r="397" spans="1:60">
      <c r="A397" s="1090"/>
      <c r="B397" s="1548"/>
      <c r="C397" s="1542"/>
      <c r="D397" s="1091"/>
      <c r="E397" s="1091"/>
      <c r="F397" s="1091"/>
    </row>
    <row r="398" spans="1:60">
      <c r="A398" s="1090"/>
      <c r="B398" s="1095"/>
      <c r="C398" s="1542"/>
      <c r="D398" s="1091"/>
      <c r="E398" s="1091"/>
      <c r="F398" s="1091"/>
    </row>
    <row r="399" spans="1:60">
      <c r="A399" s="1090"/>
      <c r="B399" s="1095"/>
      <c r="C399" s="1112"/>
      <c r="D399" s="1091"/>
      <c r="E399" s="1091"/>
      <c r="F399" s="1091"/>
    </row>
    <row r="400" spans="1:60">
      <c r="A400" s="1090"/>
      <c r="B400" s="1095"/>
      <c r="C400" s="1098" t="s">
        <v>1422</v>
      </c>
      <c r="D400" s="1095"/>
      <c r="E400" s="1095"/>
      <c r="F400" s="1095"/>
    </row>
    <row r="401" spans="1:6">
      <c r="B401" s="1095"/>
      <c r="C401" s="1099" t="s">
        <v>2772</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2769</v>
      </c>
      <c r="D406" s="1087"/>
      <c r="E406" s="1087"/>
      <c r="F406" s="1087"/>
    </row>
    <row r="407" spans="1:6">
      <c r="A407" s="1090"/>
      <c r="B407" s="1547" t="s">
        <v>2773</v>
      </c>
      <c r="C407" s="1541" t="s">
        <v>2774</v>
      </c>
      <c r="D407" s="1122"/>
      <c r="E407" s="1117">
        <v>16877.083333333332</v>
      </c>
      <c r="F407" s="352" t="s">
        <v>236</v>
      </c>
    </row>
    <row r="408" spans="1:6">
      <c r="A408" s="1090"/>
      <c r="B408" s="1548"/>
      <c r="C408" s="1542"/>
      <c r="D408" s="1091"/>
      <c r="E408" s="1091"/>
      <c r="F408" s="1091"/>
    </row>
    <row r="409" spans="1:6">
      <c r="A409" s="1090"/>
      <c r="B409" s="1095"/>
      <c r="C409" s="1542"/>
      <c r="D409" s="1091"/>
      <c r="E409" s="1091"/>
      <c r="F409" s="1091"/>
    </row>
    <row r="410" spans="1:6">
      <c r="A410" s="1090"/>
      <c r="B410" s="1095"/>
      <c r="C410" s="1112"/>
      <c r="D410" s="1091"/>
      <c r="E410" s="1091"/>
      <c r="F410" s="1091"/>
    </row>
    <row r="411" spans="1:6">
      <c r="A411" s="1090"/>
      <c r="B411" s="1095"/>
      <c r="C411" s="1098" t="s">
        <v>1422</v>
      </c>
      <c r="D411" s="1095"/>
      <c r="E411" s="1095"/>
      <c r="F411" s="1095"/>
    </row>
    <row r="412" spans="1:6">
      <c r="B412" s="1095"/>
      <c r="C412" s="1099" t="s">
        <v>2772</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2769</v>
      </c>
      <c r="D417" s="1087"/>
      <c r="E417" s="1087"/>
      <c r="F417" s="1087"/>
    </row>
    <row r="418" spans="1:6">
      <c r="A418" s="1090"/>
      <c r="B418" s="1547" t="s">
        <v>2775</v>
      </c>
      <c r="C418" s="1541" t="s">
        <v>2776</v>
      </c>
      <c r="D418" s="1122"/>
      <c r="E418" s="1117">
        <v>1756.25</v>
      </c>
      <c r="F418" s="352" t="s">
        <v>236</v>
      </c>
    </row>
    <row r="419" spans="1:6">
      <c r="A419" s="1090"/>
      <c r="B419" s="1548"/>
      <c r="C419" s="1542"/>
      <c r="D419" s="1091"/>
      <c r="E419" s="1091"/>
      <c r="F419" s="1091"/>
    </row>
    <row r="420" spans="1:6">
      <c r="A420" s="1090"/>
      <c r="B420" s="1095"/>
      <c r="C420" s="1542"/>
      <c r="D420" s="1091"/>
      <c r="E420" s="1091"/>
      <c r="F420" s="1091"/>
    </row>
    <row r="421" spans="1:6">
      <c r="A421" s="1090"/>
      <c r="B421" s="1095"/>
      <c r="C421" s="1112"/>
      <c r="D421" s="1091"/>
      <c r="E421" s="1091"/>
      <c r="F421" s="1091"/>
    </row>
    <row r="422" spans="1:6">
      <c r="A422" s="1090"/>
      <c r="B422" s="1095"/>
      <c r="C422" s="1098" t="s">
        <v>1422</v>
      </c>
      <c r="D422" s="1095"/>
      <c r="E422" s="1095"/>
      <c r="F422" s="1095"/>
    </row>
    <row r="423" spans="1:6">
      <c r="B423" s="1095"/>
      <c r="C423" s="1099" t="s">
        <v>2702</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2769</v>
      </c>
      <c r="D428" s="1087"/>
      <c r="E428" s="1087"/>
      <c r="F428" s="1087"/>
    </row>
    <row r="429" spans="1:6">
      <c r="A429" s="1090"/>
      <c r="B429" s="1547" t="s">
        <v>2777</v>
      </c>
      <c r="C429" s="1541" t="s">
        <v>2778</v>
      </c>
      <c r="D429" s="1122"/>
      <c r="E429" s="1117">
        <v>5512.5</v>
      </c>
      <c r="F429" s="352" t="s">
        <v>236</v>
      </c>
    </row>
    <row r="430" spans="1:6">
      <c r="A430" s="1090"/>
      <c r="B430" s="1548"/>
      <c r="C430" s="1542"/>
      <c r="D430" s="1091"/>
      <c r="E430" s="1091"/>
      <c r="F430" s="1091"/>
    </row>
    <row r="431" spans="1:6">
      <c r="A431" s="1090"/>
      <c r="B431" s="1095"/>
      <c r="C431" s="1542"/>
      <c r="D431" s="1091"/>
      <c r="E431" s="1091"/>
      <c r="F431" s="1091"/>
    </row>
    <row r="432" spans="1:6">
      <c r="A432" s="1090"/>
      <c r="B432" s="1095"/>
      <c r="C432" s="1112"/>
      <c r="D432" s="1091"/>
      <c r="E432" s="1091"/>
      <c r="F432" s="1091"/>
    </row>
    <row r="433" spans="1:6">
      <c r="A433" s="1090"/>
      <c r="B433" s="1095"/>
      <c r="C433" s="1098" t="s">
        <v>1422</v>
      </c>
      <c r="D433" s="1095"/>
      <c r="E433" s="1095"/>
      <c r="F433" s="1095"/>
    </row>
    <row r="434" spans="1:6">
      <c r="B434" s="1095"/>
      <c r="C434" s="1099" t="s">
        <v>2702</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2769</v>
      </c>
      <c r="D439" s="1087"/>
      <c r="E439" s="1087"/>
      <c r="F439" s="1087"/>
    </row>
    <row r="440" spans="1:6">
      <c r="A440" s="1090"/>
      <c r="B440" s="1547" t="s">
        <v>2779</v>
      </c>
      <c r="C440" s="1541" t="s">
        <v>2780</v>
      </c>
      <c r="D440" s="1122"/>
      <c r="E440" s="1117">
        <v>4466.666666666667</v>
      </c>
      <c r="F440" s="352" t="s">
        <v>236</v>
      </c>
    </row>
    <row r="441" spans="1:6">
      <c r="A441" s="1090"/>
      <c r="B441" s="1548"/>
      <c r="C441" s="1542"/>
      <c r="D441" s="1091"/>
      <c r="E441" s="1091"/>
      <c r="F441" s="1091"/>
    </row>
    <row r="442" spans="1:6">
      <c r="A442" s="1090"/>
      <c r="B442" s="1095"/>
      <c r="C442" s="1542"/>
      <c r="D442" s="1091"/>
      <c r="E442" s="1091"/>
      <c r="F442" s="1091"/>
    </row>
    <row r="443" spans="1:6">
      <c r="A443" s="1090"/>
      <c r="B443" s="1095"/>
      <c r="C443" s="1112"/>
      <c r="D443" s="1091"/>
      <c r="E443" s="1091"/>
      <c r="F443" s="1091"/>
    </row>
    <row r="444" spans="1:6">
      <c r="A444" s="1090"/>
      <c r="B444" s="1095"/>
      <c r="C444" s="1098" t="s">
        <v>1422</v>
      </c>
      <c r="D444" s="1095"/>
      <c r="E444" s="1095"/>
      <c r="F444" s="1095"/>
    </row>
    <row r="445" spans="1:6">
      <c r="B445" s="1095"/>
      <c r="C445" s="1099" t="s">
        <v>2702</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2645</v>
      </c>
      <c r="B450" s="1071"/>
      <c r="C450" s="1543" t="s">
        <v>2768</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 customHeight="1">
      <c r="A451" s="1075" t="s">
        <v>1907</v>
      </c>
      <c r="B451" s="1076"/>
      <c r="C451" s="1544"/>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2769</v>
      </c>
      <c r="D452" s="1089"/>
      <c r="E452" s="1087"/>
      <c r="F452" s="1087"/>
    </row>
    <row r="453" spans="1:60">
      <c r="A453" s="1090"/>
      <c r="B453" s="1547" t="s">
        <v>2781</v>
      </c>
      <c r="C453" s="1541" t="s">
        <v>2782</v>
      </c>
      <c r="D453" s="1093"/>
      <c r="E453" s="1117">
        <v>1781.25</v>
      </c>
      <c r="F453" s="352" t="s">
        <v>236</v>
      </c>
    </row>
    <row r="454" spans="1:60">
      <c r="A454" s="1090"/>
      <c r="B454" s="1548"/>
      <c r="C454" s="1542"/>
      <c r="D454" s="1093"/>
      <c r="E454" s="1091"/>
      <c r="F454" s="1091"/>
    </row>
    <row r="455" spans="1:60">
      <c r="A455" s="1090"/>
      <c r="B455" s="1095"/>
      <c r="C455" s="1542"/>
      <c r="D455" s="1093"/>
      <c r="E455" s="1091"/>
      <c r="F455" s="1091"/>
    </row>
    <row r="456" spans="1:60">
      <c r="A456" s="1090"/>
      <c r="B456" s="1095"/>
      <c r="C456" s="1112"/>
      <c r="D456" s="1093"/>
      <c r="E456" s="1091"/>
      <c r="F456" s="1091"/>
    </row>
    <row r="457" spans="1:60">
      <c r="A457" s="1090"/>
      <c r="B457" s="1095"/>
      <c r="C457" s="1098" t="s">
        <v>2783</v>
      </c>
      <c r="D457" s="1095"/>
      <c r="E457" s="1095"/>
      <c r="F457" s="1095"/>
    </row>
    <row r="458" spans="1:60">
      <c r="B458" s="1095"/>
      <c r="C458" s="1099" t="s">
        <v>2702</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2769</v>
      </c>
      <c r="D463" s="1089"/>
      <c r="E463" s="1087"/>
      <c r="F463" s="1087"/>
    </row>
    <row r="464" spans="1:60">
      <c r="A464" s="1090"/>
      <c r="B464" s="1547" t="s">
        <v>2784</v>
      </c>
      <c r="C464" s="1541" t="s">
        <v>2785</v>
      </c>
      <c r="D464" s="1093"/>
      <c r="E464" s="1117">
        <v>1291.6666666666667</v>
      </c>
      <c r="F464" s="352" t="s">
        <v>236</v>
      </c>
    </row>
    <row r="465" spans="1:6">
      <c r="A465" s="1090"/>
      <c r="B465" s="1548"/>
      <c r="C465" s="1542"/>
      <c r="D465" s="1093"/>
      <c r="E465" s="1091"/>
      <c r="F465" s="1091"/>
    </row>
    <row r="466" spans="1:6">
      <c r="A466" s="1090"/>
      <c r="B466" s="1095"/>
      <c r="C466" s="1542"/>
      <c r="D466" s="1093"/>
      <c r="E466" s="1091"/>
      <c r="F466" s="1091"/>
    </row>
    <row r="467" spans="1:6">
      <c r="A467" s="1090"/>
      <c r="B467" s="1095"/>
      <c r="C467" s="1112"/>
      <c r="D467" s="1093"/>
      <c r="E467" s="1091"/>
      <c r="F467" s="1091"/>
    </row>
    <row r="468" spans="1:6">
      <c r="A468" s="1090"/>
      <c r="B468" s="1095"/>
      <c r="C468" s="1098" t="s">
        <v>2786</v>
      </c>
      <c r="D468" s="1095"/>
      <c r="E468" s="1095"/>
      <c r="F468" s="1095"/>
    </row>
    <row r="469" spans="1:6">
      <c r="B469" s="1095"/>
      <c r="C469" s="1099" t="s">
        <v>2702</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2769</v>
      </c>
      <c r="D474" s="1089"/>
      <c r="E474" s="1087"/>
      <c r="F474" s="1087"/>
    </row>
    <row r="475" spans="1:6">
      <c r="A475" s="1090"/>
      <c r="B475" s="1547" t="s">
        <v>2787</v>
      </c>
      <c r="C475" s="1541" t="s">
        <v>2788</v>
      </c>
      <c r="D475" s="1093"/>
      <c r="E475" s="1117">
        <v>3893.75</v>
      </c>
      <c r="F475" s="352" t="s">
        <v>236</v>
      </c>
    </row>
    <row r="476" spans="1:6">
      <c r="A476" s="1090"/>
      <c r="B476" s="1548"/>
      <c r="C476" s="1542"/>
      <c r="D476" s="1093"/>
      <c r="E476" s="1091"/>
      <c r="F476" s="1091"/>
    </row>
    <row r="477" spans="1:6">
      <c r="A477" s="1090"/>
      <c r="B477" s="1095"/>
      <c r="C477" s="1542"/>
      <c r="D477" s="1093"/>
      <c r="E477" s="1091"/>
      <c r="F477" s="1091"/>
    </row>
    <row r="478" spans="1:6">
      <c r="A478" s="1090"/>
      <c r="B478" s="1095"/>
      <c r="C478" s="1112"/>
      <c r="D478" s="1093"/>
      <c r="E478" s="1091"/>
      <c r="F478" s="1091"/>
    </row>
    <row r="479" spans="1:6">
      <c r="A479" s="1090"/>
      <c r="B479" s="1095"/>
      <c r="C479" s="1098" t="s">
        <v>2783</v>
      </c>
      <c r="D479" s="1095"/>
      <c r="E479" s="1095"/>
      <c r="F479" s="1095"/>
    </row>
    <row r="480" spans="1:6">
      <c r="B480" s="1095"/>
      <c r="C480" s="1099" t="s">
        <v>2702</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2769</v>
      </c>
      <c r="D485" s="1089"/>
      <c r="E485" s="1087"/>
      <c r="F485" s="1087"/>
    </row>
    <row r="486" spans="1:6">
      <c r="A486" s="1090"/>
      <c r="B486" s="1547" t="s">
        <v>2789</v>
      </c>
      <c r="C486" s="1541" t="s">
        <v>2790</v>
      </c>
      <c r="D486" s="1093"/>
      <c r="E486" s="1117">
        <v>2604.1666666666665</v>
      </c>
      <c r="F486" s="352" t="s">
        <v>236</v>
      </c>
    </row>
    <row r="487" spans="1:6">
      <c r="A487" s="1090"/>
      <c r="B487" s="1548"/>
      <c r="C487" s="1542"/>
      <c r="D487" s="1093"/>
      <c r="E487" s="1091"/>
      <c r="F487" s="1091"/>
    </row>
    <row r="488" spans="1:6">
      <c r="A488" s="1090"/>
      <c r="B488" s="1095"/>
      <c r="C488" s="1542"/>
      <c r="D488" s="1093"/>
      <c r="E488" s="1091"/>
      <c r="F488" s="1091"/>
    </row>
    <row r="489" spans="1:6">
      <c r="A489" s="1090"/>
      <c r="B489" s="1095"/>
      <c r="C489" s="1112"/>
      <c r="D489" s="1093"/>
      <c r="E489" s="1091"/>
      <c r="F489" s="1091"/>
    </row>
    <row r="490" spans="1:6">
      <c r="A490" s="1090"/>
      <c r="B490" s="1095"/>
      <c r="C490" s="1098" t="s">
        <v>2791</v>
      </c>
      <c r="D490" s="1095"/>
      <c r="E490" s="1095"/>
      <c r="F490" s="1095"/>
    </row>
    <row r="491" spans="1:6">
      <c r="B491" s="1095"/>
      <c r="C491" s="1099" t="s">
        <v>2702</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2769</v>
      </c>
      <c r="D496" s="1089"/>
      <c r="E496" s="1087"/>
      <c r="F496" s="1087"/>
    </row>
    <row r="497" spans="1:6">
      <c r="A497" s="1090"/>
      <c r="B497" s="1547" t="s">
        <v>2792</v>
      </c>
      <c r="C497" s="1541" t="s">
        <v>2793</v>
      </c>
      <c r="D497" s="1093"/>
      <c r="E497" s="1117">
        <v>1781.25</v>
      </c>
      <c r="F497" s="352" t="s">
        <v>236</v>
      </c>
    </row>
    <row r="498" spans="1:6">
      <c r="A498" s="1090"/>
      <c r="B498" s="1548"/>
      <c r="C498" s="1542"/>
      <c r="D498" s="1093"/>
      <c r="E498" s="1091"/>
      <c r="F498" s="1091"/>
    </row>
    <row r="499" spans="1:6">
      <c r="A499" s="1090"/>
      <c r="B499" s="1095"/>
      <c r="C499" s="1542"/>
      <c r="D499" s="1093"/>
      <c r="E499" s="1091"/>
      <c r="F499" s="1091"/>
    </row>
    <row r="500" spans="1:6">
      <c r="A500" s="1090"/>
      <c r="B500" s="1095"/>
      <c r="C500" s="1112"/>
      <c r="D500" s="1093"/>
      <c r="E500" s="1091"/>
      <c r="F500" s="1091"/>
    </row>
    <row r="501" spans="1:6">
      <c r="A501" s="1090"/>
      <c r="B501" s="1095"/>
      <c r="C501" s="1098" t="s">
        <v>2794</v>
      </c>
      <c r="D501" s="1095"/>
      <c r="E501" s="1095"/>
      <c r="F501" s="1095"/>
    </row>
    <row r="502" spans="1:6">
      <c r="B502" s="1054"/>
      <c r="C502" s="1099" t="s">
        <v>2702</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2769</v>
      </c>
      <c r="D507" s="1089"/>
      <c r="E507" s="1087"/>
      <c r="F507" s="1087"/>
    </row>
    <row r="508" spans="1:6">
      <c r="A508" s="1090"/>
      <c r="B508" s="1547" t="s">
        <v>2795</v>
      </c>
      <c r="C508" s="1541" t="s">
        <v>2796</v>
      </c>
      <c r="D508" s="1093"/>
      <c r="E508" s="1117">
        <v>3731.25</v>
      </c>
      <c r="F508" s="352" t="s">
        <v>236</v>
      </c>
    </row>
    <row r="509" spans="1:6">
      <c r="A509" s="1090"/>
      <c r="B509" s="1548"/>
      <c r="C509" s="1542"/>
      <c r="D509" s="1093"/>
      <c r="E509" s="1091"/>
      <c r="F509" s="1091"/>
    </row>
    <row r="510" spans="1:6">
      <c r="A510" s="1090"/>
      <c r="B510" s="1095"/>
      <c r="C510" s="1542"/>
      <c r="D510" s="1093"/>
      <c r="E510" s="1091"/>
      <c r="F510" s="1091"/>
    </row>
    <row r="511" spans="1:6">
      <c r="A511" s="1090"/>
      <c r="B511" s="1095"/>
      <c r="C511" s="1112"/>
      <c r="D511" s="1093"/>
      <c r="E511" s="1091"/>
      <c r="F511" s="1091"/>
    </row>
    <row r="512" spans="1:6">
      <c r="A512" s="1090"/>
      <c r="B512" s="1095"/>
      <c r="C512" s="1098" t="s">
        <v>2794</v>
      </c>
      <c r="D512" s="1095"/>
      <c r="E512" s="1095"/>
      <c r="F512" s="1095"/>
    </row>
    <row r="513" spans="1:6">
      <c r="B513" s="1095"/>
      <c r="C513" s="1099" t="s">
        <v>2702</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2769</v>
      </c>
      <c r="D518" s="1089"/>
      <c r="E518" s="1087"/>
      <c r="F518" s="1087"/>
    </row>
    <row r="519" spans="1:6">
      <c r="A519" s="1090"/>
      <c r="B519" s="1547" t="s">
        <v>2797</v>
      </c>
      <c r="C519" s="1541" t="s">
        <v>2798</v>
      </c>
      <c r="D519" s="1093"/>
      <c r="E519" s="1117">
        <v>6137.5</v>
      </c>
      <c r="F519" s="352" t="s">
        <v>236</v>
      </c>
    </row>
    <row r="520" spans="1:6">
      <c r="A520" s="1090"/>
      <c r="B520" s="1548"/>
      <c r="C520" s="1542"/>
      <c r="D520" s="1093"/>
      <c r="E520" s="1091"/>
      <c r="F520" s="1091"/>
    </row>
    <row r="521" spans="1:6">
      <c r="A521" s="1090"/>
      <c r="B521" s="1095"/>
      <c r="C521" s="1542"/>
      <c r="D521" s="1093"/>
      <c r="E521" s="1091"/>
      <c r="F521" s="1091"/>
    </row>
    <row r="522" spans="1:6">
      <c r="A522" s="1090"/>
      <c r="B522" s="1095"/>
      <c r="C522" s="1112"/>
      <c r="D522" s="1093"/>
      <c r="E522" s="1091"/>
      <c r="F522" s="1091"/>
    </row>
    <row r="523" spans="1:6">
      <c r="A523" s="1090"/>
      <c r="B523" s="1095"/>
      <c r="C523" s="1098" t="s">
        <v>1422</v>
      </c>
      <c r="D523" s="1095"/>
      <c r="E523" s="1095"/>
      <c r="F523" s="1095"/>
    </row>
    <row r="524" spans="1:6">
      <c r="B524" s="1095"/>
      <c r="C524" s="1099" t="s">
        <v>2702</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2769</v>
      </c>
      <c r="D529" s="1089"/>
      <c r="E529" s="1087"/>
      <c r="F529" s="1087"/>
    </row>
    <row r="530" spans="1:60">
      <c r="A530" s="1090"/>
      <c r="B530" s="1547" t="s">
        <v>2799</v>
      </c>
      <c r="C530" s="1541" t="s">
        <v>2800</v>
      </c>
      <c r="D530" s="1093"/>
      <c r="E530" s="1117">
        <v>4062.5</v>
      </c>
      <c r="F530" s="352" t="s">
        <v>236</v>
      </c>
    </row>
    <row r="531" spans="1:60">
      <c r="A531" s="1090"/>
      <c r="B531" s="1548"/>
      <c r="C531" s="1542"/>
      <c r="D531" s="1093"/>
      <c r="E531" s="1091"/>
      <c r="F531" s="1091"/>
    </row>
    <row r="532" spans="1:60">
      <c r="A532" s="1090"/>
      <c r="B532" s="1095"/>
      <c r="C532" s="1542"/>
      <c r="D532" s="1093"/>
      <c r="E532" s="1091"/>
      <c r="F532" s="1091"/>
    </row>
    <row r="533" spans="1:60">
      <c r="A533" s="1090"/>
      <c r="B533" s="1095"/>
      <c r="C533" s="1112"/>
      <c r="D533" s="1093"/>
      <c r="E533" s="1091"/>
      <c r="F533" s="1091"/>
    </row>
    <row r="534" spans="1:60">
      <c r="A534" s="1090"/>
      <c r="B534" s="1095"/>
      <c r="C534" s="1098" t="s">
        <v>1422</v>
      </c>
      <c r="D534" s="1095"/>
      <c r="E534" s="1095"/>
      <c r="F534" s="1095"/>
    </row>
    <row r="535" spans="1:60">
      <c r="B535" s="1095"/>
      <c r="C535" s="1099" t="s">
        <v>2702</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2645</v>
      </c>
      <c r="B540" s="1071"/>
      <c r="C540" s="1543" t="s">
        <v>2801</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 customHeight="1">
      <c r="A541" s="1075" t="s">
        <v>1907</v>
      </c>
      <c r="B541" s="1076"/>
      <c r="C541" s="1544"/>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2802</v>
      </c>
      <c r="D542" s="1089"/>
      <c r="E542" s="1087"/>
      <c r="F542" s="1087"/>
    </row>
    <row r="543" spans="1:60">
      <c r="A543" s="1090"/>
      <c r="B543" s="1547" t="s">
        <v>2803</v>
      </c>
      <c r="C543" s="1541" t="s">
        <v>2804</v>
      </c>
      <c r="D543" s="1093"/>
      <c r="E543" s="1117">
        <v>1116.6666666666667</v>
      </c>
      <c r="F543" s="352" t="s">
        <v>236</v>
      </c>
    </row>
    <row r="544" spans="1:60">
      <c r="A544" s="1090"/>
      <c r="B544" s="1548"/>
      <c r="C544" s="1542"/>
      <c r="D544" s="1093"/>
      <c r="E544" s="1091"/>
      <c r="F544" s="1091"/>
    </row>
    <row r="545" spans="1:6">
      <c r="A545" s="1090"/>
      <c r="B545" s="1095"/>
      <c r="C545" s="1542"/>
      <c r="D545" s="1093"/>
      <c r="E545" s="1091"/>
      <c r="F545" s="1091"/>
    </row>
    <row r="546" spans="1:6">
      <c r="A546" s="1090"/>
      <c r="B546" s="1095"/>
      <c r="C546" s="1112"/>
      <c r="D546" s="1093"/>
      <c r="E546" s="1091"/>
      <c r="F546" s="1091"/>
    </row>
    <row r="547" spans="1:6">
      <c r="A547" s="1090"/>
      <c r="B547" s="1095"/>
      <c r="C547" s="1098" t="s">
        <v>2805</v>
      </c>
      <c r="D547" s="1095"/>
      <c r="E547" s="1095"/>
      <c r="F547" s="1095"/>
    </row>
    <row r="548" spans="1:6">
      <c r="B548" s="1095"/>
      <c r="C548" s="1099" t="s">
        <v>2702</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2802</v>
      </c>
      <c r="D553" s="1089"/>
      <c r="E553" s="1087"/>
      <c r="F553" s="1087"/>
    </row>
    <row r="554" spans="1:6">
      <c r="A554" s="1090"/>
      <c r="B554" s="1547" t="s">
        <v>2806</v>
      </c>
      <c r="C554" s="1541" t="s">
        <v>2807</v>
      </c>
      <c r="D554" s="1093"/>
      <c r="E554" s="1117">
        <v>687.5</v>
      </c>
      <c r="F554" s="352" t="s">
        <v>236</v>
      </c>
    </row>
    <row r="555" spans="1:6">
      <c r="A555" s="1090"/>
      <c r="B555" s="1548"/>
      <c r="C555" s="1542"/>
      <c r="D555" s="1093"/>
      <c r="E555" s="1091"/>
      <c r="F555" s="1091"/>
    </row>
    <row r="556" spans="1:6">
      <c r="A556" s="1090"/>
      <c r="B556" s="1095"/>
      <c r="C556" s="1542"/>
      <c r="D556" s="1093"/>
      <c r="E556" s="1091"/>
      <c r="F556" s="1091"/>
    </row>
    <row r="557" spans="1:6">
      <c r="A557" s="1090"/>
      <c r="B557" s="1095"/>
      <c r="C557" s="1112"/>
      <c r="D557" s="1093"/>
      <c r="E557" s="1091"/>
      <c r="F557" s="1091"/>
    </row>
    <row r="558" spans="1:6">
      <c r="A558" s="1090"/>
      <c r="B558" s="1095"/>
      <c r="C558" s="1098" t="s">
        <v>2706</v>
      </c>
      <c r="D558" s="1095"/>
      <c r="E558" s="1095"/>
      <c r="F558" s="1095"/>
    </row>
    <row r="559" spans="1:6">
      <c r="B559" s="1095"/>
      <c r="C559" s="1099" t="s">
        <v>2702</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2802</v>
      </c>
      <c r="D564" s="1089"/>
      <c r="E564" s="1087"/>
      <c r="F564" s="1087"/>
    </row>
    <row r="565" spans="1:60">
      <c r="A565" s="1090"/>
      <c r="B565" s="1547" t="s">
        <v>2808</v>
      </c>
      <c r="C565" s="1541" t="s">
        <v>2809</v>
      </c>
      <c r="D565" s="1093"/>
      <c r="E565" s="1117">
        <v>537.5</v>
      </c>
      <c r="F565" s="352" t="s">
        <v>236</v>
      </c>
    </row>
    <row r="566" spans="1:60">
      <c r="A566" s="1090"/>
      <c r="B566" s="1548"/>
      <c r="C566" s="1542"/>
      <c r="D566" s="1093"/>
      <c r="E566" s="1091"/>
      <c r="F566" s="1091"/>
    </row>
    <row r="567" spans="1:60">
      <c r="A567" s="1090"/>
      <c r="B567" s="1095"/>
      <c r="C567" s="1542"/>
      <c r="D567" s="1093"/>
      <c r="E567" s="1091"/>
      <c r="F567" s="1091"/>
    </row>
    <row r="568" spans="1:60">
      <c r="A568" s="1090"/>
      <c r="B568" s="1095"/>
      <c r="C568" s="1112"/>
      <c r="D568" s="1093"/>
      <c r="E568" s="1091"/>
      <c r="F568" s="1091"/>
    </row>
    <row r="569" spans="1:60">
      <c r="A569" s="1090"/>
      <c r="B569" s="1095"/>
      <c r="C569" s="1098" t="s">
        <v>2805</v>
      </c>
      <c r="D569" s="1095"/>
      <c r="E569" s="1095"/>
      <c r="F569" s="1095"/>
    </row>
    <row r="570" spans="1:60">
      <c r="B570" s="1095"/>
      <c r="C570" s="1099" t="s">
        <v>2702</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2645</v>
      </c>
      <c r="B575" s="1071"/>
      <c r="C575" s="1543" t="s">
        <v>2810</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 customHeight="1">
      <c r="A576" s="1075" t="s">
        <v>1907</v>
      </c>
      <c r="B576" s="1076"/>
      <c r="C576" s="1544"/>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2769</v>
      </c>
      <c r="D577" s="1089"/>
      <c r="E577" s="1087"/>
      <c r="F577" s="1087"/>
    </row>
    <row r="578" spans="1:6">
      <c r="A578" s="1090"/>
      <c r="B578" s="1547" t="s">
        <v>2811</v>
      </c>
      <c r="C578" s="1541" t="s">
        <v>2812</v>
      </c>
      <c r="D578" s="1093"/>
      <c r="E578" s="1117">
        <v>5175</v>
      </c>
      <c r="F578" s="352" t="s">
        <v>236</v>
      </c>
    </row>
    <row r="579" spans="1:6">
      <c r="A579" s="1090"/>
      <c r="B579" s="1548"/>
      <c r="C579" s="1542"/>
      <c r="D579" s="1093"/>
      <c r="E579" s="1091"/>
      <c r="F579" s="1091"/>
    </row>
    <row r="580" spans="1:6">
      <c r="A580" s="1090"/>
      <c r="B580" s="1095"/>
      <c r="C580" s="1542"/>
      <c r="D580" s="1093"/>
      <c r="E580" s="1091"/>
      <c r="F580" s="1091"/>
    </row>
    <row r="581" spans="1:6">
      <c r="A581" s="1090"/>
      <c r="B581" s="1095"/>
      <c r="C581" s="1112"/>
      <c r="D581" s="1093"/>
      <c r="E581" s="1091"/>
      <c r="F581" s="1091"/>
    </row>
    <row r="582" spans="1:6">
      <c r="A582" s="1090"/>
      <c r="B582" s="1095"/>
      <c r="C582" s="1098" t="s">
        <v>2813</v>
      </c>
      <c r="D582" s="1095"/>
      <c r="E582" s="1095"/>
      <c r="F582" s="1095"/>
    </row>
    <row r="583" spans="1:6">
      <c r="B583" s="1095"/>
      <c r="C583" s="1099" t="s">
        <v>2702</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2769</v>
      </c>
      <c r="D588" s="1089"/>
      <c r="E588" s="1087"/>
      <c r="F588" s="1087"/>
    </row>
    <row r="589" spans="1:6">
      <c r="A589" s="1090"/>
      <c r="B589" s="1547" t="s">
        <v>2814</v>
      </c>
      <c r="C589" s="1541" t="s">
        <v>2815</v>
      </c>
      <c r="D589" s="1093"/>
      <c r="E589" s="1117">
        <v>231.25</v>
      </c>
      <c r="F589" s="352" t="s">
        <v>236</v>
      </c>
    </row>
    <row r="590" spans="1:6">
      <c r="A590" s="1090"/>
      <c r="B590" s="1548"/>
      <c r="C590" s="1542"/>
      <c r="D590" s="1093"/>
      <c r="E590" s="1091"/>
      <c r="F590" s="1091"/>
    </row>
    <row r="591" spans="1:6">
      <c r="A591" s="1090"/>
      <c r="B591" s="1095"/>
      <c r="C591" s="1542"/>
      <c r="D591" s="1093"/>
      <c r="E591" s="1091"/>
      <c r="F591" s="1091"/>
    </row>
    <row r="592" spans="1:6">
      <c r="A592" s="1090"/>
      <c r="B592" s="1095"/>
      <c r="C592" s="1112"/>
      <c r="D592" s="1093"/>
      <c r="E592" s="1091"/>
      <c r="F592" s="1091"/>
    </row>
    <row r="593" spans="1:6">
      <c r="A593" s="1090"/>
      <c r="B593" s="1095"/>
      <c r="C593" s="1098" t="s">
        <v>2816</v>
      </c>
      <c r="D593" s="1095"/>
      <c r="E593" s="1095"/>
      <c r="F593" s="1095"/>
    </row>
    <row r="594" spans="1:6">
      <c r="B594" s="1095"/>
      <c r="C594" s="1099" t="s">
        <v>2702</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2769</v>
      </c>
      <c r="D599" s="1089"/>
      <c r="E599" s="1087"/>
      <c r="F599" s="1087"/>
    </row>
    <row r="600" spans="1:6">
      <c r="A600" s="1090"/>
      <c r="B600" s="1547" t="s">
        <v>2817</v>
      </c>
      <c r="C600" s="1541" t="s">
        <v>2818</v>
      </c>
      <c r="D600" s="1093"/>
      <c r="E600" s="1117">
        <v>1106.25</v>
      </c>
      <c r="F600" s="352" t="s">
        <v>236</v>
      </c>
    </row>
    <row r="601" spans="1:6">
      <c r="A601" s="1090"/>
      <c r="B601" s="1548"/>
      <c r="C601" s="1542"/>
      <c r="D601" s="1093"/>
      <c r="E601" s="1091"/>
      <c r="F601" s="1091"/>
    </row>
    <row r="602" spans="1:6">
      <c r="A602" s="1090"/>
      <c r="B602" s="1095"/>
      <c r="C602" s="1542"/>
      <c r="D602" s="1093"/>
      <c r="E602" s="1091"/>
      <c r="F602" s="1091"/>
    </row>
    <row r="603" spans="1:6">
      <c r="A603" s="1090"/>
      <c r="B603" s="1095"/>
      <c r="C603" s="1112"/>
      <c r="D603" s="1093"/>
      <c r="E603" s="1091"/>
      <c r="F603" s="1091"/>
    </row>
    <row r="604" spans="1:6">
      <c r="A604" s="1090"/>
      <c r="B604" s="1095"/>
      <c r="C604" s="1098" t="s">
        <v>2816</v>
      </c>
      <c r="D604" s="1095"/>
      <c r="E604" s="1095"/>
      <c r="F604" s="1095"/>
    </row>
    <row r="605" spans="1:6">
      <c r="B605" s="1095"/>
      <c r="C605" s="1099" t="s">
        <v>2819</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2645</v>
      </c>
      <c r="B610" s="1071"/>
      <c r="C610" s="1543" t="s">
        <v>2820</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 customHeight="1">
      <c r="A611" s="1075" t="s">
        <v>2821</v>
      </c>
      <c r="B611" s="1076"/>
      <c r="C611" s="1544"/>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2822</v>
      </c>
      <c r="D612" s="1089"/>
      <c r="E612" s="1087"/>
      <c r="F612" s="1087"/>
    </row>
    <row r="613" spans="1:60">
      <c r="A613" s="1090"/>
      <c r="B613" s="1547" t="s">
        <v>2823</v>
      </c>
      <c r="C613" s="1541" t="s">
        <v>2824</v>
      </c>
      <c r="D613" s="1093"/>
      <c r="E613" s="1117">
        <v>8772.9166666666661</v>
      </c>
      <c r="F613" s="352" t="s">
        <v>236</v>
      </c>
    </row>
    <row r="614" spans="1:60">
      <c r="A614" s="1090"/>
      <c r="B614" s="1548"/>
      <c r="C614" s="1542"/>
      <c r="D614" s="1093"/>
      <c r="E614" s="1091"/>
      <c r="F614" s="1091"/>
    </row>
    <row r="615" spans="1:60">
      <c r="A615" s="1090"/>
      <c r="B615" s="1095"/>
      <c r="C615" s="1542"/>
      <c r="D615" s="1093"/>
      <c r="E615" s="1091"/>
      <c r="F615" s="1091"/>
    </row>
    <row r="616" spans="1:60">
      <c r="A616" s="1090"/>
      <c r="B616" s="1095"/>
      <c r="C616" s="1112"/>
      <c r="D616" s="1093"/>
      <c r="E616" s="1091"/>
      <c r="F616" s="1091"/>
    </row>
    <row r="617" spans="1:60">
      <c r="A617" s="1090"/>
      <c r="B617" s="1095"/>
      <c r="C617" s="1098" t="s">
        <v>2825</v>
      </c>
      <c r="D617" s="1095"/>
      <c r="E617" s="1095"/>
      <c r="F617" s="1095"/>
    </row>
    <row r="618" spans="1:60">
      <c r="B618" s="1095"/>
      <c r="C618" s="1099" t="s">
        <v>2702</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2826</v>
      </c>
      <c r="D623" s="1089"/>
      <c r="E623" s="1087"/>
      <c r="F623" s="1087"/>
    </row>
    <row r="624" spans="1:60">
      <c r="A624" s="1090"/>
      <c r="B624" s="1547" t="s">
        <v>2827</v>
      </c>
      <c r="C624" s="1541" t="s">
        <v>2828</v>
      </c>
      <c r="D624" s="1093"/>
      <c r="E624" s="1117">
        <v>8772.9166666666661</v>
      </c>
      <c r="F624" s="352" t="s">
        <v>236</v>
      </c>
    </row>
    <row r="625" spans="1:6">
      <c r="A625" s="1090"/>
      <c r="B625" s="1548"/>
      <c r="C625" s="1542"/>
      <c r="D625" s="1093"/>
      <c r="E625" s="1091"/>
      <c r="F625" s="1091"/>
    </row>
    <row r="626" spans="1:6">
      <c r="A626" s="1090"/>
      <c r="B626" s="1095"/>
      <c r="C626" s="1542"/>
      <c r="D626" s="1093"/>
      <c r="E626" s="1091"/>
      <c r="F626" s="1091"/>
    </row>
    <row r="627" spans="1:6">
      <c r="A627" s="1090"/>
      <c r="B627" s="1095"/>
      <c r="C627" s="1112"/>
      <c r="D627" s="1093"/>
      <c r="E627" s="1091"/>
      <c r="F627" s="1091"/>
    </row>
    <row r="628" spans="1:6">
      <c r="A628" s="1090"/>
      <c r="B628" s="1095"/>
      <c r="C628" s="1098" t="s">
        <v>2829</v>
      </c>
      <c r="D628" s="1095"/>
      <c r="E628" s="1095"/>
      <c r="F628" s="1095"/>
    </row>
    <row r="629" spans="1:6">
      <c r="B629" s="1095"/>
      <c r="C629" s="1099" t="s">
        <v>2702</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2826</v>
      </c>
      <c r="D634" s="1089"/>
      <c r="E634" s="1087"/>
      <c r="F634" s="1087"/>
    </row>
    <row r="635" spans="1:6">
      <c r="A635" s="1090"/>
      <c r="B635" s="1547" t="s">
        <v>2830</v>
      </c>
      <c r="C635" s="1541" t="s">
        <v>2831</v>
      </c>
      <c r="D635" s="1093"/>
      <c r="E635" s="1117">
        <v>2781.25</v>
      </c>
      <c r="F635" s="352" t="s">
        <v>236</v>
      </c>
    </row>
    <row r="636" spans="1:6">
      <c r="A636" s="1090"/>
      <c r="B636" s="1548"/>
      <c r="C636" s="1542"/>
      <c r="D636" s="1093"/>
      <c r="E636" s="1091"/>
      <c r="F636" s="1091"/>
    </row>
    <row r="637" spans="1:6">
      <c r="A637" s="1090"/>
      <c r="B637" s="1095"/>
      <c r="C637" s="1542"/>
      <c r="D637" s="1093"/>
      <c r="E637" s="1091"/>
      <c r="F637" s="1091"/>
    </row>
    <row r="638" spans="1:6">
      <c r="A638" s="1090"/>
      <c r="B638" s="1095"/>
      <c r="C638" s="1112"/>
      <c r="D638" s="1093"/>
      <c r="E638" s="1091"/>
      <c r="F638" s="1091"/>
    </row>
    <row r="639" spans="1:6">
      <c r="A639" s="1090"/>
      <c r="B639" s="1095"/>
      <c r="C639" s="1098" t="s">
        <v>2832</v>
      </c>
      <c r="D639" s="1095"/>
      <c r="E639" s="1095"/>
      <c r="F639" s="1095"/>
    </row>
    <row r="640" spans="1:6">
      <c r="B640" s="1095"/>
      <c r="C640" s="1099" t="s">
        <v>2702</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2826</v>
      </c>
      <c r="D645" s="1089"/>
      <c r="E645" s="1087"/>
      <c r="F645" s="1087"/>
    </row>
    <row r="646" spans="1:6">
      <c r="A646" s="1090"/>
      <c r="B646" s="1547" t="s">
        <v>2833</v>
      </c>
      <c r="C646" s="1541" t="s">
        <v>2834</v>
      </c>
      <c r="D646" s="1093"/>
      <c r="E646" s="1117">
        <v>6137.5</v>
      </c>
      <c r="F646" s="352" t="s">
        <v>236</v>
      </c>
    </row>
    <row r="647" spans="1:6">
      <c r="A647" s="1090"/>
      <c r="B647" s="1548"/>
      <c r="C647" s="1542"/>
      <c r="D647" s="1093"/>
      <c r="E647" s="1091"/>
      <c r="F647" s="1091"/>
    </row>
    <row r="648" spans="1:6">
      <c r="A648" s="1090"/>
      <c r="B648" s="1095"/>
      <c r="C648" s="1542"/>
      <c r="D648" s="1093"/>
      <c r="E648" s="1091"/>
      <c r="F648" s="1091"/>
    </row>
    <row r="649" spans="1:6">
      <c r="A649" s="1090"/>
      <c r="B649" s="1095"/>
      <c r="C649" s="1112"/>
      <c r="D649" s="1093"/>
      <c r="E649" s="1091"/>
      <c r="F649" s="1091"/>
    </row>
    <row r="650" spans="1:6">
      <c r="A650" s="1090"/>
      <c r="B650" s="1095"/>
      <c r="C650" s="1098" t="s">
        <v>1422</v>
      </c>
      <c r="D650" s="1095"/>
      <c r="E650" s="1095"/>
      <c r="F650" s="1095"/>
    </row>
    <row r="651" spans="1:6">
      <c r="B651" s="1095"/>
      <c r="C651" s="1099" t="s">
        <v>2702</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44" t="s">
        <v>2835</v>
      </c>
      <c r="B656" s="1544"/>
      <c r="C656" s="1544"/>
      <c r="D656" s="1544"/>
      <c r="E656" s="1544"/>
      <c r="F656" s="1544"/>
    </row>
    <row r="657" spans="1:6">
      <c r="A657" s="1549" t="s">
        <v>2836</v>
      </c>
      <c r="B657" s="1550"/>
      <c r="C657" s="1550"/>
      <c r="D657" s="1550"/>
      <c r="E657" s="1550"/>
      <c r="F657" s="1551"/>
    </row>
    <row r="658" spans="1:6">
      <c r="A658" s="1549" t="s">
        <v>2837</v>
      </c>
      <c r="B658" s="1550"/>
      <c r="C658" s="1550"/>
      <c r="D658" s="1550"/>
      <c r="E658" s="1550"/>
      <c r="F658" s="1551"/>
    </row>
    <row r="659" spans="1:6">
      <c r="A659" s="1552" t="s">
        <v>2838</v>
      </c>
      <c r="B659" s="1553"/>
      <c r="C659" s="1553"/>
      <c r="D659" s="1553"/>
      <c r="E659" s="1553"/>
      <c r="F659" s="1554"/>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115" customWidth="1"/>
    <col min="2" max="6" width="18.1796875" style="115" customWidth="1" outlineLevel="1"/>
    <col min="7" max="7" width="18.1796875" style="115" customWidth="1"/>
    <col min="8" max="9" width="13.453125" style="115" bestFit="1" customWidth="1"/>
    <col min="10" max="16384" width="11.453125" style="115"/>
  </cols>
  <sheetData>
    <row r="1" spans="1:12">
      <c r="B1" s="1555" t="s">
        <v>2839</v>
      </c>
      <c r="C1" s="1555"/>
      <c r="D1" s="1555"/>
      <c r="E1" s="1555"/>
      <c r="F1" s="1555"/>
      <c r="G1" s="1555"/>
    </row>
    <row r="2" spans="1:12" s="197" customFormat="1" ht="18" customHeight="1">
      <c r="B2" s="197" t="s">
        <v>2840</v>
      </c>
      <c r="C2" s="197" t="s">
        <v>2841</v>
      </c>
      <c r="D2" s="197" t="s">
        <v>2842</v>
      </c>
      <c r="E2" s="197" t="s">
        <v>2843</v>
      </c>
      <c r="F2" s="197" t="s">
        <v>2844</v>
      </c>
      <c r="G2" s="197" t="s">
        <v>2845</v>
      </c>
      <c r="I2" s="198"/>
    </row>
    <row r="3" spans="1:12" s="199" customFormat="1" ht="18" customHeight="1">
      <c r="A3" s="199" t="s">
        <v>2846</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262</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2847</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2848</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56" t="s">
        <v>2849</v>
      </c>
      <c r="B11" s="213">
        <v>2.5999999999999999E-2</v>
      </c>
      <c r="C11" s="214"/>
      <c r="D11" s="203"/>
      <c r="F11" s="203"/>
      <c r="G11" s="203"/>
    </row>
    <row r="12" spans="1:12" ht="18" customHeight="1">
      <c r="A12" s="1556"/>
      <c r="B12" s="215" t="s">
        <v>2850</v>
      </c>
      <c r="C12" s="216">
        <f>A4*B11</f>
        <v>1182.1287399999999</v>
      </c>
      <c r="D12" s="203"/>
      <c r="E12" s="203" t="s">
        <v>2851</v>
      </c>
      <c r="F12" s="203"/>
      <c r="G12" s="203"/>
    </row>
    <row r="13" spans="1:12" ht="18" customHeight="1">
      <c r="A13" s="1556"/>
      <c r="B13" s="215" t="s">
        <v>262</v>
      </c>
      <c r="C13" s="216">
        <f>C12*16%</f>
        <v>189.14059839999999</v>
      </c>
      <c r="D13" s="203"/>
      <c r="E13" s="203">
        <f>C14+E6</f>
        <v>6777.2349993999997</v>
      </c>
      <c r="F13" s="203" t="str">
        <f>'Estrategia Comercial '!B3</f>
        <v>usd</v>
      </c>
      <c r="G13" s="203"/>
    </row>
    <row r="14" spans="1:12" ht="18" customHeight="1">
      <c r="A14" s="1556"/>
      <c r="B14" s="217" t="s">
        <v>2852</v>
      </c>
      <c r="C14" s="218">
        <f>+C12+C13</f>
        <v>1371.2693383999999</v>
      </c>
      <c r="D14" s="203"/>
      <c r="E14" s="205"/>
      <c r="F14" s="203"/>
      <c r="G14" s="203"/>
    </row>
    <row r="15" spans="1:12" ht="18" customHeight="1">
      <c r="A15" s="203"/>
      <c r="B15" s="200" t="s">
        <v>2853</v>
      </c>
      <c r="C15" s="200">
        <f>C14/A4</f>
        <v>3.0159999999999999E-2</v>
      </c>
      <c r="D15" s="203"/>
      <c r="E15" s="205"/>
      <c r="F15" s="203"/>
      <c r="G15" s="219"/>
      <c r="L15" s="203"/>
    </row>
    <row r="16" spans="1:12">
      <c r="A16" s="203"/>
      <c r="B16" s="203"/>
      <c r="C16" s="203"/>
      <c r="D16" s="203"/>
      <c r="E16" s="203"/>
      <c r="F16" s="203"/>
      <c r="G16" s="203"/>
    </row>
    <row r="18" spans="1:7">
      <c r="B18" s="1555" t="s">
        <v>2854</v>
      </c>
      <c r="C18" s="1555"/>
      <c r="D18" s="1555"/>
      <c r="E18" s="1555"/>
      <c r="F18" s="1555"/>
      <c r="G18" s="1555"/>
    </row>
    <row r="19" spans="1:7">
      <c r="A19" s="197"/>
      <c r="B19" s="197" t="s">
        <v>2840</v>
      </c>
      <c r="C19" s="197" t="s">
        <v>2841</v>
      </c>
      <c r="D19" s="197" t="s">
        <v>2842</v>
      </c>
      <c r="E19" s="197" t="s">
        <v>2843</v>
      </c>
      <c r="F19" s="197" t="s">
        <v>2844</v>
      </c>
      <c r="G19" s="197" t="s">
        <v>2845</v>
      </c>
    </row>
    <row r="20" spans="1:7">
      <c r="A20" s="199" t="s">
        <v>2846</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262</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2847</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29">
      <c r="A26" s="212" t="s">
        <v>2848</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56" t="s">
        <v>2849</v>
      </c>
      <c r="B28" s="213">
        <v>2.5999999999999999E-2</v>
      </c>
      <c r="C28" s="214"/>
      <c r="D28" s="203"/>
      <c r="F28" s="203"/>
      <c r="G28" s="203"/>
    </row>
    <row r="29" spans="1:7">
      <c r="A29" s="1556"/>
      <c r="B29" s="215" t="s">
        <v>2850</v>
      </c>
      <c r="C29" s="216">
        <f>A21*B28</f>
        <v>1182.1287399999999</v>
      </c>
      <c r="D29" s="203"/>
      <c r="E29" s="203" t="s">
        <v>2851</v>
      </c>
      <c r="F29" s="203"/>
      <c r="G29" s="203"/>
    </row>
    <row r="30" spans="1:7">
      <c r="A30" s="1556"/>
      <c r="B30" s="215" t="s">
        <v>262</v>
      </c>
      <c r="C30" s="216">
        <f>C29*16%</f>
        <v>189.14059839999999</v>
      </c>
      <c r="D30" s="203"/>
      <c r="E30" s="203">
        <f>E23+C31</f>
        <v>6777.2349993999997</v>
      </c>
      <c r="F30" s="203" t="str">
        <f>'Estrategia Comercial '!B3</f>
        <v>usd</v>
      </c>
      <c r="G30" s="203"/>
    </row>
    <row r="31" spans="1:7">
      <c r="A31" s="1556"/>
      <c r="B31" s="217" t="s">
        <v>2852</v>
      </c>
      <c r="C31" s="218">
        <f>+C29+C30</f>
        <v>1371.2693383999999</v>
      </c>
      <c r="D31" s="203"/>
      <c r="E31" s="205"/>
      <c r="F31" s="203"/>
      <c r="G31" s="203"/>
    </row>
    <row r="32" spans="1:7">
      <c r="A32" s="203"/>
      <c r="B32" s="200" t="s">
        <v>2853</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19</vt:i4>
      </vt:variant>
    </vt:vector>
  </HeadingPairs>
  <TitlesOfParts>
    <vt:vector size="31" baseType="lpstr">
      <vt:lpstr>Cotizacion</vt:lpstr>
      <vt:lpstr>sheep</vt:lpstr>
      <vt:lpstr>Mobiliti</vt:lpstr>
      <vt:lpstr>Estrategia Comercial </vt:lpstr>
      <vt:lpstr>Fletes</vt:lpstr>
      <vt:lpstr>Proveedores</vt:lpstr>
      <vt:lpstr>SPEC LAMINADO JOME</vt:lpstr>
      <vt:lpstr>SPEC-GUIDE-LUMBRO</vt:lpstr>
      <vt:lpstr>SPEC-GUIDE ESTRUCTURAS</vt:lpstr>
      <vt:lpstr>Spec Guide Estructura </vt:lpstr>
      <vt:lpstr>SPEC-GUIDE-CR GLOBAL</vt:lpstr>
      <vt:lpstr>Meses Sin Intereses Tarjetas</vt:lpstr>
      <vt:lpstr>Cotizacion!Área_de_impresión</vt:lpstr>
      <vt:lpstr>'Estrategia Comercial '!Área_de_impresión</vt:lpstr>
      <vt:lpstr>sheep!Área_de_impresión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Tabla_Fletes</vt:lpstr>
      <vt:lpstr>Tabla_Instalacion</vt:lpstr>
      <vt:lpstr>Tabla_Proveedores</vt:lpstr>
      <vt:lpstr>Tabla_Proveedores_1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2026-06-09T01:49:10Z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