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hreadedComments/threadedComment1.xml" ContentType="application/vnd.ms-excel.threaded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persons/person.xml" ContentType="application/vnd.ms-excel.person+xml"/>
  <Override PartName="/xl/styles.xml" ContentType="application/vnd.openxmlformats-officedocument.spreadsheetml.styles+xml"/>
  <Override PartName="/xl/comments1.xml" ContentType="application/vnd.openxmlformats-officedocument.spreadsheetml.comments+xml"/>
  <Override PartName="/xl/sharedStrings.xml" ContentType="application/vnd.openxmlformats-officedocument.spreadsheetml.sharedStrings+xml"/>
  <Override PartName="/xl/worksheets/sheet6.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Riesgo Inherente" sheetId="1" state="visible" r:id="rId3"/>
    <sheet name="Mitigación" sheetId="2" state="visible" r:id="rId4"/>
    <sheet name="Riesgo Residual" sheetId="3" state="visible" r:id="rId5"/>
    <sheet name="GRAFICOS" sheetId="4" state="visible" r:id="rId6"/>
    <sheet name="GESTIÓN Y APROBACIÓN" sheetId="5" state="visible" r:id="rId7"/>
    <sheet name="Matrices Estimación" sheetId="6" state="visible" r:id="rId8"/>
  </sheets>
  <externalReferences>
    <externalReference r:id="rId1"/>
  </externalReferences>
  <definedNames>
    <definedName name="DB_BONDS_EMISION">OFFSET('[1]BONDS'!$B$1,0,0,COUNTA('[1]BONDS'!$B:$B),1)</definedName>
    <definedName name="DB_BONDS_ISIN">OFFSET('[1]BONDS'!$A$1,0,0,COUNTA('[1]BONDS'!$A:$A),1)</definedName>
    <definedName name="DB_SHARES_NOMBRE">OFFSET('[1]EQUITY'!$C$1,0,0,COUNTA('[1]EQUITY'!$C:$C),1)</definedName>
    <definedName name="DB_SHARES_TICKER">OFFSET('[1]EQUITY'!$A$1,0,0,COUNTA('[1]EQUITY'!$A:$A),1)</definedName>
    <definedName name="Estado">#REF!</definedName>
    <definedName name="estados">#REF!</definedName>
    <definedName name="importe">#REF!</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tc={C9364CCE-9AC6-4B50-AA8B-324B33174C9F}</author>
    <author>tc={DE645039-7EBF-46A4-8420-20305F10A2E5}</author>
    <author>tc={9E55A231-1D77-48D3-A5A4-8FFB6F769569}</author>
    <author>tc={C78EAC28-CAE5-4C8D-A093-E11812A8CEF2}</author>
    <author>tc={622C44B0-D2D0-4CCD-BBC3-2DA0F407D48E}</author>
    <author>tc={A9900C5E-FAD8-4E25-9C1B-F6D5A3758F07}</author>
    <author>tc={4E9F50B3-139C-4023-B9F7-04516237FA7A}</author>
    <author>tc={4E659689-6931-4A6C-BE5B-C074F5B8ECEA}</author>
    <author>tc={DCF5C4B7-9562-43CE-90A9-9CDFB94C47B5}</author>
  </authors>
  <commentList>
    <comment ref="A107" authorId="0" xr:uid="{C9364CCE-9AC6-4B50-AA8B-324B33174C9F}">
      <text>
        <r>
          <rPr>
            <b/>
            <sz val="9"/>
            <rFont val="Tahoma"/>
          </rPr>
          <t xml:space="preserve">Asaff, Jose Yamil:</t>
        </r>
        <r>
          <rPr>
            <sz val="9"/>
            <rFont val="Tahoma"/>
          </rPr>
          <t xml:space="preserve">
Hay AR o 3ros que están registrados en más de un Estado de la República.
</t>
        </r>
      </text>
    </comment>
    <comment ref="M164" authorId="1" xr:uid="{DE645039-7EBF-46A4-8420-20305F10A2E5}">
      <text>
        <r>
          <rPr>
            <b/>
            <sz val="9"/>
            <rFont val="Tahoma"/>
          </rPr>
          <t xml:space="preserve">Asaff, Jose Yamil:</t>
        </r>
        <r>
          <rPr>
            <sz val="9"/>
            <rFont val="Tahoma"/>
          </rPr>
          <t xml:space="preserve">
Pandora Papers (icij.org) 
</t>
        </r>
      </text>
    </comment>
    <comment ref="M168" authorId="2" xr:uid="{9E55A231-1D77-48D3-A5A4-8FFB6F769569}">
      <text>
        <r>
          <rPr>
            <b/>
            <sz val="9"/>
            <rFont val="Tahoma"/>
          </rPr>
          <t xml:space="preserve">Asaff, Jose Yamil:</t>
        </r>
        <r>
          <rPr>
            <sz val="9"/>
            <rFont val="Tahoma"/>
          </rPr>
          <t xml:space="preserve">
Índice Mundial de Ciberseguridad 2020 (itu.int) 
</t>
        </r>
      </text>
    </comment>
    <comment ref="M169" authorId="3" xr:uid="{C78EAC28-CAE5-4C8D-A093-E11812A8CEF2}">
      <text>
        <r>
          <rPr>
            <b/>
            <sz val="9"/>
            <rFont val="Tahoma"/>
          </rPr>
          <t xml:space="preserve">Asaff, Jose Yamil:</t>
        </r>
        <r>
          <rPr>
            <sz val="9"/>
            <rFont val="Tahoma"/>
          </rPr>
          <t xml:space="preserve">
Reporte Ciberseguridad 2020: riesgos, avances y el camino a seguir en América Latina y el Caribe | Publicaciones (iadb.org) 
</t>
        </r>
      </text>
    </comment>
    <comment ref="M170" authorId="4" xr:uid="{622C44B0-D2D0-4CCD-BBC3-2DA0F407D48E}">
      <text>
        <r>
          <rPr>
            <b/>
            <sz val="9"/>
            <rFont val="Tahoma"/>
          </rPr>
          <t xml:space="preserve">Asaff, Jose Yamil:</t>
        </r>
        <r>
          <rPr>
            <sz val="9"/>
            <rFont val="Tahoma"/>
          </rPr>
          <t xml:space="preserve">
Transparency.org - Índice de Percepción de la Corrupción 2023: El… 
</t>
        </r>
      </text>
    </comment>
    <comment ref="M171" authorId="5" xr:uid="{A9900C5E-FAD8-4E25-9C1B-F6D5A3758F07}">
      <text>
        <r>
          <rPr>
            <b/>
            <sz val="9"/>
            <rFont val="Tahoma"/>
          </rPr>
          <t xml:space="preserve">Asaff, Jose Yamil:</t>
        </r>
        <r>
          <rPr>
            <sz val="9"/>
            <rFont val="Tahoma"/>
          </rPr>
          <t xml:space="preserve">
WJP Rule of Law Index | Global Insights (worldjusticeproject.org) 
</t>
        </r>
      </text>
    </comment>
    <comment ref="L173" authorId="6" xr:uid="{4E9F50B3-139C-4023-B9F7-04516237FA7A}">
      <text>
        <r>
          <rPr>
            <b/>
            <sz val="9"/>
            <rFont val="Tahoma"/>
          </rPr>
          <t xml:space="preserve">Asaff, Jose Yamil:</t>
        </r>
        <r>
          <rPr>
            <sz val="9"/>
            <rFont val="Tahoma"/>
          </rPr>
          <t xml:space="preserve">
Casinos, Loterías y otros Juegos de Azar: Salarios, producción, inversión, oportunidades y complejidad | Data México (economia.gob.mx) 
</t>
        </r>
      </text>
    </comment>
    <comment ref="A36" authorId="7" xr:uid="{4E659689-6931-4A6C-BE5B-C074F5B8ECEA}">
      <text>
        <r>
          <rPr>
            <b/>
            <sz val="9"/>
            <rFont val="Tahoma"/>
          </rPr>
          <t xml:space="preserve">Asaff, Jose Yamil:</t>
        </r>
        <r>
          <rPr>
            <sz val="9"/>
            <rFont val="Tahoma"/>
          </rPr>
          <t xml:space="preserve">
Hay AR o 3ros que están registrados como PF y PM
</t>
        </r>
      </text>
    </comment>
    <comment ref="A9" authorId="8" xr:uid="{DCF5C4B7-9562-43CE-90A9-9CDFB94C47B5}">
      <text>
        <r>
          <rPr>
            <b/>
            <sz val="9"/>
            <rFont val="Tahoma"/>
          </rPr>
          <t xml:space="preserve">Asaff, Jose Yamil:</t>
        </r>
        <r>
          <rPr>
            <sz val="9"/>
            <rFont val="Tahoma"/>
          </rPr>
          <t xml:space="preserve">
Hay Usuarios Beneficiarios que realizan operaciones con más de un AR o un 3ro.
</t>
        </r>
      </text>
    </comment>
  </commentList>
</comments>
</file>

<file path=xl/sharedStrings.xml><?xml version="1.0" encoding="utf-8"?>
<sst xmlns="http://schemas.openxmlformats.org/spreadsheetml/2006/main" count="535" uniqueCount="535">
  <si>
    <t xml:space="preserve">Intermediarios de DEMO</t>
  </si>
  <si>
    <t xml:space="preserve">Riesgo Inherente Entidad</t>
  </si>
  <si>
    <t xml:space="preserve">INSTRUCCIONES: 
Ingresar en las celdas de color celeste las cifras monetarias con sus valores reales (conciliados) de la operación. Las demás celdas son fórmulas prestablecidas conforme al presente algoritmo para la estimación de la exposición al Riesgo de LD/FT.</t>
  </si>
  <si>
    <t xml:space="preserve">Base de datos 2023
Información base del cálculo del Riesgo</t>
  </si>
  <si>
    <t>Columna1</t>
  </si>
  <si>
    <t>Columna2</t>
  </si>
  <si>
    <t>Columna3</t>
  </si>
  <si>
    <t xml:space="preserve">Monto total de operación</t>
  </si>
  <si>
    <t xml:space="preserve">Número de Agentes Relacionados</t>
  </si>
  <si>
    <t xml:space="preserve">Número total de operaciones</t>
  </si>
  <si>
    <t xml:space="preserve">Número de Usuarios Beneficiarios</t>
  </si>
  <si>
    <t xml:space="preserve">Nivel máximo de Riesgo</t>
  </si>
  <si>
    <t xml:space="preserve">Inherente Concentración</t>
  </si>
  <si>
    <t xml:space="preserve">Inherente Indicadores</t>
  </si>
  <si>
    <t xml:space="preserve">&lt;-OPS PAGADAS</t>
  </si>
  <si>
    <t xml:space="preserve">Riesgo Inherente de LD/FT</t>
  </si>
  <si>
    <t xml:space="preserve">Elementos de Riesgo</t>
  </si>
  <si>
    <t xml:space="preserve">Monto monetario</t>
  </si>
  <si>
    <t xml:space="preserve">Número de Operaciones</t>
  </si>
  <si>
    <t xml:space="preserve">Impacto por concentración</t>
  </si>
  <si>
    <t xml:space="preserve">Frecuencia por concentración</t>
  </si>
  <si>
    <t xml:space="preserve">Riesgo Inherente por Concentración</t>
  </si>
  <si>
    <t xml:space="preserve">Riesgo por Indicadores presentes</t>
  </si>
  <si>
    <t xml:space="preserve">Riesgo Inherente Final</t>
  </si>
  <si>
    <t xml:space="preserve">Indicadores de Riesgo</t>
  </si>
  <si>
    <t xml:space="preserve">1. Tipos de Intermediarios.</t>
  </si>
  <si>
    <t>Características</t>
  </si>
  <si>
    <t>Clave</t>
  </si>
  <si>
    <t xml:space="preserve">Nombre del Factor</t>
  </si>
  <si>
    <t xml:space="preserve">Descripción del Factor</t>
  </si>
  <si>
    <t xml:space="preserve">Carácter del factor
CUALITATIVO o CUANTITATIVO</t>
  </si>
  <si>
    <t xml:space="preserve">Importe en MXN relacionadas al factor</t>
  </si>
  <si>
    <t xml:space="preserve">Número de operaciones relacionados al factor</t>
  </si>
  <si>
    <t xml:space="preserve">Peso impacto Rango 0:100</t>
  </si>
  <si>
    <t xml:space="preserve">Frecuencia Rango 0:100</t>
  </si>
  <si>
    <t xml:space="preserve">Concentración factor</t>
  </si>
  <si>
    <t xml:space="preserve">1.1. Agentes Relacionados.</t>
  </si>
  <si>
    <t xml:space="preserve">Nacionalidad o País de nacimiento de Riesgo.</t>
  </si>
  <si>
    <t>SER-PR-A</t>
  </si>
  <si>
    <t xml:space="preserve">Lista gris GAFI.</t>
  </si>
  <si>
    <t xml:space="preserve">Usuarios que tengan nacionalidad o país de nacimiento de alguno de los siguientes: Bulgaria, Burkina Faso, Camerún, Croacia, República Democrática del Congo, Haití, Jamaica, Kenia, Malí, Mozambique, Namibia, Nigeria, Filipinas, Senegal, Sudáfrica, Sudán del Sur, Siria, Tanzania, Turquía, Vietnam, Yemen.</t>
  </si>
  <si>
    <t xml:space="preserve">1.2. Terceros.</t>
  </si>
  <si>
    <t>Domicilio.</t>
  </si>
  <si>
    <t>SER-DO-A</t>
  </si>
  <si>
    <t xml:space="preserve">Domicilio del Usuario.</t>
  </si>
  <si>
    <t xml:space="preserve">La operación del Usuario tiene una ubicación distinta a la reportada como su domicilio.</t>
  </si>
  <si>
    <t xml:space="preserve">Inherente Elemento</t>
  </si>
  <si>
    <t>SER-DO-B</t>
  </si>
  <si>
    <t xml:space="preserve">Usuarios Beneficiarios de alto riesgo transaccional.</t>
  </si>
  <si>
    <t xml:space="preserve">Servicios que se comercializan u operen con Usuarios de mayor Riesgo de LD/FT (Usuario con mayor monto operado).</t>
  </si>
  <si>
    <t xml:space="preserve">Servicios con beneficios de operacion por su valor.</t>
  </si>
  <si>
    <t>SER-SBOV-A</t>
  </si>
  <si>
    <t xml:space="preserve">Características de alto valor.</t>
  </si>
  <si>
    <t xml:space="preserve">Servicios que se caracterizan por ser de alto valor (Operación individual con mayor monto operado).</t>
  </si>
  <si>
    <t>SER-SBOV-B</t>
  </si>
  <si>
    <t xml:space="preserve">Características de bajo valor.</t>
  </si>
  <si>
    <t xml:space="preserve">Servicios que se caracterizan por ser de bajo valor.</t>
  </si>
  <si>
    <t>SER-SBOV-C</t>
  </si>
  <si>
    <t xml:space="preserve">Características de valor promedio.</t>
  </si>
  <si>
    <t xml:space="preserve">Promedio de los valores por monto de las operaciones.</t>
  </si>
  <si>
    <t xml:space="preserve">Servicios por operaciones con divisa</t>
  </si>
  <si>
    <t>SER-SOD-A</t>
  </si>
  <si>
    <t xml:space="preserve">Operaciones con dólares de los EU.</t>
  </si>
  <si>
    <t xml:space="preserve">Servicios a través de intermediarios.</t>
  </si>
  <si>
    <t>SER-SI-A</t>
  </si>
  <si>
    <t xml:space="preserve">Característica de Riesgo por tipo de Agente Relacionado o tercero.</t>
  </si>
  <si>
    <t xml:space="preserve">Servicios que tiene relación directa con operaciones realizadas a través de Agentes Relacionados de DEMO.</t>
  </si>
  <si>
    <t>SER-SI-B</t>
  </si>
  <si>
    <t xml:space="preserve">Servicios que tiene relación directa con operaciones realizadas a través de Terceros de DEMO.</t>
  </si>
  <si>
    <t xml:space="preserve">Servicios con Usuarios más Riesgosos</t>
  </si>
  <si>
    <t>SER-SUBR-A</t>
  </si>
  <si>
    <t xml:space="preserve">Usuarios Beneficiarios clasificados como PEP.</t>
  </si>
  <si>
    <t xml:space="preserve">El Agente Relacionado o el Tercero realizan Operaciones con Usuarios Beneficiarios que son PEPs.</t>
  </si>
  <si>
    <t xml:space="preserve">Usuarios Beneficiarios con alertas.</t>
  </si>
  <si>
    <t xml:space="preserve">Cuantificar las operaciones donde exista o hayan existido dudas sobre la identidad del Usuario beneficiario.</t>
  </si>
  <si>
    <t xml:space="preserve">Sospecha de que el Usuario Beneficiario actúa por cuenta de un tercero sin informarlo (Por ejemplo, recoge una transferencia de dinero e inmediatamente se la entrega a otra
persona o alguien más habla en nombre del Usuario Beneficiario, pero pone la transacción a su nombre).</t>
  </si>
  <si>
    <t xml:space="preserve">Usuario Beneficiario dentro de Lista de Personas Bloqueadas.</t>
  </si>
  <si>
    <t xml:space="preserve">Usuario beneficiario con identificación falsa/fraudulenta ya sea evidente a partir del solo documento, de la falta de conexión del documento con el Usuario beneficiario o del contexto del documento con otros documentos (por ejemplo, uso de tarjetas de identificación o documentos con diferentes nombres sin explicación razonable).</t>
  </si>
  <si>
    <t xml:space="preserve">El ratio de concentración de transferencias realizadas es notablemente superior en comparación con la base global de Usuario Beneficiarios. Contabilizar el máximo valor de monto y operaciones por Usuario Beneficiario.</t>
  </si>
  <si>
    <t xml:space="preserve">Red de Usuarios Beneficiarios que utilizan información de contacto compartida, como dirección, teléfono o correo electrónico, cuando dicho intercambio no es normal o razonablemente explicable.</t>
  </si>
  <si>
    <t xml:space="preserve">Usuarios Remitentes</t>
  </si>
  <si>
    <t xml:space="preserve">El Usuario Remitente sabe poco o es reacio a revelar detalles sobre el beneficiario (dirección/información de contacto, etc.) o proporciona información inconsistente (por ejemplo, proporciona nombres diferentes).</t>
  </si>
  <si>
    <t xml:space="preserve">Servicios que pueden favorecer el anonimato</t>
  </si>
  <si>
    <t xml:space="preserve">Servicios en fronteras internacionales.</t>
  </si>
  <si>
    <t xml:space="preserve">Servicios que pueden inherentemente favorecer el anonimato  en fronteras internacionales, usando efectivo.</t>
  </si>
  <si>
    <t xml:space="preserve">Servicios que tienen un límite de transacciones muy alto o nulo.</t>
  </si>
  <si>
    <t xml:space="preserve">Cuantificar las operaciones con el monto más alto en conbinación con la frecuencia más alta.</t>
  </si>
  <si>
    <t xml:space="preserve">Agentes relacionados.</t>
  </si>
  <si>
    <t>Terceros.</t>
  </si>
  <si>
    <t xml:space="preserve">Cuantificar las operaciones con el monto más bajo en combinación con la frecuencia más baja.</t>
  </si>
  <si>
    <t xml:space="preserve">Transfer Directo e ISEC</t>
  </si>
  <si>
    <t xml:space="preserve">Intermediarios que registran información desfazada por un día.</t>
  </si>
  <si>
    <t xml:space="preserve">Servicios que involucran operaciones No-realizadas.</t>
  </si>
  <si>
    <t xml:space="preserve">Transacciones Intentadas.</t>
  </si>
  <si>
    <r>
      <t xml:space="preserve">El cliente intenta realizar una transacción, pero cancela la transacción sin justificación alguna o para evitar informes u otros requisitos (</t>
    </r>
    <r>
      <rPr>
        <b/>
        <sz val="10"/>
        <rFont val="Times New Roman"/>
      </rPr>
      <t xml:space="preserve">Operaciones con estatus CANCELADA</t>
    </r>
    <r>
      <rPr>
        <sz val="10"/>
        <rFont val="Times New Roman"/>
      </rPr>
      <t>).</t>
    </r>
  </si>
  <si>
    <t xml:space="preserve">Número de Intermediarios</t>
  </si>
  <si>
    <t xml:space="preserve">2. Tipo de Persona Jurídica.</t>
  </si>
  <si>
    <t xml:space="preserve">Número de Agentes relacionados o terceros</t>
  </si>
  <si>
    <t xml:space="preserve">2.1. Persona Física.</t>
  </si>
  <si>
    <t>CL-PR-A</t>
  </si>
  <si>
    <t xml:space="preserve">Agente relacionados o terceros que tengan nacionalidad o país de nacimiento de alguno de los siguientes: Albania, Barbados, Bostwana, Camboya, Ghana, Jamaica, Islas Mauricio, Myanmar, Nicaragua, Pakistán, Panamá, Siria, Uganda, Yemen, Zimbadwe.</t>
  </si>
  <si>
    <t xml:space="preserve">2.2. Persona Moral.</t>
  </si>
  <si>
    <t xml:space="preserve">EDAD PFs. </t>
  </si>
  <si>
    <t>CL-PR-D</t>
  </si>
  <si>
    <t xml:space="preserve">Edad de los Intermediarios Personas Fisicas.</t>
  </si>
  <si>
    <t xml:space="preserve">i. Entre 18 y 25 años.</t>
  </si>
  <si>
    <t xml:space="preserve">ii. Entre 26 y 40 años.</t>
  </si>
  <si>
    <t xml:space="preserve">iii. Mayores a 40 años.</t>
  </si>
  <si>
    <t xml:space="preserve">iv. No contar con la edad del agente relacionado y/o tercero.</t>
  </si>
  <si>
    <t xml:space="preserve">Antigüedad PMs </t>
  </si>
  <si>
    <t>CL-PR-E</t>
  </si>
  <si>
    <t xml:space="preserve">Antigüedad de los Intermediarios Personas Morales.</t>
  </si>
  <si>
    <t xml:space="preserve">i. Entre 0 y 2 años.</t>
  </si>
  <si>
    <t xml:space="preserve">ii. Entre 3 y 5 años.</t>
  </si>
  <si>
    <t xml:space="preserve">iii. Mayores a 5 años.</t>
  </si>
  <si>
    <t xml:space="preserve">iv. No contar con la fecha de constitución</t>
  </si>
  <si>
    <t xml:space="preserve">Usuarios Beneficiarios y terceros relacionados. </t>
  </si>
  <si>
    <t>CL-PR-F</t>
  </si>
  <si>
    <t xml:space="preserve">Tipo de Usuarios Beneficiarios y terceros relacionados </t>
  </si>
  <si>
    <t xml:space="preserve">Pep nacional o extranjero</t>
  </si>
  <si>
    <t xml:space="preserve">Actividad económica / giro mercantil.</t>
  </si>
  <si>
    <t>CL-PR-C</t>
  </si>
  <si>
    <t xml:space="preserve">Actividades Vulnerables  - Clasificación conforme a la Evaluación Nacional de Riesgos - Septiembre de 2020</t>
  </si>
  <si>
    <t xml:space="preserve">Existe la posibilidad de que DEMO  opere con Usuarios Beneficiarios que son considerados en la normativa mexicana como Actividades Vulnerables a los delitos de LD/FT.</t>
  </si>
  <si>
    <t xml:space="preserve">Obras de arte</t>
  </si>
  <si>
    <t xml:space="preserve">Vehículos áereos, marítimos o terrestres</t>
  </si>
  <si>
    <t xml:space="preserve">Metales y piedras preciosas, joyas o relojes</t>
  </si>
  <si>
    <t xml:space="preserve">Servicios de blindaje</t>
  </si>
  <si>
    <t xml:space="preserve">Tarjetas prepagadas, vales o cupones</t>
  </si>
  <si>
    <t xml:space="preserve">Fe pública</t>
  </si>
  <si>
    <t xml:space="preserve">Monederos y certificados de devoluciones o recompensas</t>
  </si>
  <si>
    <t xml:space="preserve">Mutuo, préstamos o créditos</t>
  </si>
  <si>
    <t xml:space="preserve">Derechos personales de uso o goce de inmuebles</t>
  </si>
  <si>
    <t xml:space="preserve">Juegos con apuesta, concursos o sorteos</t>
  </si>
  <si>
    <t xml:space="preserve">Recepción de donativos</t>
  </si>
  <si>
    <t xml:space="preserve">Transmisión de derechos sobre bienes inmuebles y Desarrollo Inmobiliario</t>
  </si>
  <si>
    <t xml:space="preserve">Servicios profesionales</t>
  </si>
  <si>
    <t xml:space="preserve">Traslado o custodia de dinero o valores</t>
  </si>
  <si>
    <t xml:space="preserve">Tarjetas de servicios de crédito (diferente a las del Sistema Financiero)</t>
  </si>
  <si>
    <t xml:space="preserve">Activos virtuales</t>
  </si>
  <si>
    <t xml:space="preserve">Actividades primarias </t>
  </si>
  <si>
    <t xml:space="preserve">Actividades primarias (Agricultura y refaccionario)</t>
  </si>
  <si>
    <t xml:space="preserve">Servicios de oficinas y representaciones de empresas.</t>
  </si>
  <si>
    <t xml:space="preserve">OSFL Religiosas.  </t>
  </si>
  <si>
    <t xml:space="preserve">Agentes Relacionados o Terceros que pertenezcan a una OSFL religiosa y que aseguren bienes inmuebles que no guardan relación con los fines para las cuales fueron constituidas (Riesgo FT), de acuerdo con el comunicado No. 017-2020 de la UIF.</t>
  </si>
  <si>
    <t xml:space="preserve">Financiamiento al Terrorismo.</t>
  </si>
  <si>
    <t xml:space="preserve">Agentes Relacionados o Terceros que tengan una actividad económica relacionada con la compraventa de armas de fuego.</t>
  </si>
  <si>
    <t>CL-PR-G</t>
  </si>
  <si>
    <t xml:space="preserve">Riesgos relacionados al COVID-19. </t>
  </si>
  <si>
    <t xml:space="preserve">Agentes Relacionados o Terceros con actividad económica relacionada a los riesgos del LD/FT relacionados con COVID-19, como lo son falsificación de productos médicos, fraude de inversiones, estafas adaptadas de delitos cibernéticos, servicios médicos, suministros o equipo médico. </t>
  </si>
  <si>
    <t xml:space="preserve">EDAD PFs</t>
  </si>
  <si>
    <t>CL-TI-A</t>
  </si>
  <si>
    <t xml:space="preserve">Edad de los Agentes Relacionados o Terceros Personas Físicas</t>
  </si>
  <si>
    <t xml:space="preserve">Entre 0 y 25</t>
  </si>
  <si>
    <t xml:space="preserve">Entre 26 y 40 años</t>
  </si>
  <si>
    <t xml:space="preserve">Mayores a 40 años</t>
  </si>
  <si>
    <t xml:space="preserve">ANTIGÜEDAD PMs</t>
  </si>
  <si>
    <t>CL-TI-B</t>
  </si>
  <si>
    <t xml:space="preserve">Antigüedad Agentes Relacionados o Terceros Personas Morales.</t>
  </si>
  <si>
    <t xml:space="preserve">Entre 0 y 2 años</t>
  </si>
  <si>
    <t xml:space="preserve">Entre 3 y 5 años</t>
  </si>
  <si>
    <t xml:space="preserve">Mayores a 5 años</t>
  </si>
  <si>
    <t xml:space="preserve">Crecimiento de Agentes Relacionados o Terceros.</t>
  </si>
  <si>
    <t>CL-CTR-A</t>
  </si>
  <si>
    <t xml:space="preserve">Base de crecimiento del Agente Relacionado o Tercero</t>
  </si>
  <si>
    <t xml:space="preserve">Agentes Relacionados o Terceros en más de 2 localidades destino en sus operaciones (ID Intermediario en más de una localidad destino).</t>
  </si>
  <si>
    <t>CL-CTR-B</t>
  </si>
  <si>
    <t xml:space="preserve">Metodos de pago del Agente Relacionado o Tercero</t>
  </si>
  <si>
    <t xml:space="preserve">Métodos de pago utilizados por un segmento de Agentes Relacionados o Terceros que pueden contribuir a aumentar los riesgos de LD/FT (efectivo, formas de vehículos de pago que fomenten el anonimato, pagos desde diferentes cuentas bancarias sin explicación, terceros no relacionados).</t>
  </si>
  <si>
    <t>CL-CTR-C</t>
  </si>
  <si>
    <t xml:space="preserve">Individuos más difíciles de identificar.</t>
  </si>
  <si>
    <t xml:space="preserve">Dificultad para identificar a la persona en cuyo nombre se está llevando a cabo la relación comercial o transacción, generalmente con la participación de terceros (por ejemplo, el titular de la contrato diferente al propietario real y beneficiario y sin relaciones aparentes con ellos, o un tercero pagador en el contrato sin relación aparente con el titular).</t>
  </si>
  <si>
    <t>CL-CTR-D</t>
  </si>
  <si>
    <t xml:space="preserve">Estructuras que dificultan la identificación del propietario beneficiario del titular del contrato o tomador o del beneficiario.</t>
  </si>
  <si>
    <t xml:space="preserve">Estructuras complejas de propiedad y control que dificultan la identificación del propietario beneficiario del titular del contrato o tomador o del beneficiario.</t>
  </si>
  <si>
    <t>CL-CTR-E</t>
  </si>
  <si>
    <t xml:space="preserve">Circunstancias inusuales asociadas con las relaciones comerciales o transacciones del Agente Relacionado o Tercero.</t>
  </si>
  <si>
    <t xml:space="preserve">La actividad del Agente Relacionado o Tercero no es consistente con el perfil conocido del Agente Relacionado o Tercero y carece de justificación del negocio o justificación económica que cause pérdidas económicas.</t>
  </si>
  <si>
    <t>CL-CTR-G</t>
  </si>
  <si>
    <t xml:space="preserve">Intermediarios establecidos en areas de mayor riesgo de LD/FT</t>
  </si>
  <si>
    <r>
      <t xml:space="preserve">Intermediarios que se basan o venden en jurisdicciones o áreas geográficas de riesgo de LD/FT más altas (por ejemplo, intermediarios propiedad y/o controlados por personas establecidas en jurisdicciones o áreas geográficas de mayor Riesgo de LD/FT). </t>
    </r>
    <r>
      <rPr>
        <b/>
        <sz val="10"/>
        <rFont val="Times New Roman"/>
      </rPr>
      <t xml:space="preserve">Se combinan las cifras de las 3 primeras zonas más riesgosas en territorio nacional previstas en el Elemento Áreas Geográficas.</t>
    </r>
  </si>
  <si>
    <t xml:space="preserve">Entidades financieras o transmisores de dinero.</t>
  </si>
  <si>
    <r>
      <t xml:space="preserve">Cuantificar la medida en que las operaciones están ligadas a uno de estos dos tipos de Sujetos supervisados </t>
    </r>
    <r>
      <rPr>
        <b/>
        <sz val="10"/>
        <rFont val="Times New Roman"/>
      </rPr>
      <t xml:space="preserve">(Cajas populares, Cooperativas, SOFOM sacimex, Aseguradoras)</t>
    </r>
  </si>
  <si>
    <t xml:space="preserve">Transmisores de Dinero (tdm transfer directo).</t>
  </si>
  <si>
    <t xml:space="preserve">Naturaleza de las Operaciones del AR y/o Tercero</t>
  </si>
  <si>
    <t xml:space="preserve">Escala, diversidad y complejidad del negocio y su mercado objetivo.</t>
  </si>
  <si>
    <r>
      <t xml:space="preserve">Se puede comparar la actividad económica con el monto de las operaciones que realizan AR y/o Terceros para identificar inconsistencias de operación (Identificar montos elevados con la actividad económica para ver si existe consistencia entre uno y otro). </t>
    </r>
    <r>
      <rPr>
        <b/>
        <sz val="10"/>
        <rFont val="Times New Roman"/>
      </rPr>
      <t xml:space="preserve">AR y 3os con monto arriba de 100mdp.</t>
    </r>
  </si>
  <si>
    <t xml:space="preserve">Proporción de Agentes Relacionados o Terceros de AR.</t>
  </si>
  <si>
    <t xml:space="preserve">Proporción de Agentes Relacionados o Terceros ya identificados como de alto riesgo.</t>
  </si>
  <si>
    <t xml:space="preserve">Identificar las cifras de Agentes Relacionados o Terceros clasfiicados como de alto riesgo presentes en las operaciones por AR y/o Tercero. (Terceros).</t>
  </si>
  <si>
    <t xml:space="preserve">Agentes Relacionados</t>
  </si>
  <si>
    <t xml:space="preserve">Otras características de Riesgo</t>
  </si>
  <si>
    <t xml:space="preserve">Agentes que no hayan asistido o completado los programas de capacitación.</t>
  </si>
  <si>
    <t xml:space="preserve">Agentes que operan programas de cumplimiento deficientes, es decir, programas que no gestionan eficazmente el cumplimiento de políticas internas, límites monetarios, regulación externa, etc.</t>
  </si>
  <si>
    <t xml:space="preserve">Agentes cuya recopilación de datos o mantenimiento de registros sea laxo, descuidado o inconsistente.</t>
  </si>
  <si>
    <t xml:space="preserve">Instituciones financieras no bancarias</t>
  </si>
  <si>
    <t xml:space="preserve">Empresas de préstamos o financieras.</t>
  </si>
  <si>
    <r>
      <t xml:space="preserve">A veces las empresas operan sin el registro o la licencia adecuados. Carecen de relaciones continuas con los usuarios y requieren una identificación mínima o nula por parte de los usuarios. Mantienen un registro limitado o inconsistente de Usuarios Beneficiarios y transacciones </t>
    </r>
    <r>
      <rPr>
        <b/>
        <sz val="10"/>
        <rFont val="Times New Roman"/>
      </rPr>
      <t xml:space="preserve">(Empeños, Financieras, otros)</t>
    </r>
    <r>
      <rPr>
        <sz val="10"/>
        <rFont val="Times New Roman"/>
      </rPr>
      <t>.</t>
    </r>
  </si>
  <si>
    <t xml:space="preserve">Entidades comerciales</t>
  </si>
  <si>
    <t xml:space="preserve">Las entidades comerciales son relativamente fáciles de establecer.</t>
  </si>
  <si>
    <r>
      <t xml:space="preserve">Sociedades de responsabilidad limitada, corporaciones, fideicomisos y otras entidades que pueden usarse para muchos propósitos, como la planificación fiscal y patrimonial. Los individuos, las sociedades y las corporaciones existentes establecen entidades comerciales por razones legítimas, pero se puede abusar de las entidades para el lavado de dinero y el financiamiento del terrorismo </t>
    </r>
    <r>
      <rPr>
        <b/>
        <sz val="10"/>
        <rFont val="Times New Roman"/>
      </rPr>
      <t xml:space="preserve">(Comercializadoras, distribuidoras, Importadora, Exportadora, )</t>
    </r>
  </si>
  <si>
    <t xml:space="preserve">Negocios con uso intensivo de efectivo.</t>
  </si>
  <si>
    <t xml:space="preserve">Empresas y entidades con uso intensivo de efectivo.</t>
  </si>
  <si>
    <r>
      <t xml:space="preserve">La mayoría de estas empresas realizan negocios legítimos; Sin embargo, algunos aspectos de estos negocios pueden ser susceptibles de lavado de dinero o financiamiento del terrorismo. Algunos ejemplos comunes son, entre otros, los siguientes: </t>
    </r>
    <r>
      <rPr>
        <b/>
        <sz val="10"/>
        <rFont val="Times New Roman"/>
      </rPr>
      <t xml:space="preserve">Colmados. Restaurantes. Comercios. Licorerías. Distribuidores de cigarrillos. Cajeros automáticos (ATM) de propiedad privada. Operadores de máquinas expendedoras. Estacionamientos, Farmacias, Reparaciones, Almacenes, cibercafés, antros (discotecas), reparaciones, Ferreterías, zapaterías, tiendas, impresiones, supermercados, gasolineras, papelerías, pizzerías, dulcerías, hoteles, materiales, cybercafés, mercerías, mini super, miceláneas, madererías.</t>
    </r>
  </si>
  <si>
    <t xml:space="preserve">Clasificación del tipo de persona jurídica.</t>
  </si>
  <si>
    <t xml:space="preserve">3. Países y Áreas geográficas</t>
  </si>
  <si>
    <t xml:space="preserve">3.1. Estado de la República  destino de la Operación.</t>
  </si>
  <si>
    <t xml:space="preserve">2.1. Áreas geográficas de mayor Riesgo Nacionales.</t>
  </si>
  <si>
    <t>AG-ID-A</t>
  </si>
  <si>
    <t xml:space="preserve">Incidencia delictiva nacional. Índice combinado de la información del Gobierno de México y del Observatorio Interactivo de incidencia delictiva (Observatorio Nacional Ciudadano - México).</t>
  </si>
  <si>
    <t xml:space="preserve">Delitos registrados al periodo 2024 por zonas de mayor Riesgo. Incluye delitos precedentes del LD/FT totales de: Homicidio doloso, Feminicidio, Homicidio culposo, Secuestro, Extorsión, Robo con violencia, Robo de vehículo, Robo a casa habitación, Robo de negocio, Robo a transeúnte total, Robo en transporte público, Violación, Violencia familiar, Trata de personas, Narcomenudeo, Lesiones dolosas.</t>
  </si>
  <si>
    <t>AGUASCALIENTES</t>
  </si>
  <si>
    <t xml:space="preserve">ZONA 1</t>
  </si>
  <si>
    <t xml:space="preserve">BAJA CALIFORNIA NORTE</t>
  </si>
  <si>
    <t xml:space="preserve">ZONA 2</t>
  </si>
  <si>
    <t>CAMPECHE</t>
  </si>
  <si>
    <t xml:space="preserve">ZONA 3</t>
  </si>
  <si>
    <t>CHIAPAS</t>
  </si>
  <si>
    <t xml:space="preserve">ZONA 4</t>
  </si>
  <si>
    <t>CHIHUAHUA</t>
  </si>
  <si>
    <t xml:space="preserve">ZONA 5</t>
  </si>
  <si>
    <t>COAHUILA</t>
  </si>
  <si>
    <t xml:space="preserve">ZONA 6</t>
  </si>
  <si>
    <t>COLIMA</t>
  </si>
  <si>
    <t xml:space="preserve">2.1. Áreas geográficas de mayor Riesgo Extranjeras.</t>
  </si>
  <si>
    <t xml:space="preserve">Indicadores de LD/FT en áreas geográficas de origen de las operaciones.</t>
  </si>
  <si>
    <t>ALABAMA</t>
  </si>
  <si>
    <t xml:space="preserve">DISTRITO FEDERAL</t>
  </si>
  <si>
    <t>ALASKA</t>
  </si>
  <si>
    <t>DURANGO</t>
  </si>
  <si>
    <t>ARIZONA</t>
  </si>
  <si>
    <t>GUANAJUATO</t>
  </si>
  <si>
    <t>ARKANSAS</t>
  </si>
  <si>
    <t>GUERRERO</t>
  </si>
  <si>
    <t>CALIFORNIA</t>
  </si>
  <si>
    <t>HIDALGO</t>
  </si>
  <si>
    <t xml:space="preserve">CAROLINA DEL NORTE</t>
  </si>
  <si>
    <t>JALISCO</t>
  </si>
  <si>
    <t xml:space="preserve">CAROLINA DEL SUR</t>
  </si>
  <si>
    <t>MEXICO</t>
  </si>
  <si>
    <t>COLORADO</t>
  </si>
  <si>
    <t>MICHOACAN</t>
  </si>
  <si>
    <t>CONNECTICUT</t>
  </si>
  <si>
    <t>MORELOS</t>
  </si>
  <si>
    <t>DELAWARE</t>
  </si>
  <si>
    <t>NAYARIT</t>
  </si>
  <si>
    <t xml:space="preserve">DISTRITO DE COLUMBIA</t>
  </si>
  <si>
    <t xml:space="preserve">NUEVO LEON</t>
  </si>
  <si>
    <t>FLORIDA</t>
  </si>
  <si>
    <t>OAXACA</t>
  </si>
  <si>
    <t>GEORGIA</t>
  </si>
  <si>
    <t>PUEBLA</t>
  </si>
  <si>
    <t>IDAHO</t>
  </si>
  <si>
    <t>QUERETARO</t>
  </si>
  <si>
    <t>ILLINOIS</t>
  </si>
  <si>
    <t xml:space="preserve">QUINTANA ROO</t>
  </si>
  <si>
    <t>INDIANA</t>
  </si>
  <si>
    <t xml:space="preserve">SAN LUIS POTOSI</t>
  </si>
  <si>
    <t>IOWA</t>
  </si>
  <si>
    <t>SINALOA</t>
  </si>
  <si>
    <t>KANSAS</t>
  </si>
  <si>
    <t>SONORA</t>
  </si>
  <si>
    <t>KENTUCKY</t>
  </si>
  <si>
    <t>TAMAULIPAS</t>
  </si>
  <si>
    <t>LUISIANA</t>
  </si>
  <si>
    <t>TLAXCALA</t>
  </si>
  <si>
    <t>MAINE</t>
  </si>
  <si>
    <t>VERACRUZ</t>
  </si>
  <si>
    <t>MARYLAND</t>
  </si>
  <si>
    <t>YUCATAN</t>
  </si>
  <si>
    <t>MASSACHUSETTS</t>
  </si>
  <si>
    <t>ZACATECAS</t>
  </si>
  <si>
    <t>MICHIGAN</t>
  </si>
  <si>
    <t>MINNESOTA</t>
  </si>
  <si>
    <t>MISSISSIPPI</t>
  </si>
  <si>
    <t>MISSOURI</t>
  </si>
  <si>
    <t>MONTANA</t>
  </si>
  <si>
    <t>NEBRASKA</t>
  </si>
  <si>
    <t>NEVADA</t>
  </si>
  <si>
    <t xml:space="preserve">NEW HAMPSHIRE</t>
  </si>
  <si>
    <t xml:space="preserve">NORTH DAKOTA</t>
  </si>
  <si>
    <t xml:space="preserve">NUEVA JERSEY</t>
  </si>
  <si>
    <t xml:space="preserve">NUEVA YORK</t>
  </si>
  <si>
    <t xml:space="preserve">NUEVO MEXICO</t>
  </si>
  <si>
    <t>OHIO</t>
  </si>
  <si>
    <t>OKLAHOMA</t>
  </si>
  <si>
    <t>OREGON</t>
  </si>
  <si>
    <t>PENNSYLVANIA</t>
  </si>
  <si>
    <t xml:space="preserve">RHODE ISLAND</t>
  </si>
  <si>
    <t xml:space="preserve">SOUTH DAKOTA</t>
  </si>
  <si>
    <t>TENNESSEE</t>
  </si>
  <si>
    <t>TEXAS</t>
  </si>
  <si>
    <t>UTAH</t>
  </si>
  <si>
    <t>VERMONT</t>
  </si>
  <si>
    <t>VIRGINIA</t>
  </si>
  <si>
    <t>WASHINGTON</t>
  </si>
  <si>
    <t xml:space="preserve">WEST VIRGINIA</t>
  </si>
  <si>
    <t>WISCONSIN</t>
  </si>
  <si>
    <t>WYOMING</t>
  </si>
  <si>
    <t xml:space="preserve">2.2. Facilitar Operaciones relacionadas con áreas geográficas de mayor Riesgo.</t>
  </si>
  <si>
    <t>AG-RGP-A</t>
  </si>
  <si>
    <t xml:space="preserve">Regímenes fiscales preferentes.</t>
  </si>
  <si>
    <r>
      <t xml:space="preserve">Áreas geográficas consideradas que aplican regímenes fiscales preferentes </t>
    </r>
    <r>
      <rPr>
        <b/>
        <sz val="10"/>
        <rFont val="Times New Roman"/>
      </rPr>
      <t xml:space="preserve">(South Dakota, Florida, Delaware, Texas y Nevada)</t>
    </r>
  </si>
  <si>
    <t>AG-RGP-B</t>
  </si>
  <si>
    <t xml:space="preserve">Países No-Cooperantes con GAFI.</t>
  </si>
  <si>
    <t xml:space="preserve">Usuario Beneficiarios relacionados a legislaciones como Irán y República Popular Democrática de Corea.</t>
  </si>
  <si>
    <t>AG-RGP-C</t>
  </si>
  <si>
    <t xml:space="preserve">Países listados por la CSNU.</t>
  </si>
  <si>
    <t xml:space="preserve">Usuario Beneficiarios relacionados a legislaciones a la Lista consolidada del Consejo de Seguridad de las Naciones Unidas.</t>
  </si>
  <si>
    <t>AG-RGP-D</t>
  </si>
  <si>
    <t xml:space="preserve">Jurisdicciones con deficiencias estratégicas.</t>
  </si>
  <si>
    <t xml:space="preserve">Operaciones y/o Usuario Beneficiarios que tengan relación con alguno de los siguientes países: Albania, Barbados, Bostwana, Camboya, Ghana, Jamaica, Islas Mauricio, Myanmar, Nicaragua, Pakistán, Panamá, Siria, Uganda, Yemen, Zimbadwe.</t>
  </si>
  <si>
    <t xml:space="preserve">2.3 Áreas Geográficas delitos ciberneticos</t>
  </si>
  <si>
    <t xml:space="preserve">Índice Mundial de Ciberseguridad 2020.</t>
  </si>
  <si>
    <t xml:space="preserve">Unión Internacional de Telecomunicaciones.</t>
  </si>
  <si>
    <t xml:space="preserve">Reporte Ciberseguridad 2020: riesgos, avances y el camino a seguir en América Latina y el Caribe </t>
  </si>
  <si>
    <t xml:space="preserve">Banco Interamericano de Desarrollo .   www.observatoriociberseguridad.com</t>
  </si>
  <si>
    <t xml:space="preserve">Índices de corrupción</t>
  </si>
  <si>
    <t xml:space="preserve">Transparencia Internacional. ÍNDICE DE PERCEPCIÓN DE LA CORRUPCIÓN 2023: EL DEBILITAMIENTO DE LOS SISTEMAS DE JUSTICIA DEJA A LA CORRUPCIÓN SIN CONTROLES.</t>
  </si>
  <si>
    <t xml:space="preserve">Graves problemas de corrupción en el área geográfica. México es el lugar 128 de 180 más corruptos. Los gobiernos alrededor del mundo fracasan en gran medida en detener la corrupción durante 2023.</t>
  </si>
  <si>
    <t xml:space="preserve">Índice de Estado de Derecho 2023 de WJP (World Justice Project).</t>
  </si>
  <si>
    <t xml:space="preserve">Los derechos humanos disminuyeron en 3 de cada 4 países desde que comenzó la recesión mundial del Estado de derecho en 2016.</t>
  </si>
  <si>
    <t xml:space="preserve">Experiencia con corrupción en México. Tasa de población que ha tenido una experiencia respecto a la corrupción en México:</t>
  </si>
  <si>
    <t xml:space="preserve">Percepción de Corrupción en México 
2024. Personas que algún conocido le refirió actos
de corrupción en los trámites que realizó, operaciones u otra actividad a nombre y cuenta de un tercero.</t>
  </si>
  <si>
    <t xml:space="preserve">Índices de áreas geográficas relacionadas con grupos u organizaciones criminales o crimen organizado.</t>
  </si>
  <si>
    <t xml:space="preserve">Índice de la industria de juegos y sorteos.</t>
  </si>
  <si>
    <r>
      <t xml:space="preserve">Áreas geográficas que tienen mayor número de unidades económicas entre Casinos, Loterías y otros Juegos de Azar </t>
    </r>
    <r>
      <rPr>
        <b/>
        <sz val="10"/>
        <rFont val="Times New Roman"/>
      </rPr>
      <t xml:space="preserve">(CDMX, JALISCO y YUCATAN).</t>
    </r>
  </si>
  <si>
    <t xml:space="preserve">4. Transacciones (Instrumentos de Pago).</t>
  </si>
  <si>
    <t xml:space="preserve">4.1. Efectivo (Pesos mexicanos)</t>
  </si>
  <si>
    <t xml:space="preserve">Monto, número,  frecuencia y naturaleza de las operaciones.</t>
  </si>
  <si>
    <t>TR-MO-A</t>
  </si>
  <si>
    <t xml:space="preserve">Transacciones globales limitadas.</t>
  </si>
  <si>
    <r>
      <t xml:space="preserve">Transacciones globales limitadas u operar en corredores limitados, a menudo entre dos países que tienen una comunidad de diáspora </t>
    </r>
    <r>
      <rPr>
        <b/>
        <sz val="10"/>
        <rFont val="Times New Roman"/>
      </rPr>
      <t xml:space="preserve">(México, EEUU)</t>
    </r>
    <r>
      <rPr>
        <sz val="10"/>
        <rFont val="Times New Roman"/>
      </rPr>
      <t>.</t>
    </r>
  </si>
  <si>
    <t xml:space="preserve">Posible transacciones estructuradas.</t>
  </si>
  <si>
    <r>
      <t xml:space="preserve">La transacción es innecesariamente compleja sin ningún propósito comercial o legal aparente </t>
    </r>
    <r>
      <rPr>
        <b/>
        <sz val="10"/>
        <rFont val="Times New Roman"/>
      </rPr>
      <t xml:space="preserve">(Operaciones Relevantes y, a su vez, Operaciones Inusuales por fragmentación)</t>
    </r>
    <r>
      <rPr>
        <sz val="10"/>
        <rFont val="Times New Roman"/>
      </rPr>
      <t>.</t>
    </r>
  </si>
  <si>
    <t>TR-MO-B</t>
  </si>
  <si>
    <t xml:space="preserve">Monto máximo.</t>
  </si>
  <si>
    <t xml:space="preserve">Servicios de transferencia de alto valor (Monto acumulado mayor de un Usuarios beneficiario).</t>
  </si>
  <si>
    <t>TR-PA-C</t>
  </si>
  <si>
    <t xml:space="preserve">Naturaleza de las operaciones</t>
  </si>
  <si>
    <r>
      <t xml:space="preserve">Transacciones aparentemente estructuradas en un aparente intento de dividir los montos para que se mantengan por debajo de cualquier umbral de DDC aplicable, evitando la presentación de reportes o el mantenimiento de registros </t>
    </r>
    <r>
      <rPr>
        <b/>
        <sz val="10"/>
        <rFont val="Times New Roman"/>
      </rPr>
      <t xml:space="preserve">(Operaciones debajo de los 100 pesos mexicanos).</t>
    </r>
  </si>
  <si>
    <t>TR-NO-D</t>
  </si>
  <si>
    <r>
      <t xml:space="preserve">Posibles concentraciones de Usuario Beneficiarios que usen operaciones de alto valor y que tengan el riesgo de operar en nombre de un tercero </t>
    </r>
    <r>
      <rPr>
        <b/>
        <sz val="10"/>
        <rFont val="Times New Roman"/>
      </rPr>
      <t xml:space="preserve">(Personas Políticamente expuestas)</t>
    </r>
    <r>
      <rPr>
        <sz val="10"/>
        <rFont val="Times New Roman"/>
      </rPr>
      <t>.</t>
    </r>
  </si>
  <si>
    <t xml:space="preserve">5. Canales de distribución o envío</t>
  </si>
  <si>
    <t xml:space="preserve">Anonimato del Usuario Beneficiario por medios Presenciales a través de intermediarios.</t>
  </si>
  <si>
    <t>CE-PR-A</t>
  </si>
  <si>
    <t xml:space="preserve">Relación comercial con Agentes relacionados.</t>
  </si>
  <si>
    <t xml:space="preserve">Intermediarios personas físicas que no son instituciones financieras y ofrecen servicios en beneficio de la entidad. Sin medidas PLD/FT equivalentes al Transmisor de Dinero.</t>
  </si>
  <si>
    <t xml:space="preserve">5.1. Presencial</t>
  </si>
  <si>
    <t>CE-PR-B</t>
  </si>
  <si>
    <t xml:space="preserve">Relación comercial con Personas jurídicas Coadyuvantes.</t>
  </si>
  <si>
    <t xml:space="preserve">Intermediarios personas morales o físicas con actividad empresarial que pueden o no ser parte del Sistema Financiero y ofrecen servicios en beneficio de la entidad. Con o sin medidas PLD/FT equivalentes a la entidad.</t>
  </si>
  <si>
    <t xml:space="preserve">5.2. No-Presencial</t>
  </si>
  <si>
    <t>CE-PR-C</t>
  </si>
  <si>
    <t xml:space="preserve">Distribución de recursos a Terceros por medios presenciales.</t>
  </si>
  <si>
    <r>
      <t xml:space="preserve">Traslado de valores considerado por la LFPIORPI como Actividad Vulnerable </t>
    </r>
    <r>
      <rPr>
        <b/>
        <sz val="10"/>
        <rFont val="Times New Roman"/>
      </rPr>
      <t>(COMETRA).</t>
    </r>
  </si>
  <si>
    <t>CE-NP-B</t>
  </si>
  <si>
    <t xml:space="preserve">Terceros que formen parte del sistema financiero.</t>
  </si>
  <si>
    <r>
      <t xml:space="preserve">Cifras relacionadas a sus Terceros que sean parte del Sistema Financiero </t>
    </r>
    <r>
      <rPr>
        <b/>
        <sz val="10"/>
        <rFont val="Times New Roman"/>
      </rPr>
      <t xml:space="preserve">(Entidades financieras)</t>
    </r>
    <r>
      <rPr>
        <sz val="10"/>
        <rFont val="Times New Roman"/>
      </rPr>
      <t>.</t>
    </r>
  </si>
  <si>
    <t xml:space="preserve">Distribución de recursos por medios No presenciales</t>
  </si>
  <si>
    <t>CE-NP-A</t>
  </si>
  <si>
    <t xml:space="preserve">Distribución de recursos a Terceros por medios NO presenciales.</t>
  </si>
  <si>
    <r>
      <rPr>
        <b/>
        <sz val="10"/>
        <rFont val="Times New Roman"/>
      </rPr>
      <t>SPEI</t>
    </r>
    <r>
      <rPr>
        <sz val="10"/>
        <rFont val="Times New Roman"/>
      </rPr>
      <t xml:space="preserve">, Transferencia Interbancaria.</t>
    </r>
  </si>
  <si>
    <t xml:space="preserve">Complejidad de Cadena de Pago.</t>
  </si>
  <si>
    <r>
      <t xml:space="preserve">Sistemas de liquidación utilizados entre operadores en la
cadena de pagos, el uso de la tecnología y el grado de uso de las redes de agentes; </t>
    </r>
    <r>
      <rPr>
        <b/>
        <sz val="10"/>
        <rFont val="Times New Roman"/>
      </rPr>
      <t xml:space="preserve">Todo es en efectivo por contrato con los intermediarios.</t>
    </r>
  </si>
  <si>
    <t xml:space="preserve">MITIGACIÓN DE RIESGO</t>
  </si>
  <si>
    <t xml:space="preserve">MITIGANTES DE Y SU PESO</t>
  </si>
  <si>
    <t xml:space="preserve">1. Estructuras Internas.</t>
  </si>
  <si>
    <t>MITIGANTES</t>
  </si>
  <si>
    <t xml:space="preserve">PESO REAL MITIGANTES</t>
  </si>
  <si>
    <t xml:space="preserve">PESO RELATIVO RANGO 0:100</t>
  </si>
  <si>
    <t xml:space="preserve">PESO MITIGANTES</t>
  </si>
  <si>
    <t>Eficacia</t>
  </si>
  <si>
    <t>Nombre</t>
  </si>
  <si>
    <t xml:space="preserve">Definición y/o descripción</t>
  </si>
  <si>
    <t>CARÁCTER</t>
  </si>
  <si>
    <t>LD/FT</t>
  </si>
  <si>
    <t xml:space="preserve">Impacto Real / Nivel de control</t>
  </si>
  <si>
    <t xml:space="preserve">Frecuencia Real</t>
  </si>
  <si>
    <t xml:space="preserve">Tipo de Control</t>
  </si>
  <si>
    <t xml:space="preserve">Impacto Poderado / Nivel de control</t>
  </si>
  <si>
    <t>Periodicidad</t>
  </si>
  <si>
    <t xml:space="preserve">Frecuencia / Periodicidad</t>
  </si>
  <si>
    <t xml:space="preserve">Nivel Final rango 0:100</t>
  </si>
  <si>
    <t xml:space="preserve">Nivel percibido de eficacia</t>
  </si>
  <si>
    <t>MIT-EI-2</t>
  </si>
  <si>
    <t xml:space="preserve">Designar al Oficial de Cumplimiento.</t>
  </si>
  <si>
    <t xml:space="preserve">Funcionario dentro de las 3 jerarquías inmediatas inferiores al Director General, independiente de las Unidades de promoción y gestión de productos financieros, encargado del área de análisis de alertas y documentación de investigaciones.</t>
  </si>
  <si>
    <t>Cualitativo</t>
  </si>
  <si>
    <t>Preventivo</t>
  </si>
  <si>
    <t>Anual</t>
  </si>
  <si>
    <t>MIT-EI-4</t>
  </si>
  <si>
    <t xml:space="preserve">Capacitación del OC.</t>
  </si>
  <si>
    <t xml:space="preserve">Dirigida especialmente al Oficial de Cumplimiento, una vez al año como elemento clave de mitigación del Riesgo en materia de PLD/FT.</t>
  </si>
  <si>
    <t>MIT-EI-6</t>
  </si>
  <si>
    <t xml:space="preserve">Cumplimiento de funciones del OC.</t>
  </si>
  <si>
    <t xml:space="preserve">Desempeña las funciones y obligaciones de elaborar el Manual de Cumplimiento, someterlo a aprobación, así como la Metodología EBR y la correcta ejecución de las obligaciones de cumplimiento contenidas en las DCG.</t>
  </si>
  <si>
    <t>Diario</t>
  </si>
  <si>
    <t xml:space="preserve">2. Medidas, criterios, políticas y procedimientos implementados.</t>
  </si>
  <si>
    <t>MIT-DOC-1</t>
  </si>
  <si>
    <t xml:space="preserve">Manual de Cumplimiento.</t>
  </si>
  <si>
    <t xml:space="preserve">Políticas de identificación y conocimiento del Cliente con criterios, medidas y procedimientos internos adoptados para cumplir las DCG y gestionar los Riesgos que incluye el procedimiento y criterios para determinar la celebración, limitación y/o terminación de una relación comercial con Usuarios Beneficiarios en congruencia con la metodología EBR.</t>
  </si>
  <si>
    <t xml:space="preserve">3. Recursos de cumplimiento.</t>
  </si>
  <si>
    <t>MIT-RC-1</t>
  </si>
  <si>
    <t xml:space="preserve">1. Reportes de Operaciones Inusuales</t>
  </si>
  <si>
    <t xml:space="preserve">Reporta una actividad, conducta o comportamiento de un Cliente que no concuerde con los antecedentes o actividad conocida por DEMO</t>
  </si>
  <si>
    <t>Detectivo</t>
  </si>
  <si>
    <t>MIT-RC-2</t>
  </si>
  <si>
    <t xml:space="preserve">2. Reporte de operaciones Internas Preocupantes.</t>
  </si>
  <si>
    <t xml:space="preserve">Reportar operaciones, actividades, conductas o comportamientos de colaboradores directos o indirectos, que por sus características, pudiera contravenir, vulnerar o evadir la aplicación de lo dispuesto por la Ley o las DCG.</t>
  </si>
  <si>
    <t>MIT-RC-3</t>
  </si>
  <si>
    <t xml:space="preserve">3. Reporte de Operaciones Inusuales 24 Horas.</t>
  </si>
  <si>
    <t xml:space="preserve">Reportar Operaciones que por sus características, existan hechos fehacientes de que se trata de una operación relacionada a los delitos de LD/FT.</t>
  </si>
  <si>
    <t>MIT-RC-4</t>
  </si>
  <si>
    <t xml:space="preserve">4. Reporte de Operaciones Relevantes.</t>
  </si>
  <si>
    <t xml:space="preserve">Reportrar Operación que se realice con los billetes y las monedas metálicas de curso legal en los Estados Unidos Mexicanos o en cualquier otro país, así como con cheques de viajero y monedas acuñadas en platino, oro y plata, por un monto igual o superior al equivalente en moneda nacional a siete mil quinientos dólares de los Estados Unidos de América.</t>
  </si>
  <si>
    <t xml:space="preserve">4. Gobierno Corporativo.</t>
  </si>
  <si>
    <t>MIT-GC-1</t>
  </si>
  <si>
    <t xml:space="preserve">1. Comité de Comunicación y Control.</t>
  </si>
  <si>
    <t xml:space="preserve">Órgano de gobierno encargado de conocer, aprobar y dar seguimiento al adecuado cumplimiento de las DCG.</t>
  </si>
  <si>
    <t>Correctivo</t>
  </si>
  <si>
    <t>Mensual</t>
  </si>
  <si>
    <t>MIT-GC-2</t>
  </si>
  <si>
    <t xml:space="preserve">3. Comité de Riesgos</t>
  </si>
  <si>
    <t xml:space="preserve">Seguimiento de observaciones a los Riesgos de PLD</t>
  </si>
  <si>
    <t>MIT-GC-3</t>
  </si>
  <si>
    <t xml:space="preserve">3. Comité de auditoría.</t>
  </si>
  <si>
    <t xml:space="preserve">Seguimiento de observaciones a la auditoria PLD </t>
  </si>
  <si>
    <t xml:space="preserve">5. Capacitación.</t>
  </si>
  <si>
    <t>MIT-CAP-1</t>
  </si>
  <si>
    <t xml:space="preserve">1. Programas de capacitación y difusión.</t>
  </si>
  <si>
    <t xml:space="preserve">Se impartirán al menos una vez al año, y estarán dirigidos especialmente a los miembros de sus respectivos consejos de administración o administrador único, directivos, funcionarios y empleados, incluyendo aquellos que laboren en áreas de atención al público o de administración de recursos, y que contemplen, entre otros aspectos, los relativos al contenido en su Manual de Cumplimiento, y cualquier criterio, política y procedimiento en materia de prevención de LD/FT, así como sobre las actividades, productos y servicios, que ofrezca el Sujeto Supervisado.</t>
  </si>
  <si>
    <t>MIT-CAP-2</t>
  </si>
  <si>
    <t xml:space="preserve">2. Capacitación dirigida.</t>
  </si>
  <si>
    <t xml:space="preserve">Incluye información relacionada con los rubros de la actividad comercial aplicables.</t>
  </si>
  <si>
    <t>MIT-CAP-4</t>
  </si>
  <si>
    <t xml:space="preserve">4. Capacitación a empleados, directivos y áreas involucradas en la adminstración de recursos y promoción del negocio de DEMO</t>
  </si>
  <si>
    <t xml:space="preserve">Permite disminuir la exposición al Riesgo bajo la premisa de que existe una relación inversa entre la cantidad de empleados capacitados respecto al total y el posible impacto de un potencial evento interno que activase las conductas previstas en el artículo 400 Bis y 139 Quáter del Código Penal Federal CPF.</t>
  </si>
  <si>
    <t xml:space="preserve">6. Auditoría en materia de prevención de LD/FT.</t>
  </si>
  <si>
    <t>MIT-AUD-1</t>
  </si>
  <si>
    <t xml:space="preserve">Auditoría Interna de Cumplimiento.</t>
  </si>
  <si>
    <t xml:space="preserve">Brinda una visión global del Sujeto Supervisado para mantener una continuidad en la implementación de mejoras para combatir o reducir las inconsistencias detectadas, dando como resultado una mitigación de Riesgos y deberá existir una constancia documental de dicha revisión.
Además de poder ser un Mitigante en sí mismo, el resultado de dicha auditoría podría ser utilizada como insumo para definir la efectividad de los Mitigantes con los que cuenta el Sujeto Supervisado al momento de realizar la evaluación y así definir adecuadamente el efecto que estos tendrán sobre la medición de los Riesgos.</t>
  </si>
  <si>
    <t>MIT-AUD-2</t>
  </si>
  <si>
    <t xml:space="preserve">Auditoría Externa Independiente.</t>
  </si>
  <si>
    <t xml:space="preserve">Por evento</t>
  </si>
  <si>
    <t xml:space="preserve">7. Sistemas Automatizados.</t>
  </si>
  <si>
    <t>MIT-SA-1</t>
  </si>
  <si>
    <t xml:space="preserve">1. Infraestructura Tecnológica de cumplimiento en materia de PLD/FT.</t>
  </si>
  <si>
    <t xml:space="preserve">Fungir éstos como "alimentadores de información" relevante a la presente Metodología, logrando exista una coherencia en lo que obra en los sistemas automatizados y en el presente documento, además de contar con funciones estándares auditados que permiten a este cumplir con las funciones obligatorias de los sistemas automatizados previstas en la Disposición 53a y respaldado por lo descrito en el Informe anual de Auditoría PLD/FT.</t>
  </si>
  <si>
    <t>MIT-SA-3</t>
  </si>
  <si>
    <t xml:space="preserve">Identificaicón de Listas Negras.</t>
  </si>
  <si>
    <t xml:space="preserve">Listas reconocidas por las autoridades y organismos en el combate a los delitos de LD/FT.</t>
  </si>
  <si>
    <t>Cuantitativo</t>
  </si>
  <si>
    <t xml:space="preserve">Riesgo Residual LD/FT</t>
  </si>
  <si>
    <t xml:space="preserve">Rango 0:100</t>
  </si>
  <si>
    <t xml:space="preserve">RIESGO RESIDUAL Y EFICACIA DE MITIGACIÓN</t>
  </si>
  <si>
    <t xml:space="preserve">NIVEL DE TOLERANCIA ACEPTABLE</t>
  </si>
  <si>
    <t xml:space="preserve">PROBABILIADAD E IMPACTO RESIDUAL DE LOS INTERMEDIARIOS</t>
  </si>
  <si>
    <t xml:space="preserve">Impacto Residual</t>
  </si>
  <si>
    <t xml:space="preserve">Frecuencia Residual</t>
  </si>
  <si>
    <t xml:space="preserve">Porcentaje de exposición respecto al 100% de la operación total</t>
  </si>
  <si>
    <t xml:space="preserve">Porcentaje de exposición respecto 100% del total de contratos.</t>
  </si>
  <si>
    <t xml:space="preserve">Efectividad de mitigantes por impacto.</t>
  </si>
  <si>
    <t xml:space="preserve">Efectividad de mitigantes por probabilidad.</t>
  </si>
  <si>
    <t xml:space="preserve">RIESGO RESIDUAL INTERMEDIARIOS</t>
  </si>
  <si>
    <t xml:space="preserve">Nivel de Riesgo Residual por Elemento e Indicadores</t>
  </si>
  <si>
    <t xml:space="preserve">IMPACTO RESIDUAL</t>
  </si>
  <si>
    <t xml:space="preserve">FRECUENCIA RESIDUAL</t>
  </si>
  <si>
    <t xml:space="preserve">RESIDUAL ELEMENTO</t>
  </si>
  <si>
    <t xml:space="preserve">RIESGO INHERENTE</t>
  </si>
  <si>
    <t xml:space="preserve">RIESGO RESIDUAL</t>
  </si>
  <si>
    <t>DEMO</t>
  </si>
  <si>
    <t xml:space="preserve">Metodologia Utilizada</t>
  </si>
  <si>
    <t>AÑO</t>
  </si>
  <si>
    <t>2022-2023</t>
  </si>
  <si>
    <t xml:space="preserve">5 Elementos de Riesgo</t>
  </si>
  <si>
    <t xml:space="preserve">Monto total de Operación</t>
  </si>
  <si>
    <t xml:space="preserve">Tolerancia Aceptable</t>
  </si>
  <si>
    <t>Concentración</t>
  </si>
  <si>
    <t xml:space="preserve">Factor Presente</t>
  </si>
  <si>
    <t xml:space="preserve">Las Sociedades Financieras de Objeto Múltiple no reguladas deberán implementar la metodología diseñada  y obtener los resultados de la misma a fin de conocer los Riesgos a los que se encuentran expuestas, así como para mantenerlos en un nivel de tolerancia aceptable.
Se establece 15% sobre la concentración de numero de contratos emitidas y valor monetario de dichos contratos </t>
  </si>
  <si>
    <t xml:space="preserve">Representación en decimales escala 0:100</t>
  </si>
  <si>
    <t xml:space="preserve">NIVELES DE RIESGO</t>
  </si>
  <si>
    <t xml:space="preserve">4 niveles, incluyendo Tolerancia Aceptable</t>
  </si>
  <si>
    <t xml:space="preserve">Datos Cuantitativos que se Gestionan de forma periodica por el Departamento de Riesgos</t>
  </si>
  <si>
    <t>Premisas</t>
  </si>
  <si>
    <t xml:space="preserve">Aceptación del Consejo de Administración</t>
  </si>
  <si>
    <t>Acepto</t>
  </si>
  <si>
    <t xml:space="preserve">No Acepto</t>
  </si>
  <si>
    <t xml:space="preserve">La Tolerancia Aceptable debe ser lo más cercana a cero bajo un Juicio Prudencial, en materia de PLD/FT no debe considerarse el Impacto de pérdida monetaria</t>
  </si>
  <si>
    <t xml:space="preserve">Nunca llegara a cero a menos que se deje de realizar la operación </t>
  </si>
  <si>
    <t xml:space="preserve">La base sugerida persigue una Mejora Continua a través de la Gestión Constante por la división de Riesgos y Cumplimiento</t>
  </si>
  <si>
    <t xml:space="preserve">Los niveles de riesgo se establecen en función de la granularidad de la Institución y muestra claramente un resultado a Gestionar</t>
  </si>
  <si>
    <t xml:space="preserve">Los intervalos Cualitativos de Probabilidad de Ocurrencia se determinan a Criterio propio de la Institución, sin embargo el modelo permite de forma Individual Gestionar cada Factor de Riesgo</t>
  </si>
  <si>
    <t xml:space="preserve">Firmas de los Miembros del Consejo de Administración</t>
  </si>
  <si>
    <t xml:space="preserve">Nombre y Cargo del Miembro</t>
  </si>
  <si>
    <t xml:space="preserve">Matriz estimación de peso para Riesgos Cualitativos Inherente.</t>
  </si>
  <si>
    <t xml:space="preserve">Matriz de estimación de peso para Mitigantes Cualitativos.</t>
  </si>
  <si>
    <t xml:space="preserve">Nivel de Riesgo</t>
  </si>
  <si>
    <t xml:space="preserve">Porcentaje </t>
  </si>
  <si>
    <t>Probabilidad</t>
  </si>
  <si>
    <t xml:space="preserve">Valor Final</t>
  </si>
  <si>
    <t>Fundamento</t>
  </si>
  <si>
    <t xml:space="preserve">Nivel de Control </t>
  </si>
  <si>
    <t xml:space="preserve">Nivel de Periodicidad</t>
  </si>
  <si>
    <t>Alto</t>
  </si>
  <si>
    <t xml:space="preserve">Constante - Más del 50% de las operaciones</t>
  </si>
  <si>
    <t xml:space="preserve">Mayormente la operación está expuesta</t>
  </si>
  <si>
    <t xml:space="preserve">Por transacción</t>
  </si>
  <si>
    <t>Alta</t>
  </si>
  <si>
    <t xml:space="preserve">Resulta del promedio del Nivel de Control y el Nivel de Periodicidad.</t>
  </si>
  <si>
    <t xml:space="preserve">Modifican las causas del Riesgo.</t>
  </si>
  <si>
    <t>Media</t>
  </si>
  <si>
    <t>Constante</t>
  </si>
  <si>
    <t>Aceptación</t>
  </si>
  <si>
    <t>Baja</t>
  </si>
  <si>
    <t>Medio</t>
  </si>
  <si>
    <t xml:space="preserve">Eventual - más del 20 y menos del 50% del total de las operaciones</t>
  </si>
  <si>
    <t xml:space="preserve">Una porción de las operaciones está expuesta</t>
  </si>
  <si>
    <t xml:space="preserve">Permiten el restablecimiento de la actividad</t>
  </si>
  <si>
    <t>Eventual</t>
  </si>
  <si>
    <t>Bajo</t>
  </si>
  <si>
    <t xml:space="preserve">Remoto o por Evento - más del 10 y menos del 20%</t>
  </si>
  <si>
    <t xml:space="preserve">Algunos registros de operaciones se encuentran expuestos</t>
  </si>
  <si>
    <t xml:space="preserve">Regitran un evento después de presentado.</t>
  </si>
  <si>
    <t>Remoto</t>
  </si>
  <si>
    <t>Tolerancia</t>
  </si>
  <si>
    <t>N/A</t>
  </si>
  <si>
    <t>Aceptable</t>
  </si>
  <si>
    <t xml:space="preserve">Cuando el riesgo se encuentra en Tolerancia Aceptable.</t>
  </si>
  <si>
    <t>-</t>
  </si>
  <si>
    <t>Inexistente</t>
  </si>
  <si>
    <t xml:space="preserve">Cuando no se cuenta o no existe uno definido.</t>
  </si>
  <si>
    <t xml:space="preserve">Fuentes Externas</t>
  </si>
  <si>
    <t xml:space="preserve">Se asigna la clasificación según la fuente externa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</si>
</sst>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4" formatCode="_-* #,##0.00_-;\-* #,##0.00_-;_-* &quot;-&quot;??_-;_-@_-"/>
    <numFmt numFmtId="165" formatCode="_-&quot;$&quot;* #,##0.00_-;\-&quot;$&quot;* #,##0.00_-;_-&quot;$&quot;* &quot;-&quot;??_-;_-@_-"/>
    <numFmt numFmtId="166" formatCode="_-* #,##0_-;\-* #,##0_-;_-* &quot;-&quot;??_-;_-@_-"/>
    <numFmt numFmtId="167" formatCode="&quot;$&quot;#,##0.00;[Red]\-&quot;$&quot;#,##0.00"/>
    <numFmt numFmtId="168" formatCode="0.0%"/>
  </numFmts>
  <fonts count="34">
    <font>
      <sz val="11.000000"/>
      <color theme="1"/>
      <name val="Calibri"/>
    </font>
    <font>
      <sz val="12.000000"/>
      <color theme="1"/>
      <name val="Calibri"/>
      <scheme val="minor"/>
    </font>
    <font>
      <sz val="11.000000"/>
      <color theme="1"/>
      <name val="Calibri"/>
      <scheme val="minor"/>
    </font>
    <font>
      <sz val="12.000000"/>
      <name val="Times New Roman"/>
    </font>
    <font>
      <b/>
      <sz val="12.000000"/>
      <name val="Times New Roman"/>
    </font>
    <font>
      <sz val="10.000000"/>
      <name val="Times New Roman"/>
    </font>
    <font>
      <b/>
      <sz val="26.000000"/>
      <name val="Times New Roman"/>
    </font>
    <font>
      <b/>
      <sz val="20.000000"/>
      <color rgb="FF00B050"/>
      <name val="Times New Roman"/>
    </font>
    <font>
      <b/>
      <sz val="22.000000"/>
      <name val="Times New Roman"/>
    </font>
    <font>
      <b/>
      <sz val="10.000000"/>
      <name val="Times New Roman"/>
    </font>
    <font>
      <sz val="22.000000"/>
      <name val="Times New Roman"/>
    </font>
    <font>
      <b/>
      <u/>
      <sz val="12.000000"/>
      <name val="Times New Roman"/>
    </font>
    <font>
      <b/>
      <u/>
      <sz val="12.000000"/>
      <color theme="0"/>
      <name val="Times New Roman"/>
    </font>
    <font>
      <b/>
      <sz val="28.000000"/>
      <name val="Times New Roman"/>
    </font>
    <font>
      <b/>
      <sz val="14.000000"/>
      <name val="Times New Roman"/>
    </font>
    <font>
      <b/>
      <sz val="16.000000"/>
      <name val="Times New Roman"/>
    </font>
    <font>
      <b/>
      <sz val="22.000000"/>
      <color theme="0"/>
      <name val="Times New Roman"/>
    </font>
    <font>
      <b/>
      <u/>
      <sz val="18.000000"/>
      <name val="Times New Roman"/>
    </font>
    <font>
      <i/>
      <sz val="12.000000"/>
      <name val="Times New Roman"/>
    </font>
    <font>
      <b/>
      <sz val="12.000000"/>
      <color theme="1"/>
      <name val="Times New Roman"/>
    </font>
    <font>
      <sz val="12.000000"/>
      <color theme="1"/>
      <name val="Times New Roman"/>
    </font>
    <font>
      <sz val="10.000000"/>
      <color theme="1"/>
      <name val="Times New Roman"/>
    </font>
    <font>
      <sz val="12.000000"/>
      <name val="Calibri"/>
      <scheme val="minor"/>
    </font>
    <font>
      <b/>
      <u/>
      <sz val="22.000000"/>
      <color theme="0"/>
      <name val="Times New Roman"/>
    </font>
    <font>
      <b/>
      <sz val="24.000000"/>
      <name val="Times New Roman"/>
    </font>
    <font>
      <b/>
      <i/>
      <sz val="12.000000"/>
      <name val="Times New Roman"/>
    </font>
    <font>
      <b/>
      <sz val="18.000000"/>
      <name val="Times New Roman"/>
    </font>
    <font>
      <b/>
      <sz val="36.000000"/>
      <name val="Times New Roman"/>
    </font>
    <font>
      <sz val="14.000000"/>
      <name val="Times New Roman"/>
    </font>
    <font>
      <b/>
      <sz val="16.000000"/>
      <name val="Calibri"/>
      <scheme val="minor"/>
    </font>
    <font>
      <b/>
      <sz val="12.000000"/>
      <name val="Calibri"/>
      <scheme val="minor"/>
    </font>
    <font>
      <b/>
      <sz val="14.000000"/>
      <name val="Calibri"/>
      <scheme val="minor"/>
    </font>
    <font>
      <b/>
      <sz val="9.000000"/>
      <name val="Calibri"/>
      <scheme val="minor"/>
    </font>
    <font>
      <sz val="9.000000"/>
      <name val="Calibri"/>
      <scheme val="minor"/>
    </font>
  </fonts>
  <fills count="13">
    <fill>
      <patternFill patternType="none"/>
    </fill>
    <fill>
      <patternFill patternType="gray125"/>
    </fill>
    <fill>
      <patternFill patternType="solid">
        <fgColor theme="1"/>
      </patternFill>
    </fill>
    <fill>
      <patternFill patternType="solid">
        <fgColor rgb="FF00B0F0"/>
      </patternFill>
    </fill>
    <fill>
      <patternFill patternType="solid">
        <fgColor theme="0"/>
      </patternFill>
    </fill>
    <fill>
      <patternFill patternType="solid">
        <fgColor theme="0"/>
        <bgColor theme="9"/>
      </patternFill>
    </fill>
    <fill>
      <patternFill patternType="solid">
        <fgColor theme="0" tint="-0.14999847407452621"/>
        <bgColor theme="0" tint="-0.14999847407452621"/>
      </patternFill>
    </fill>
    <fill>
      <patternFill patternType="solid">
        <fgColor indexed="5"/>
      </patternFill>
    </fill>
    <fill>
      <patternFill patternType="solid">
        <fgColor rgb="FF00B050"/>
      </patternFill>
    </fill>
    <fill>
      <patternFill patternType="solid">
        <fgColor theme="9" tint="0.79998168889431442"/>
      </patternFill>
    </fill>
    <fill>
      <patternFill patternType="solid">
        <fgColor theme="9" tint="0.59999389629810485"/>
      </patternFill>
    </fill>
    <fill>
      <patternFill patternType="solid">
        <fgColor theme="7" tint="-0.249977111117893"/>
      </patternFill>
    </fill>
    <fill>
      <patternFill patternType="solid">
        <fgColor rgb="FF002060"/>
      </patternFill>
    </fill>
  </fills>
  <borders count="73">
    <border>
      <left style="none"/>
      <right style="none"/>
      <top style="none"/>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none"/>
      <right style="none"/>
      <top style="medium">
        <color theme="1"/>
      </top>
      <bottom style="none"/>
      <diagonal style="none"/>
    </border>
    <border>
      <left style="medium">
        <color auto="1"/>
      </left>
      <right style="none"/>
      <top style="thin">
        <color auto="1"/>
      </top>
      <bottom style="medium">
        <color auto="1"/>
      </bottom>
      <diagonal style="none"/>
    </border>
    <border>
      <left style="none"/>
      <right style="medium">
        <color auto="1"/>
      </right>
      <top style="thin">
        <color auto="1"/>
      </top>
      <bottom style="medium">
        <color auto="1"/>
      </bottom>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none"/>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none"/>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none"/>
      <right style="none"/>
      <top style="none"/>
      <bottom style="medium">
        <color auto="1"/>
      </bottom>
      <diagonal style="none"/>
    </border>
    <border>
      <left style="medium">
        <color auto="1"/>
      </left>
      <right style="thin">
        <color auto="1"/>
      </right>
      <top style="none"/>
      <bottom style="none"/>
      <diagonal style="none"/>
    </border>
    <border>
      <left style="thin">
        <color auto="1"/>
      </left>
      <right style="thin">
        <color auto="1"/>
      </right>
      <top style="none"/>
      <bottom style="none"/>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none"/>
      <right style="thin">
        <color auto="1"/>
      </right>
      <top style="medium">
        <color auto="1"/>
      </top>
      <bottom style="none"/>
      <diagonal style="none"/>
    </border>
    <border>
      <left style="thin">
        <color auto="1"/>
      </left>
      <right style="thin">
        <color auto="1"/>
      </right>
      <top style="medium">
        <color auto="1"/>
      </top>
      <bottom style="none"/>
      <diagonal style="none"/>
    </border>
    <border>
      <left style="none"/>
      <right style="none"/>
      <top style="medium">
        <color auto="1"/>
      </top>
      <bottom style="none"/>
      <diagonal style="none"/>
    </border>
    <border>
      <left style="thin">
        <color auto="1"/>
      </left>
      <right style="none"/>
      <top style="medium">
        <color auto="1"/>
      </top>
      <bottom style="none"/>
      <diagonal style="none"/>
    </border>
    <border>
      <left style="medium">
        <color auto="1"/>
      </left>
      <right style="thin">
        <color auto="1"/>
      </right>
      <top style="medium">
        <color auto="1"/>
      </top>
      <bottom style="none"/>
      <diagonal style="none"/>
    </border>
    <border>
      <left style="thin">
        <color auto="1"/>
      </left>
      <right style="medium">
        <color auto="1"/>
      </right>
      <top style="medium">
        <color auto="1"/>
      </top>
      <bottom style="none"/>
      <diagonal style="none"/>
    </border>
    <border>
      <left style="medium">
        <color auto="1"/>
      </left>
      <right style="medium">
        <color auto="1"/>
      </right>
      <top style="medium">
        <color auto="1"/>
      </top>
      <bottom style="none"/>
      <diagonal style="none"/>
    </border>
    <border>
      <left style="medium">
        <color auto="1"/>
      </left>
      <right style="thin">
        <color auto="1"/>
      </right>
      <top style="thin">
        <color auto="1"/>
      </top>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none"/>
      <top style="thin">
        <color auto="1"/>
      </top>
      <bottom style="medium">
        <color auto="1"/>
      </bottom>
      <diagonal style="none"/>
    </border>
    <border>
      <left style="thin">
        <color auto="1"/>
      </left>
      <right style="medium">
        <color auto="1"/>
      </right>
      <top style="thin">
        <color auto="1"/>
      </top>
      <bottom style="thin">
        <color auto="1"/>
      </bottom>
      <diagonal style="none"/>
    </border>
    <border>
      <left style="thin">
        <color auto="1"/>
      </left>
      <right style="thin">
        <color auto="1"/>
      </right>
      <top style="none"/>
      <bottom style="thin">
        <color auto="1"/>
      </bottom>
      <diagonal style="none"/>
    </border>
    <border>
      <left style="thin">
        <color auto="1"/>
      </left>
      <right style="none"/>
      <top style="none"/>
      <bottom style="thin">
        <color auto="1"/>
      </bottom>
      <diagonal style="none"/>
    </border>
    <border>
      <left style="medium">
        <color auto="1"/>
      </left>
      <right style="thin">
        <color auto="1"/>
      </right>
      <top style="thin">
        <color auto="1"/>
      </top>
      <bottom style="none"/>
      <diagonal style="none"/>
    </border>
    <border>
      <left style="medium">
        <color auto="1"/>
      </left>
      <right style="thin">
        <color auto="1"/>
      </right>
      <top style="none"/>
      <bottom style="thin">
        <color auto="1"/>
      </bottom>
      <diagonal style="none"/>
    </border>
    <border>
      <left style="medium">
        <color auto="1"/>
      </left>
      <right style="thin">
        <color auto="1"/>
      </right>
      <top style="medium">
        <color auto="1"/>
      </top>
      <bottom style="medium">
        <color auto="1"/>
      </bottom>
      <diagonal style="none"/>
    </border>
    <border>
      <left style="medium">
        <color auto="1"/>
      </left>
      <right style="medium">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medium">
        <color auto="1"/>
      </left>
      <right style="medium">
        <color auto="1"/>
      </right>
      <top style="none"/>
      <bottom style="none"/>
      <diagonal style="none"/>
    </border>
    <border>
      <left style="none"/>
      <right style="thin">
        <color auto="1"/>
      </right>
      <top style="thin">
        <color auto="1"/>
      </top>
      <bottom style="thin">
        <color auto="1"/>
      </bottom>
      <diagonal style="none"/>
    </border>
    <border>
      <left style="medium">
        <color auto="1"/>
      </left>
      <right style="medium">
        <color auto="1"/>
      </right>
      <top style="none"/>
      <bottom style="thin">
        <color auto="1"/>
      </bottom>
      <diagonal style="none"/>
    </border>
    <border>
      <left style="medium">
        <color auto="1"/>
      </left>
      <right style="medium">
        <color auto="1"/>
      </right>
      <top style="thin">
        <color auto="1"/>
      </top>
      <bottom style="none"/>
      <diagonal style="none"/>
    </border>
    <border>
      <left style="thin">
        <color auto="1"/>
      </left>
      <right style="none"/>
      <top style="medium">
        <color auto="1"/>
      </top>
      <bottom style="medium">
        <color auto="1"/>
      </bottom>
      <diagonal style="none"/>
    </border>
    <border>
      <left style="medium">
        <color auto="1"/>
      </left>
      <right style="medium">
        <color auto="1"/>
      </right>
      <top style="thin">
        <color auto="1"/>
      </top>
      <bottom style="thin">
        <color auto="1"/>
      </bottom>
      <diagonal style="none"/>
    </border>
    <border>
      <left style="medium">
        <color auto="1"/>
      </left>
      <right style="medium">
        <color auto="1"/>
      </right>
      <top style="thin">
        <color auto="1"/>
      </top>
      <bottom style="medium">
        <color auto="1"/>
      </bottom>
      <diagonal style="none"/>
    </border>
    <border>
      <left style="thin">
        <color auto="1"/>
      </left>
      <right style="thin">
        <color auto="1"/>
      </right>
      <top style="thin">
        <color auto="1"/>
      </top>
      <bottom style="none"/>
      <diagonal style="none"/>
    </border>
    <border>
      <left style="medium">
        <color auto="1"/>
      </left>
      <right style="thin">
        <color auto="1"/>
      </right>
      <top style="none"/>
      <bottom style="medium">
        <color auto="1"/>
      </bottom>
      <diagonal style="none"/>
    </border>
    <border>
      <left style="thin">
        <color auto="1"/>
      </left>
      <right style="thin">
        <color auto="1"/>
      </right>
      <top style="none"/>
      <bottom style="medium">
        <color auto="1"/>
      </bottom>
      <diagonal style="none"/>
    </border>
    <border>
      <left style="medium">
        <color theme="6" tint="-0.499984740745262"/>
      </left>
      <right style="none"/>
      <top style="medium">
        <color theme="6" tint="-0.499984740745262"/>
      </top>
      <bottom style="medium">
        <color theme="6" tint="-0.499984740745262"/>
      </bottom>
      <diagonal style="none"/>
    </border>
    <border>
      <left style="none"/>
      <right style="none"/>
      <top style="medium">
        <color theme="6" tint="-0.499984740745262"/>
      </top>
      <bottom style="medium">
        <color theme="6" tint="-0.499984740745262"/>
      </bottom>
      <diagonal style="none"/>
    </border>
    <border>
      <left style="none"/>
      <right style="medium">
        <color theme="6" tint="-0.499984740745262"/>
      </right>
      <top style="medium">
        <color theme="6" tint="-0.499984740745262"/>
      </top>
      <bottom style="medium">
        <color theme="6" tint="-0.499984740745262"/>
      </bottom>
      <diagonal style="none"/>
    </border>
    <border>
      <left style="medium">
        <color theme="8"/>
      </left>
      <right style="thin">
        <color theme="8"/>
      </right>
      <top style="medium">
        <color theme="8"/>
      </top>
      <bottom style="medium">
        <color theme="8"/>
      </bottom>
      <diagonal style="none"/>
    </border>
    <border>
      <left style="thin">
        <color theme="8"/>
      </left>
      <right style="thin">
        <color theme="8"/>
      </right>
      <top style="medium">
        <color theme="8"/>
      </top>
      <bottom style="medium">
        <color theme="8"/>
      </bottom>
      <diagonal style="none"/>
    </border>
    <border>
      <left style="thin">
        <color theme="8"/>
      </left>
      <right style="medium">
        <color theme="8"/>
      </right>
      <top style="medium">
        <color theme="8"/>
      </top>
      <bottom style="medium">
        <color theme="8"/>
      </bottom>
      <diagonal style="none"/>
    </border>
    <border>
      <left style="medium">
        <color theme="8"/>
      </left>
      <right style="thin">
        <color theme="8"/>
      </right>
      <top style="none"/>
      <bottom style="medium">
        <color theme="8"/>
      </bottom>
      <diagonal style="none"/>
    </border>
    <border>
      <left style="thin">
        <color theme="8"/>
      </left>
      <right style="thin">
        <color theme="8"/>
      </right>
      <top style="none"/>
      <bottom style="medium">
        <color theme="8"/>
      </bottom>
      <diagonal style="none"/>
    </border>
    <border>
      <left style="thin">
        <color theme="8"/>
      </left>
      <right style="medium">
        <color theme="8"/>
      </right>
      <top style="none"/>
      <bottom style="medium">
        <color theme="8"/>
      </bottom>
      <diagonal style="none"/>
    </border>
    <border>
      <left style="medium">
        <color theme="8"/>
      </left>
      <right style="thin">
        <color theme="8"/>
      </right>
      <top style="none"/>
      <bottom style="thin">
        <color theme="8"/>
      </bottom>
      <diagonal style="none"/>
    </border>
    <border>
      <left style="thin">
        <color theme="8"/>
      </left>
      <right style="thin">
        <color theme="8"/>
      </right>
      <top style="none"/>
      <bottom style="thin">
        <color theme="8"/>
      </bottom>
      <diagonal style="none"/>
    </border>
    <border>
      <left style="thin">
        <color theme="8"/>
      </left>
      <right style="medium">
        <color theme="8"/>
      </right>
      <top style="none"/>
      <bottom style="thin">
        <color theme="8"/>
      </bottom>
      <diagonal style="none"/>
    </border>
    <border>
      <left style="medium">
        <color theme="8"/>
      </left>
      <right style="thin">
        <color theme="8"/>
      </right>
      <top style="thin">
        <color theme="8"/>
      </top>
      <bottom style="thin">
        <color theme="8"/>
      </bottom>
      <diagonal style="none"/>
    </border>
    <border>
      <left style="thin">
        <color theme="8"/>
      </left>
      <right style="thin">
        <color theme="8"/>
      </right>
      <top style="thin">
        <color theme="8"/>
      </top>
      <bottom style="thin">
        <color theme="8"/>
      </bottom>
      <diagonal style="none"/>
    </border>
    <border>
      <left style="thin">
        <color theme="8"/>
      </left>
      <right style="medium">
        <color theme="8"/>
      </right>
      <top style="thin">
        <color theme="8"/>
      </top>
      <bottom style="thin">
        <color theme="8"/>
      </bottom>
      <diagonal style="none"/>
    </border>
    <border>
      <left style="medium">
        <color theme="8"/>
      </left>
      <right style="thin">
        <color theme="8"/>
      </right>
      <top style="thin">
        <color theme="8"/>
      </top>
      <bottom style="medium">
        <color theme="8"/>
      </bottom>
      <diagonal style="none"/>
    </border>
    <border>
      <left style="thin">
        <color theme="8"/>
      </left>
      <right style="thin">
        <color theme="8"/>
      </right>
      <top style="thin">
        <color theme="8"/>
      </top>
      <bottom style="medium">
        <color theme="8"/>
      </bottom>
      <diagonal style="none"/>
    </border>
    <border>
      <left style="thin">
        <color theme="8"/>
      </left>
      <right style="medium">
        <color theme="8"/>
      </right>
      <top style="thin">
        <color theme="8"/>
      </top>
      <bottom style="medium">
        <color theme="8"/>
      </bottom>
      <diagonal style="none"/>
    </border>
  </borders>
  <cellStyleXfs count="12">
    <xf fontId="0" fillId="0" borderId="0" numFmtId="0" applyNumberFormat="1" applyFont="1" applyFill="1" applyBorder="1"/>
    <xf fontId="0" fillId="0" borderId="0" numFmtId="164" applyNumberFormat="1" applyFont="0" applyFill="0" applyBorder="0" applyProtection="0"/>
    <xf fontId="1" fillId="0" borderId="0" numFmtId="164" applyNumberFormat="1" applyFont="0" applyFill="0" applyBorder="0" applyProtection="0"/>
    <xf fontId="0" fillId="0" borderId="0" numFmtId="165" applyNumberFormat="1" applyFont="0" applyFill="0" applyBorder="0" applyProtection="0"/>
    <xf fontId="1" fillId="0" borderId="0" numFmtId="165" applyNumberFormat="1" applyFont="0" applyFill="0" applyBorder="0" applyProtection="0"/>
    <xf fontId="1" fillId="0" borderId="0" numFmtId="0" applyNumberFormat="1" applyFont="1" applyFill="1" applyBorder="1"/>
    <xf fontId="2" fillId="0" borderId="0" numFmtId="0" applyNumberFormat="1" applyFont="1" applyFill="1" applyBorder="1"/>
    <xf fontId="2" fillId="0" borderId="0" numFmtId="0" applyNumberFormat="1" applyFont="1" applyFill="1" applyBorder="1"/>
    <xf fontId="2" fillId="0" borderId="0" numFmtId="0" applyNumberFormat="1" applyFont="1" applyFill="1" applyBorder="1"/>
    <xf fontId="2" fillId="0" borderId="0" numFmtId="0" applyNumberFormat="1" applyFont="1" applyFill="1" applyBorder="1"/>
    <xf fontId="2" fillId="0" borderId="0" numFmtId="0" applyNumberFormat="1" applyFont="1" applyFill="1" applyBorder="1"/>
    <xf fontId="1" fillId="0" borderId="0" numFmtId="9" applyNumberFormat="1" applyFont="0" applyFill="0" applyBorder="0" applyProtection="0"/>
  </cellStyleXfs>
  <cellXfs count="399">
    <xf fontId="0" fillId="0" borderId="0" numFmtId="0" xfId="0"/>
    <xf fontId="3" fillId="0" borderId="0" numFmtId="0" xfId="5" applyFont="1" applyAlignment="1">
      <alignment horizontal="left" vertical="center" wrapText="1"/>
    </xf>
    <xf fontId="3" fillId="0" borderId="0" numFmtId="165" xfId="4" applyNumberFormat="1" applyFont="1" applyAlignment="1">
      <alignment horizontal="left" vertical="center" wrapText="1"/>
    </xf>
    <xf fontId="3" fillId="0" borderId="0" numFmtId="166" xfId="1" applyNumberFormat="1" applyFont="1" applyAlignment="1">
      <alignment horizontal="left" vertical="center" wrapText="1"/>
    </xf>
    <xf fontId="4" fillId="0" borderId="0" numFmtId="0" xfId="5" applyFont="1" applyAlignment="1">
      <alignment horizontal="left" vertical="center" wrapText="1"/>
    </xf>
    <xf fontId="5" fillId="0" borderId="0" numFmtId="0" xfId="5" applyFont="1" applyAlignment="1">
      <alignment horizontal="left" vertical="center" wrapText="1"/>
    </xf>
    <xf fontId="5" fillId="0" borderId="0" numFmtId="3" xfId="5" applyNumberFormat="1" applyFont="1" applyAlignment="1">
      <alignment horizontal="left" vertical="center" wrapText="1"/>
    </xf>
    <xf fontId="5" fillId="0" borderId="0" numFmtId="166" xfId="2" applyNumberFormat="1" applyFont="1" applyAlignment="1">
      <alignment horizontal="center" vertical="center" wrapText="1"/>
    </xf>
    <xf fontId="5" fillId="0" borderId="0" numFmtId="164" xfId="2" applyNumberFormat="1" applyFont="1" applyAlignment="1">
      <alignment horizontal="center" vertical="center" wrapText="1"/>
    </xf>
    <xf fontId="5" fillId="0" borderId="0" numFmtId="164" xfId="2" applyNumberFormat="1" applyFont="1" applyAlignment="1">
      <alignment horizontal="left" vertical="center" wrapText="1"/>
    </xf>
    <xf fontId="0" fillId="2" borderId="0" numFmtId="0" xfId="0" applyFill="1" applyAlignment="1">
      <alignment horizontal="center" vertical="center" wrapText="1"/>
    </xf>
    <xf fontId="3" fillId="0" borderId="0" numFmtId="165" xfId="4" applyNumberFormat="1" applyFont="1" applyAlignment="1">
      <alignment horizontal="center" vertical="center" wrapText="1"/>
    </xf>
    <xf fontId="3" fillId="0" borderId="0" numFmtId="166" xfId="1" applyNumberFormat="1" applyFont="1" applyAlignment="1">
      <alignment horizontal="center" vertical="center" wrapText="1"/>
    </xf>
    <xf fontId="3" fillId="0" borderId="0" numFmtId="0" xfId="5" applyFont="1" applyAlignment="1">
      <alignment horizontal="center" vertical="center" wrapText="1"/>
    </xf>
    <xf fontId="3" fillId="0" borderId="0" numFmtId="4" xfId="5" applyNumberFormat="1" applyFont="1" applyAlignment="1">
      <alignment horizontal="left" vertical="center" wrapText="1"/>
    </xf>
    <xf fontId="6" fillId="2" borderId="0" numFmtId="0" xfId="8" applyFont="1" applyFill="1" applyAlignment="1">
      <alignment vertical="center" wrapText="1"/>
    </xf>
    <xf fontId="7" fillId="0" borderId="1" numFmtId="0" xfId="8" applyFont="1" applyBorder="1" applyAlignment="1">
      <alignment horizontal="center" vertical="center" wrapText="1"/>
    </xf>
    <xf fontId="7" fillId="0" borderId="0" numFmtId="0" xfId="8" applyFont="1" applyAlignment="1">
      <alignment horizontal="center" vertical="center" wrapText="1"/>
    </xf>
    <xf fontId="7" fillId="0" borderId="2" numFmtId="0" xfId="8" applyFont="1" applyBorder="1" applyAlignment="1">
      <alignment horizontal="center" vertical="center" wrapText="1"/>
    </xf>
    <xf fontId="8" fillId="0" borderId="3" numFmtId="0" xfId="8" applyFont="1" applyBorder="1" applyAlignment="1">
      <alignment horizontal="center" vertical="center" wrapText="1"/>
    </xf>
    <xf fontId="8" fillId="0" borderId="4" numFmtId="0" xfId="8" applyFont="1" applyBorder="1" applyAlignment="1">
      <alignment horizontal="center" vertical="center" wrapText="1"/>
    </xf>
    <xf fontId="3" fillId="3" borderId="5" numFmtId="0" xfId="5" applyFont="1" applyFill="1" applyBorder="1" applyAlignment="1">
      <alignment horizontal="center" vertical="center" wrapText="1"/>
    </xf>
    <xf fontId="3" fillId="3" borderId="6" numFmtId="0" xfId="5" applyFont="1" applyFill="1" applyBorder="1" applyAlignment="1">
      <alignment horizontal="center" vertical="center" wrapText="1"/>
    </xf>
    <xf fontId="9" fillId="0" borderId="0" numFmtId="0" xfId="5" applyFont="1" applyAlignment="1">
      <alignment horizontal="center" vertical="center" wrapText="1"/>
    </xf>
    <xf fontId="9" fillId="0" borderId="0" numFmtId="0" xfId="5" applyFont="1" applyAlignment="1">
      <alignment vertical="center" wrapText="1"/>
    </xf>
    <xf fontId="10" fillId="0" borderId="0" numFmtId="0" xfId="5" applyFont="1" applyAlignment="1">
      <alignment horizontal="left" vertical="center" wrapText="1"/>
    </xf>
    <xf fontId="11" fillId="4" borderId="0" numFmtId="0" xfId="4" applyFont="1" applyFill="1" applyAlignment="1">
      <alignment horizontal="center" vertical="center" wrapText="1"/>
    </xf>
    <xf fontId="12" fillId="4" borderId="0" numFmtId="0" xfId="4" applyFont="1" applyFill="1" applyAlignment="1">
      <alignment horizontal="center" vertical="center" wrapText="1"/>
    </xf>
    <xf fontId="12" fillId="4" borderId="0" numFmtId="166" xfId="1" applyNumberFormat="1" applyFont="1" applyFill="1" applyAlignment="1">
      <alignment horizontal="center" vertical="center" wrapText="1"/>
    </xf>
    <xf fontId="12" fillId="5" borderId="7" numFmtId="166" xfId="1" applyNumberFormat="1" applyFont="1" applyFill="1" applyBorder="1" applyAlignment="1">
      <alignment horizontal="center" vertical="center" wrapText="1"/>
    </xf>
    <xf fontId="13" fillId="0" borderId="8" numFmtId="10" xfId="11" applyNumberFormat="1" applyFont="1" applyBorder="1" applyAlignment="1">
      <alignment horizontal="center" vertical="center" wrapText="1"/>
    </xf>
    <xf fontId="13" fillId="0" borderId="9" numFmtId="10" xfId="11" applyNumberFormat="1" applyFont="1" applyBorder="1" applyAlignment="1">
      <alignment horizontal="center" vertical="center" wrapText="1"/>
    </xf>
    <xf fontId="3" fillId="0" borderId="0" numFmtId="0" xfId="5" applyFont="1" applyAlignment="1">
      <alignment vertical="center" wrapText="1"/>
    </xf>
    <xf fontId="3" fillId="3" borderId="1" numFmtId="0" xfId="5" applyFont="1" applyFill="1" applyBorder="1" applyAlignment="1">
      <alignment horizontal="center" vertical="center" wrapText="1"/>
    </xf>
    <xf fontId="3" fillId="3" borderId="2" numFmtId="0" xfId="5" applyFont="1" applyFill="1" applyBorder="1" applyAlignment="1">
      <alignment horizontal="center" vertical="center" wrapText="1"/>
    </xf>
    <xf fontId="10" fillId="0" borderId="0" numFmtId="4" xfId="5" applyNumberFormat="1" applyFont="1" applyAlignment="1">
      <alignment horizontal="left" vertical="center" wrapText="1"/>
    </xf>
    <xf fontId="14" fillId="0" borderId="10" numFmtId="165" xfId="4" applyNumberFormat="1" applyFont="1" applyBorder="1" applyAlignment="1">
      <alignment horizontal="center" vertical="center" wrapText="1"/>
    </xf>
    <xf fontId="14" fillId="6" borderId="11" numFmtId="166" xfId="1" applyNumberFormat="1" applyFont="1" applyFill="1" applyBorder="1" applyAlignment="1">
      <alignment horizontal="center" vertical="center" wrapText="1"/>
    </xf>
    <xf fontId="14" fillId="0" borderId="11" numFmtId="166" xfId="1" applyNumberFormat="1" applyFont="1" applyBorder="1" applyAlignment="1">
      <alignment horizontal="center" vertical="center" wrapText="1"/>
    </xf>
    <xf fontId="14" fillId="6" borderId="11" numFmtId="0" xfId="5" applyFont="1" applyFill="1" applyBorder="1" applyAlignment="1">
      <alignment horizontal="center" vertical="center" wrapText="1"/>
    </xf>
    <xf fontId="14" fillId="6" borderId="12" numFmtId="0" xfId="5" applyFont="1" applyFill="1" applyBorder="1" applyAlignment="1">
      <alignment horizontal="center" vertical="center" wrapText="1"/>
    </xf>
    <xf fontId="4" fillId="0" borderId="13" numFmtId="0" xfId="5" applyFont="1" applyBorder="1" applyAlignment="1">
      <alignment horizontal="center" vertical="center" wrapText="1"/>
    </xf>
    <xf fontId="4" fillId="0" borderId="14" numFmtId="0" xfId="5" applyFont="1" applyBorder="1" applyAlignment="1">
      <alignment horizontal="center" vertical="center" wrapText="1"/>
    </xf>
    <xf fontId="3" fillId="3" borderId="15" numFmtId="0" xfId="5" applyFont="1" applyFill="1" applyBorder="1" applyAlignment="1">
      <alignment horizontal="center" vertical="center" wrapText="1"/>
    </xf>
    <xf fontId="3" fillId="3" borderId="16" numFmtId="0" xfId="5" applyFont="1" applyFill="1" applyBorder="1" applyAlignment="1">
      <alignment horizontal="center" vertical="center" wrapText="1"/>
    </xf>
    <xf fontId="4" fillId="7" borderId="1" numFmtId="167" xfId="4" applyNumberFormat="1" applyFont="1" applyFill="1" applyBorder="1" applyAlignment="1">
      <alignment horizontal="center" vertical="center" wrapText="1"/>
    </xf>
    <xf fontId="4" fillId="7" borderId="0" numFmtId="166" xfId="1" applyNumberFormat="1" applyFont="1" applyFill="1" applyAlignment="1">
      <alignment horizontal="center" vertical="center" wrapText="1"/>
    </xf>
    <xf fontId="4" fillId="0" borderId="2" numFmtId="3" xfId="4" applyNumberFormat="1" applyFont="1" applyBorder="1" applyAlignment="1">
      <alignment horizontal="center" vertical="center" wrapText="1"/>
    </xf>
    <xf fontId="15" fillId="0" borderId="17" numFmtId="10" xfId="11" applyNumberFormat="1" applyFont="1" applyBorder="1" applyAlignment="1">
      <alignment horizontal="center" vertical="center" wrapText="1"/>
    </xf>
    <xf fontId="15" fillId="0" borderId="18" numFmtId="10" xfId="11" applyNumberFormat="1" applyFont="1" applyBorder="1" applyAlignment="1">
      <alignment horizontal="center" vertical="center" wrapText="1"/>
    </xf>
    <xf fontId="11" fillId="0" borderId="0" numFmtId="0" xfId="4" applyFont="1" applyAlignment="1">
      <alignment horizontal="left" vertical="center" wrapText="1"/>
    </xf>
    <xf fontId="9" fillId="0" borderId="0" numFmtId="0" xfId="5" applyFont="1" applyAlignment="1">
      <alignment horizontal="left" vertical="center" wrapText="1"/>
    </xf>
    <xf fontId="9" fillId="0" borderId="0" numFmtId="3" xfId="5" applyNumberFormat="1" applyFont="1" applyAlignment="1">
      <alignment horizontal="left" vertical="center" wrapText="1"/>
    </xf>
    <xf fontId="9" fillId="0" borderId="0" numFmtId="166" xfId="2" applyNumberFormat="1" applyFont="1" applyAlignment="1">
      <alignment horizontal="center" vertical="center" wrapText="1"/>
    </xf>
    <xf fontId="9" fillId="0" borderId="0" numFmtId="164" xfId="2" applyNumberFormat="1" applyFont="1" applyAlignment="1">
      <alignment horizontal="center" vertical="center" wrapText="1"/>
    </xf>
    <xf fontId="9" fillId="0" borderId="0" numFmtId="164" xfId="2" applyNumberFormat="1" applyFont="1" applyAlignment="1">
      <alignment horizontal="left" vertical="center" wrapText="1"/>
    </xf>
    <xf fontId="4" fillId="0" borderId="15" numFmtId="4" xfId="5" applyNumberFormat="1" applyFont="1" applyBorder="1" applyAlignment="1">
      <alignment horizontal="center" vertical="center" wrapText="1"/>
    </xf>
    <xf fontId="4" fillId="0" borderId="19" numFmtId="166" xfId="1" applyNumberFormat="1" applyFont="1" applyBorder="1" applyAlignment="1">
      <alignment horizontal="center" vertical="center" wrapText="1"/>
    </xf>
    <xf fontId="3" fillId="0" borderId="19" numFmtId="166" xfId="1" applyNumberFormat="1" applyFont="1" applyBorder="1" applyAlignment="1">
      <alignment horizontal="center" vertical="center" wrapText="1"/>
    </xf>
    <xf fontId="3" fillId="6" borderId="19" numFmtId="166" xfId="1" applyNumberFormat="1" applyFont="1" applyFill="1" applyBorder="1" applyAlignment="1">
      <alignment horizontal="center" vertical="center" wrapText="1"/>
    </xf>
    <xf fontId="3" fillId="6" borderId="16" numFmtId="166" xfId="1" applyNumberFormat="1" applyFont="1" applyFill="1" applyBorder="1" applyAlignment="1">
      <alignment horizontal="center" vertical="center" wrapText="1"/>
    </xf>
    <xf fontId="16" fillId="8" borderId="10" numFmtId="0" xfId="5" applyFont="1" applyFill="1" applyBorder="1" applyAlignment="1">
      <alignment horizontal="center" vertical="center" wrapText="1"/>
    </xf>
    <xf fontId="16" fillId="8" borderId="11" numFmtId="0" xfId="5" applyFont="1" applyFill="1" applyBorder="1" applyAlignment="1">
      <alignment horizontal="center" vertical="center" wrapText="1"/>
    </xf>
    <xf fontId="16" fillId="8" borderId="12" numFmtId="0" xfId="5" applyFont="1" applyFill="1" applyBorder="1" applyAlignment="1">
      <alignment horizontal="center" vertical="center" wrapText="1"/>
    </xf>
    <xf fontId="15" fillId="9" borderId="20" numFmtId="0" xfId="5" applyFont="1" applyFill="1" applyBorder="1" applyAlignment="1">
      <alignment horizontal="center" vertical="center" wrapText="1"/>
    </xf>
    <xf fontId="15" fillId="10" borderId="21" numFmtId="0" xfId="5" applyFont="1" applyFill="1" applyBorder="1" applyAlignment="1">
      <alignment horizontal="center" vertical="center" wrapText="1"/>
    </xf>
    <xf fontId="15" fillId="9" borderId="20" numFmtId="166" xfId="1" applyNumberFormat="1" applyFont="1" applyFill="1" applyBorder="1" applyAlignment="1">
      <alignment horizontal="center" vertical="center" wrapText="1"/>
    </xf>
    <xf fontId="15" fillId="10" borderId="21" numFmtId="166" xfId="1" applyNumberFormat="1" applyFont="1" applyFill="1" applyBorder="1" applyAlignment="1">
      <alignment horizontal="center" vertical="center" wrapText="1"/>
    </xf>
    <xf fontId="15" fillId="9" borderId="1" numFmtId="0" xfId="5" applyFont="1" applyFill="1" applyBorder="1" applyAlignment="1">
      <alignment horizontal="center" vertical="center" wrapText="1"/>
    </xf>
    <xf fontId="17" fillId="10" borderId="15" numFmtId="0" xfId="5" applyFont="1" applyFill="1" applyBorder="1" applyAlignment="1">
      <alignment horizontal="center" vertical="center" wrapText="1"/>
    </xf>
    <xf fontId="17" fillId="10" borderId="19" numFmtId="0" xfId="5" applyFont="1" applyFill="1" applyBorder="1" applyAlignment="1">
      <alignment horizontal="center" vertical="center" wrapText="1"/>
    </xf>
    <xf fontId="17" fillId="10" borderId="16" numFmtId="0" xfId="5" applyFont="1" applyFill="1" applyBorder="1" applyAlignment="1">
      <alignment horizontal="center" vertical="center" wrapText="1"/>
    </xf>
    <xf fontId="14" fillId="10" borderId="22" numFmtId="0" xfId="5" applyFont="1" applyFill="1" applyBorder="1" applyAlignment="1">
      <alignment horizontal="left" vertical="center" wrapText="1"/>
    </xf>
    <xf fontId="18" fillId="9" borderId="23" numFmtId="164" xfId="11" applyNumberFormat="1" applyFont="1" applyFill="1" applyBorder="1" applyAlignment="1">
      <alignment horizontal="left" vertical="center" wrapText="1"/>
    </xf>
    <xf fontId="18" fillId="9" borderId="23" numFmtId="164" xfId="1" applyNumberFormat="1" applyFont="1" applyFill="1" applyBorder="1" applyAlignment="1">
      <alignment horizontal="left" vertical="center" wrapText="1"/>
    </xf>
    <xf fontId="3" fillId="0" borderId="23" numFmtId="0" xfId="5" applyFont="1" applyBorder="1" applyAlignment="1">
      <alignment horizontal="left" vertical="center" wrapText="1"/>
    </xf>
    <xf fontId="3" fillId="0" borderId="14" numFmtId="0" xfId="5" applyFont="1" applyBorder="1" applyAlignment="1">
      <alignment horizontal="left" vertical="center" wrapText="1"/>
    </xf>
    <xf fontId="9" fillId="10" borderId="6" numFmtId="0" xfId="5" applyFont="1" applyFill="1" applyBorder="1" applyAlignment="1">
      <alignment horizontal="center" vertical="center" wrapText="1"/>
    </xf>
    <xf fontId="9" fillId="9" borderId="24" numFmtId="0" xfId="5" applyFont="1" applyFill="1" applyBorder="1" applyAlignment="1">
      <alignment horizontal="center" vertical="center" wrapText="1"/>
    </xf>
    <xf fontId="9" fillId="10" borderId="25" numFmtId="0" xfId="5" applyFont="1" applyFill="1" applyBorder="1" applyAlignment="1">
      <alignment horizontal="center" vertical="center" wrapText="1"/>
    </xf>
    <xf fontId="9" fillId="9" borderId="25" numFmtId="0" xfId="5" applyFont="1" applyFill="1" applyBorder="1" applyAlignment="1">
      <alignment horizontal="center" vertical="center" wrapText="1"/>
    </xf>
    <xf fontId="9" fillId="10" borderId="26" numFmtId="166" xfId="2" applyNumberFormat="1" applyFont="1" applyFill="1" applyBorder="1" applyAlignment="1">
      <alignment horizontal="center" vertical="center" wrapText="1"/>
    </xf>
    <xf fontId="9" fillId="9" borderId="27" numFmtId="3" xfId="5" applyNumberFormat="1" applyFont="1" applyFill="1" applyBorder="1" applyAlignment="1">
      <alignment horizontal="center" vertical="center" wrapText="1"/>
    </xf>
    <xf fontId="9" fillId="10" borderId="28" numFmtId="164" xfId="2" applyNumberFormat="1" applyFont="1" applyFill="1" applyBorder="1" applyAlignment="1">
      <alignment horizontal="center" vertical="center" wrapText="1"/>
    </xf>
    <xf fontId="9" fillId="9" borderId="29" numFmtId="164" xfId="2" applyNumberFormat="1" applyFont="1" applyFill="1" applyBorder="1" applyAlignment="1">
      <alignment horizontal="center" vertical="center" wrapText="1"/>
    </xf>
    <xf fontId="9" fillId="10" borderId="30" numFmtId="164" xfId="2" applyNumberFormat="1" applyFont="1" applyFill="1" applyBorder="1" applyAlignment="1">
      <alignment horizontal="center" vertical="center" wrapText="1"/>
    </xf>
    <xf fontId="4" fillId="9" borderId="31" numFmtId="0" xfId="5" applyFont="1" applyFill="1" applyBorder="1" applyAlignment="1">
      <alignment horizontal="left" vertical="center" wrapText="1"/>
    </xf>
    <xf fontId="4" fillId="3" borderId="32" numFmtId="165" xfId="4" applyNumberFormat="1" applyFont="1" applyFill="1" applyBorder="1" applyAlignment="1">
      <alignment horizontal="left" vertical="center" wrapText="1"/>
    </xf>
    <xf fontId="4" fillId="3" borderId="32" numFmtId="166" xfId="1" applyNumberFormat="1" applyFont="1" applyFill="1" applyBorder="1" applyAlignment="1">
      <alignment horizontal="left" vertical="center" wrapText="1"/>
    </xf>
    <xf fontId="4" fillId="0" borderId="32" numFmtId="10" xfId="11" applyNumberFormat="1" applyFont="1" applyBorder="1" applyAlignment="1">
      <alignment horizontal="left" vertical="center" wrapText="1"/>
    </xf>
    <xf fontId="4" fillId="7" borderId="32" numFmtId="10" xfId="11" applyNumberFormat="1" applyFont="1" applyFill="1" applyBorder="1" applyAlignment="1">
      <alignment horizontal="left" vertical="center" wrapText="1"/>
    </xf>
    <xf fontId="4" fillId="0" borderId="33" numFmtId="10" xfId="11" applyNumberFormat="1" applyFont="1" applyBorder="1" applyAlignment="1">
      <alignment horizontal="left" vertical="center" wrapText="1"/>
    </xf>
    <xf fontId="9" fillId="0" borderId="22" numFmtId="0" xfId="5" applyFont="1" applyBorder="1" applyAlignment="1">
      <alignment horizontal="left" vertical="center" wrapText="1"/>
    </xf>
    <xf fontId="5" fillId="0" borderId="23" numFmtId="0" xfId="5" applyFont="1" applyBorder="1" applyAlignment="1">
      <alignment horizontal="left" vertical="center" wrapText="1"/>
    </xf>
    <xf fontId="5" fillId="3" borderId="23" numFmtId="165" xfId="4" applyNumberFormat="1" applyFont="1" applyFill="1" applyBorder="1" applyAlignment="1">
      <alignment horizontal="left" vertical="center" wrapText="1"/>
    </xf>
    <xf fontId="5" fillId="3" borderId="23" numFmtId="166" xfId="1" applyNumberFormat="1" applyFont="1" applyFill="1" applyBorder="1" applyAlignment="1">
      <alignment horizontal="center" vertical="center" wrapText="1"/>
    </xf>
    <xf fontId="5" fillId="0" borderId="23" numFmtId="10" xfId="11" applyNumberFormat="1" applyFont="1" applyBorder="1" applyAlignment="1">
      <alignment horizontal="left" vertical="center" wrapText="1"/>
    </xf>
    <xf fontId="5" fillId="0" borderId="14" numFmtId="10" xfId="11" applyNumberFormat="1" applyFont="1" applyBorder="1" applyAlignment="1">
      <alignment horizontal="left" vertical="center" wrapText="1"/>
    </xf>
    <xf fontId="4" fillId="9" borderId="34" numFmtId="0" xfId="5" applyFont="1" applyFill="1" applyBorder="1" applyAlignment="1">
      <alignment horizontal="left" vertical="center" wrapText="1"/>
    </xf>
    <xf fontId="4" fillId="3" borderId="35" numFmtId="165" xfId="4" applyNumberFormat="1" applyFont="1" applyFill="1" applyBorder="1" applyAlignment="1">
      <alignment horizontal="left" vertical="center" wrapText="1"/>
    </xf>
    <xf fontId="4" fillId="3" borderId="35" numFmtId="166" xfId="1" applyNumberFormat="1" applyFont="1" applyFill="1" applyBorder="1" applyAlignment="1">
      <alignment horizontal="left" vertical="center" wrapText="1"/>
    </xf>
    <xf fontId="4" fillId="0" borderId="35" numFmtId="10" xfId="11" applyNumberFormat="1" applyFont="1" applyBorder="1" applyAlignment="1">
      <alignment horizontal="left" vertical="center" wrapText="1"/>
    </xf>
    <xf fontId="4" fillId="7" borderId="35" numFmtId="10" xfId="11" applyNumberFormat="1" applyFont="1" applyFill="1" applyBorder="1" applyAlignment="1">
      <alignment horizontal="left" vertical="center" wrapText="1"/>
    </xf>
    <xf fontId="4" fillId="0" borderId="36" numFmtId="10" xfId="11" applyNumberFormat="1" applyFont="1" applyBorder="1" applyAlignment="1">
      <alignment horizontal="left" vertical="center" wrapText="1"/>
    </xf>
    <xf fontId="9" fillId="0" borderId="31" numFmtId="0" xfId="5" applyFont="1" applyBorder="1" applyAlignment="1">
      <alignment horizontal="left" vertical="center" wrapText="1"/>
    </xf>
    <xf fontId="5" fillId="0" borderId="32" numFmtId="0" xfId="5" applyFont="1" applyBorder="1" applyAlignment="1">
      <alignment horizontal="left" vertical="center" wrapText="1"/>
    </xf>
    <xf fontId="5" fillId="3" borderId="32" numFmtId="165" xfId="4" applyNumberFormat="1" applyFont="1" applyFill="1" applyBorder="1" applyAlignment="1">
      <alignment horizontal="left" vertical="center" wrapText="1"/>
    </xf>
    <xf fontId="5" fillId="3" borderId="32" numFmtId="166" xfId="1" applyNumberFormat="1" applyFont="1" applyFill="1" applyBorder="1" applyAlignment="1">
      <alignment horizontal="center" vertical="center" wrapText="1"/>
    </xf>
    <xf fontId="5" fillId="0" borderId="32" numFmtId="10" xfId="11" applyNumberFormat="1" applyFont="1" applyBorder="1" applyAlignment="1">
      <alignment horizontal="left" vertical="center" wrapText="1"/>
    </xf>
    <xf fontId="5" fillId="0" borderId="37" numFmtId="10" xfId="11" applyNumberFormat="1" applyFont="1" applyBorder="1" applyAlignment="1">
      <alignment horizontal="left" vertical="center" wrapText="1"/>
    </xf>
    <xf fontId="4" fillId="0" borderId="0" numFmtId="165" xfId="4" applyNumberFormat="1" applyFont="1" applyAlignment="1">
      <alignment horizontal="left" vertical="center" wrapText="1"/>
    </xf>
    <xf fontId="4" fillId="0" borderId="0" numFmtId="166" xfId="1" applyNumberFormat="1" applyFont="1" applyAlignment="1">
      <alignment horizontal="left" vertical="center" wrapText="1"/>
    </xf>
    <xf fontId="4" fillId="0" borderId="0" numFmtId="10" xfId="11" applyNumberFormat="1" applyFont="1" applyAlignment="1">
      <alignment horizontal="left" vertical="center" wrapText="1"/>
    </xf>
    <xf fontId="4" fillId="0" borderId="38" numFmtId="2" xfId="5" applyNumberFormat="1" applyFont="1" applyBorder="1" applyAlignment="1">
      <alignment horizontal="left" vertical="center" wrapText="1"/>
    </xf>
    <xf fontId="4" fillId="0" borderId="38" numFmtId="10" xfId="11" applyNumberFormat="1" applyFont="1" applyBorder="1" applyAlignment="1">
      <alignment horizontal="left" vertical="center" wrapText="1"/>
    </xf>
    <xf fontId="4" fillId="0" borderId="39" numFmtId="10" xfId="11" applyNumberFormat="1" applyFont="1" applyBorder="1" applyAlignment="1">
      <alignment horizontal="left" vertical="center" wrapText="1"/>
    </xf>
    <xf fontId="4" fillId="0" borderId="0" numFmtId="167" xfId="5" applyNumberFormat="1" applyFont="1" applyAlignment="1">
      <alignment horizontal="left" vertical="center" wrapText="1"/>
    </xf>
    <xf fontId="3" fillId="0" borderId="0" numFmtId="10" xfId="11" applyNumberFormat="1" applyFont="1" applyAlignment="1">
      <alignment horizontal="left" vertical="center" wrapText="1"/>
    </xf>
    <xf fontId="5" fillId="0" borderId="32" numFmtId="0" xfId="5" applyFont="1" applyBorder="1" applyAlignment="1">
      <alignment horizontal="center" vertical="center" wrapText="1"/>
    </xf>
    <xf fontId="9" fillId="0" borderId="31" numFmtId="0" xfId="5" applyFont="1" applyBorder="1" applyAlignment="1">
      <alignment horizontal="center" vertical="center" wrapText="1"/>
    </xf>
    <xf fontId="9" fillId="0" borderId="40" numFmtId="0" xfId="5" applyFont="1" applyBorder="1" applyAlignment="1">
      <alignment horizontal="center" vertical="center" wrapText="1"/>
    </xf>
    <xf fontId="9" fillId="0" borderId="20" numFmtId="0" xfId="5" applyFont="1" applyBorder="1" applyAlignment="1">
      <alignment horizontal="center" vertical="center" wrapText="1"/>
    </xf>
    <xf fontId="9" fillId="0" borderId="41" numFmtId="0" xfId="5" applyFont="1" applyBorder="1" applyAlignment="1">
      <alignment horizontal="center" vertical="center" wrapText="1"/>
    </xf>
    <xf fontId="5" fillId="0" borderId="34" numFmtId="0" xfId="5" applyFont="1" applyBorder="1" applyAlignment="1">
      <alignment horizontal="left" vertical="center" wrapText="1"/>
    </xf>
    <xf fontId="5" fillId="0" borderId="35" numFmtId="0" xfId="5" applyFont="1" applyBorder="1" applyAlignment="1">
      <alignment horizontal="left" vertical="center" wrapText="1"/>
    </xf>
    <xf fontId="5" fillId="3" borderId="35" numFmtId="165" xfId="4" applyNumberFormat="1" applyFont="1" applyFill="1" applyBorder="1" applyAlignment="1">
      <alignment horizontal="left" vertical="center" wrapText="1"/>
    </xf>
    <xf fontId="5" fillId="3" borderId="35" numFmtId="166" xfId="1" applyNumberFormat="1" applyFont="1" applyFill="1" applyBorder="1" applyAlignment="1">
      <alignment horizontal="center" vertical="center" wrapText="1"/>
    </xf>
    <xf fontId="5" fillId="0" borderId="35" numFmtId="10" xfId="11" applyNumberFormat="1" applyFont="1" applyBorder="1" applyAlignment="1">
      <alignment horizontal="left" vertical="center" wrapText="1"/>
    </xf>
    <xf fontId="5" fillId="0" borderId="18" numFmtId="10" xfId="11" applyNumberFormat="1" applyFont="1" applyBorder="1" applyAlignment="1">
      <alignment horizontal="left" vertical="center" wrapText="1"/>
    </xf>
    <xf fontId="15" fillId="10" borderId="42" numFmtId="0" xfId="5" applyFont="1" applyFill="1" applyBorder="1" applyAlignment="1">
      <alignment horizontal="center" vertical="center" wrapText="1"/>
    </xf>
    <xf fontId="15" fillId="9" borderId="43" numFmtId="166" xfId="1" applyNumberFormat="1" applyFont="1" applyFill="1" applyBorder="1" applyAlignment="1">
      <alignment horizontal="center" vertical="center" wrapText="1"/>
    </xf>
    <xf fontId="15" fillId="10" borderId="12" numFmtId="166" xfId="1" applyNumberFormat="1" applyFont="1" applyFill="1" applyBorder="1" applyAlignment="1">
      <alignment horizontal="center" vertical="center" wrapText="1"/>
    </xf>
    <xf fontId="15" fillId="9" borderId="42" numFmtId="0" xfId="5" applyFont="1" applyFill="1" applyBorder="1" applyAlignment="1">
      <alignment horizontal="center" vertical="center" wrapText="1"/>
    </xf>
    <xf fontId="15" fillId="10" borderId="44" numFmtId="0" xfId="5" applyFont="1" applyFill="1" applyBorder="1" applyAlignment="1">
      <alignment horizontal="center" vertical="center" wrapText="1"/>
    </xf>
    <xf fontId="15" fillId="9" borderId="43" numFmtId="0" xfId="5" applyFont="1" applyFill="1" applyBorder="1" applyAlignment="1">
      <alignment horizontal="center" vertical="center" wrapText="1"/>
    </xf>
    <xf fontId="3" fillId="9" borderId="23" numFmtId="0" xfId="5" applyFont="1" applyFill="1" applyBorder="1" applyAlignment="1">
      <alignment horizontal="left" vertical="center" wrapText="1"/>
    </xf>
    <xf fontId="3" fillId="9" borderId="23" numFmtId="166" xfId="1" applyNumberFormat="1" applyFont="1" applyFill="1" applyBorder="1" applyAlignment="1">
      <alignment horizontal="left" vertical="center" wrapText="1"/>
    </xf>
    <xf fontId="18" fillId="9" borderId="23" numFmtId="166" xfId="1" applyNumberFormat="1" applyFont="1" applyFill="1" applyBorder="1" applyAlignment="1">
      <alignment horizontal="left" vertical="center" wrapText="1"/>
    </xf>
    <xf fontId="18" fillId="9" borderId="23" numFmtId="0" xfId="11" applyFont="1" applyFill="1" applyBorder="1" applyAlignment="1">
      <alignment horizontal="left" vertical="center" wrapText="1"/>
    </xf>
    <xf fontId="3" fillId="9" borderId="23" numFmtId="2" xfId="5" applyNumberFormat="1" applyFont="1" applyFill="1" applyBorder="1" applyAlignment="1">
      <alignment horizontal="left" vertical="center" wrapText="1"/>
    </xf>
    <xf fontId="3" fillId="9" borderId="14" numFmtId="2" xfId="5" applyNumberFormat="1" applyFont="1" applyFill="1" applyBorder="1" applyAlignment="1">
      <alignment horizontal="left" vertical="center" wrapText="1"/>
    </xf>
    <xf fontId="4" fillId="0" borderId="37" numFmtId="10" xfId="11" applyNumberFormat="1" applyFont="1" applyBorder="1" applyAlignment="1">
      <alignment horizontal="left" vertical="center" wrapText="1"/>
    </xf>
    <xf fontId="9" fillId="0" borderId="13" numFmtId="0" xfId="5" applyFont="1" applyBorder="1" applyAlignment="1">
      <alignment horizontal="left" vertical="center" wrapText="1"/>
    </xf>
    <xf fontId="5" fillId="3" borderId="23" numFmtId="166" xfId="2" applyNumberFormat="1" applyFont="1" applyFill="1" applyBorder="1" applyAlignment="1">
      <alignment horizontal="center" vertical="center" wrapText="1"/>
    </xf>
    <xf fontId="5" fillId="3" borderId="23" numFmtId="3" xfId="5" applyNumberFormat="1" applyFont="1" applyFill="1" applyBorder="1" applyAlignment="1">
      <alignment horizontal="center" vertical="center" wrapText="1"/>
    </xf>
    <xf fontId="5" fillId="3" borderId="32" numFmtId="166" xfId="2" applyNumberFormat="1" applyFont="1" applyFill="1" applyBorder="1" applyAlignment="1">
      <alignment horizontal="center" vertical="center" wrapText="1"/>
    </xf>
    <xf fontId="5" fillId="3" borderId="32" numFmtId="3" xfId="5" applyNumberFormat="1" applyFont="1" applyFill="1" applyBorder="1" applyAlignment="1">
      <alignment horizontal="center" vertical="center" wrapText="1"/>
    </xf>
    <xf fontId="3" fillId="9" borderId="34" numFmtId="0" xfId="5" applyFont="1" applyFill="1" applyBorder="1" applyAlignment="1">
      <alignment horizontal="left" vertical="center" wrapText="1"/>
    </xf>
    <xf fontId="4" fillId="0" borderId="18" numFmtId="10" xfId="11" applyNumberFormat="1" applyFont="1" applyBorder="1" applyAlignment="1">
      <alignment horizontal="left" vertical="center" wrapText="1"/>
    </xf>
    <xf fontId="4" fillId="0" borderId="0" numFmtId="4" xfId="4" applyNumberFormat="1" applyFont="1" applyAlignment="1">
      <alignment horizontal="left" vertical="center" wrapText="1"/>
    </xf>
    <xf fontId="3" fillId="0" borderId="0" numFmtId="4" xfId="4" applyNumberFormat="1" applyFont="1" applyAlignment="1">
      <alignment horizontal="left" vertical="center" wrapText="1"/>
    </xf>
    <xf fontId="4" fillId="0" borderId="0" numFmtId="4" xfId="5" applyNumberFormat="1" applyFont="1" applyAlignment="1">
      <alignment horizontal="left" vertical="center" wrapText="1"/>
    </xf>
    <xf fontId="3" fillId="0" borderId="0" numFmtId="2" xfId="5" applyNumberFormat="1" applyFont="1" applyAlignment="1">
      <alignment horizontal="left" vertical="center" wrapText="1"/>
    </xf>
    <xf fontId="5" fillId="3" borderId="32" numFmtId="167" xfId="4" applyNumberFormat="1" applyFont="1" applyFill="1" applyBorder="1" applyAlignment="1">
      <alignment horizontal="left" vertical="center" wrapText="1"/>
    </xf>
    <xf fontId="5" fillId="3" borderId="32" numFmtId="166" xfId="5" applyNumberFormat="1" applyFont="1" applyFill="1" applyBorder="1" applyAlignment="1">
      <alignment horizontal="center" vertical="center" wrapText="1"/>
    </xf>
    <xf fontId="9" fillId="0" borderId="32" numFmtId="0" xfId="5" applyFont="1" applyBorder="1" applyAlignment="1">
      <alignment horizontal="left" vertical="center" wrapText="1"/>
    </xf>
    <xf fontId="5" fillId="3" borderId="32" numFmtId="164" xfId="2" applyNumberFormat="1" applyFont="1" applyFill="1" applyBorder="1" applyAlignment="1">
      <alignment horizontal="center" vertical="center" wrapText="1"/>
    </xf>
    <xf fontId="5" fillId="3" borderId="32" numFmtId="3" xfId="5" applyNumberFormat="1" applyFont="1" applyFill="1" applyBorder="1" applyAlignment="1">
      <alignment horizontal="left" vertical="center" wrapText="1"/>
    </xf>
    <xf fontId="5" fillId="0" borderId="32" numFmtId="164" xfId="2" applyNumberFormat="1" applyFont="1" applyBorder="1" applyAlignment="1">
      <alignment horizontal="left" vertical="center" wrapText="1"/>
    </xf>
    <xf fontId="3" fillId="0" borderId="37" numFmtId="0" xfId="5" applyFont="1" applyBorder="1" applyAlignment="1">
      <alignment horizontal="left" vertical="center" wrapText="1"/>
    </xf>
    <xf fontId="9" fillId="0" borderId="34" numFmtId="0" xfId="5" applyFont="1" applyBorder="1" applyAlignment="1">
      <alignment horizontal="left" vertical="center" wrapText="1"/>
    </xf>
    <xf fontId="5" fillId="3" borderId="35" numFmtId="166" xfId="2" applyNumberFormat="1" applyFont="1" applyFill="1" applyBorder="1" applyAlignment="1">
      <alignment horizontal="center" vertical="center" wrapText="1"/>
    </xf>
    <xf fontId="5" fillId="3" borderId="35" numFmtId="3" xfId="5" applyNumberFormat="1" applyFont="1" applyFill="1" applyBorder="1" applyAlignment="1">
      <alignment horizontal="center" vertical="center" wrapText="1"/>
    </xf>
    <xf fontId="18" fillId="9" borderId="23" numFmtId="164" xfId="1" applyNumberFormat="1" applyFont="1" applyFill="1" applyBorder="1" applyAlignment="1">
      <alignment horizontal="center" vertical="center" wrapText="1"/>
    </xf>
    <xf fontId="18" fillId="9" borderId="23" numFmtId="164" xfId="11" applyNumberFormat="1" applyFont="1" applyFill="1" applyBorder="1" applyAlignment="1">
      <alignment horizontal="center" vertical="center" wrapText="1"/>
    </xf>
    <xf fontId="4" fillId="9" borderId="23" numFmtId="2" xfId="5" applyNumberFormat="1" applyFont="1" applyFill="1" applyBorder="1" applyAlignment="1">
      <alignment horizontal="left" vertical="center" wrapText="1"/>
    </xf>
    <xf fontId="4" fillId="9" borderId="14" numFmtId="2" xfId="5" applyNumberFormat="1" applyFont="1" applyFill="1" applyBorder="1" applyAlignment="1">
      <alignment horizontal="left" vertical="center" wrapText="1"/>
    </xf>
    <xf fontId="9" fillId="10" borderId="30" numFmtId="0" xfId="5" applyFont="1" applyFill="1" applyBorder="1" applyAlignment="1">
      <alignment horizontal="center" vertical="center" wrapText="1"/>
    </xf>
    <xf fontId="3" fillId="9" borderId="31" numFmtId="0" xfId="5" applyFont="1" applyFill="1" applyBorder="1" applyAlignment="1">
      <alignment horizontal="left" vertical="center" wrapText="1"/>
    </xf>
    <xf fontId="3" fillId="0" borderId="32" numFmtId="165" xfId="4" applyNumberFormat="1" applyFont="1" applyBorder="1" applyAlignment="1">
      <alignment horizontal="left" vertical="center" wrapText="1"/>
    </xf>
    <xf fontId="3" fillId="0" borderId="32" numFmtId="166" xfId="1" applyNumberFormat="1" applyFont="1" applyBorder="1" applyAlignment="1">
      <alignment horizontal="left" vertical="center" wrapText="1"/>
    </xf>
    <xf fontId="3" fillId="0" borderId="32" numFmtId="0" xfId="5" applyFont="1" applyBorder="1" applyAlignment="1">
      <alignment horizontal="left" vertical="center" wrapText="1"/>
    </xf>
    <xf fontId="4" fillId="0" borderId="33" numFmtId="0" xfId="5" applyFont="1" applyBorder="1" applyAlignment="1">
      <alignment horizontal="left" vertical="center" wrapText="1"/>
    </xf>
    <xf fontId="9" fillId="0" borderId="30" numFmtId="0" xfId="5" applyFont="1" applyBorder="1" applyAlignment="1">
      <alignment horizontal="center" vertical="center" wrapText="1"/>
    </xf>
    <xf fontId="5" fillId="0" borderId="13" numFmtId="0" xfId="5" applyFont="1" applyBorder="1" applyAlignment="1">
      <alignment horizontal="left" vertical="center" wrapText="1"/>
    </xf>
    <xf fontId="5" fillId="0" borderId="23" numFmtId="3" xfId="5" applyNumberFormat="1" applyFont="1" applyBorder="1" applyAlignment="1">
      <alignment horizontal="left" vertical="center" wrapText="1"/>
    </xf>
    <xf fontId="5" fillId="0" borderId="23" numFmtId="166" xfId="2" applyNumberFormat="1" applyFont="1" applyBorder="1" applyAlignment="1">
      <alignment horizontal="center" vertical="center" wrapText="1"/>
    </xf>
    <xf fontId="5" fillId="0" borderId="23" numFmtId="3" xfId="5" applyNumberFormat="1" applyFont="1" applyBorder="1" applyAlignment="1">
      <alignment horizontal="center" vertical="center" wrapText="1"/>
    </xf>
    <xf fontId="5" fillId="0" borderId="23" numFmtId="164" xfId="2" applyNumberFormat="1" applyFont="1" applyBorder="1" applyAlignment="1">
      <alignment horizontal="left" vertical="center" wrapText="1"/>
    </xf>
    <xf fontId="5" fillId="0" borderId="14" numFmtId="164" xfId="2" applyNumberFormat="1" applyFont="1" applyBorder="1" applyAlignment="1">
      <alignment horizontal="left" vertical="center" wrapText="1"/>
    </xf>
    <xf fontId="4" fillId="0" borderId="31" numFmtId="0" xfId="5" applyFont="1" applyBorder="1" applyAlignment="1">
      <alignment horizontal="left" vertical="center" wrapText="1"/>
    </xf>
    <xf fontId="3" fillId="0" borderId="32" numFmtId="10" xfId="11" applyNumberFormat="1" applyFont="1" applyBorder="1" applyAlignment="1">
      <alignment horizontal="center" vertical="center" wrapText="1"/>
    </xf>
    <xf fontId="3" fillId="0" borderId="33" numFmtId="10" xfId="11" applyNumberFormat="1" applyFont="1" applyBorder="1" applyAlignment="1">
      <alignment horizontal="center" vertical="center" wrapText="1"/>
    </xf>
    <xf fontId="9" fillId="0" borderId="45" numFmtId="0" xfId="5" applyFont="1" applyBorder="1" applyAlignment="1">
      <alignment horizontal="center" vertical="center" wrapText="1"/>
    </xf>
    <xf fontId="5" fillId="0" borderId="46" numFmtId="0" xfId="5" applyFont="1" applyBorder="1" applyAlignment="1">
      <alignment horizontal="left" vertical="center" wrapText="1"/>
    </xf>
    <xf fontId="5" fillId="0" borderId="32" numFmtId="168" xfId="11" applyNumberFormat="1" applyFont="1" applyBorder="1" applyAlignment="1">
      <alignment horizontal="left" vertical="center" wrapText="1"/>
    </xf>
    <xf fontId="9" fillId="0" borderId="47" numFmtId="0" xfId="5" applyFont="1" applyBorder="1" applyAlignment="1">
      <alignment horizontal="center" vertical="center" wrapText="1"/>
    </xf>
    <xf fontId="9" fillId="0" borderId="48" numFmtId="0" xfId="5" applyFont="1" applyBorder="1" applyAlignment="1">
      <alignment horizontal="center" vertical="center" wrapText="1"/>
    </xf>
    <xf fontId="4" fillId="0" borderId="42" numFmtId="2" xfId="5" applyNumberFormat="1" applyFont="1" applyBorder="1" applyAlignment="1">
      <alignment horizontal="left" vertical="center" wrapText="1"/>
    </xf>
    <xf fontId="3" fillId="0" borderId="44" numFmtId="10" xfId="11" applyNumberFormat="1" applyFont="1" applyBorder="1" applyAlignment="1">
      <alignment horizontal="center" vertical="center" wrapText="1"/>
    </xf>
    <xf fontId="3" fillId="0" borderId="49" numFmtId="10" xfId="11" applyNumberFormat="1" applyFont="1" applyBorder="1" applyAlignment="1">
      <alignment horizontal="center" vertical="center" wrapText="1"/>
    </xf>
    <xf fontId="19" fillId="0" borderId="48" numFmtId="0" xfId="0" applyFont="1" applyBorder="1" applyAlignment="1">
      <alignment horizontal="center" vertical="center" wrapText="1"/>
    </xf>
    <xf fontId="20" fillId="0" borderId="46" numFmtId="0" xfId="0" applyFont="1" applyBorder="1" applyAlignment="1">
      <alignment horizontal="left" vertical="center" wrapText="1"/>
    </xf>
    <xf fontId="20" fillId="0" borderId="32" numFmtId="0" xfId="0" applyFont="1" applyBorder="1" applyAlignment="1">
      <alignment vertical="center" wrapText="1"/>
    </xf>
    <xf fontId="20" fillId="0" borderId="32" numFmtId="10" xfId="0" applyNumberFormat="1" applyFont="1" applyBorder="1" applyAlignment="1">
      <alignment horizontal="center" vertical="center" wrapText="1"/>
    </xf>
    <xf fontId="21" fillId="0" borderId="32" numFmtId="165" xfId="4" applyNumberFormat="1" applyFont="1" applyBorder="1" applyAlignment="1">
      <alignment vertical="center" wrapText="1"/>
    </xf>
    <xf fontId="21" fillId="0" borderId="32" numFmtId="166" xfId="2" applyNumberFormat="1" applyFont="1" applyBorder="1" applyAlignment="1">
      <alignment horizontal="center" vertical="center" wrapText="1"/>
    </xf>
    <xf fontId="20" fillId="0" borderId="32" numFmtId="164" xfId="2" applyNumberFormat="1" applyFont="1" applyBorder="1" applyAlignment="1">
      <alignment vertical="center" wrapText="1"/>
    </xf>
    <xf fontId="20" fillId="0" borderId="32" numFmtId="0" xfId="0" applyFont="1" applyBorder="1" applyAlignment="1">
      <alignment wrapText="1"/>
    </xf>
    <xf fontId="20" fillId="0" borderId="37" numFmtId="0" xfId="0" applyFont="1" applyBorder="1" applyAlignment="1">
      <alignment vertical="center" wrapText="1"/>
    </xf>
    <xf fontId="19" fillId="0" borderId="47" numFmtId="0" xfId="0" applyFont="1" applyBorder="1" applyAlignment="1">
      <alignment horizontal="center" vertical="center" wrapText="1"/>
    </xf>
    <xf fontId="20" fillId="0" borderId="32" numFmtId="10" xfId="11" applyNumberFormat="1" applyFont="1" applyBorder="1" applyAlignment="1">
      <alignment horizontal="center" vertical="center" wrapText="1"/>
    </xf>
    <xf fontId="20" fillId="0" borderId="32" numFmtId="0" xfId="0" applyFont="1" applyBorder="1" applyAlignment="1">
      <alignment horizontal="left" vertical="center" wrapText="1"/>
    </xf>
    <xf fontId="21" fillId="0" borderId="32" numFmtId="165" xfId="4" applyNumberFormat="1" applyFont="1" applyBorder="1" applyAlignment="1">
      <alignment horizontal="center" vertical="center" wrapText="1"/>
    </xf>
    <xf fontId="20" fillId="0" borderId="32" numFmtId="164" xfId="2" applyNumberFormat="1" applyFont="1" applyBorder="1" applyAlignment="1">
      <alignment horizontal="center" vertical="center" wrapText="1"/>
    </xf>
    <xf fontId="20" fillId="0" borderId="37" numFmtId="164" xfId="2" applyNumberFormat="1" applyFont="1" applyBorder="1" applyAlignment="1">
      <alignment horizontal="center" vertical="center" wrapText="1"/>
    </xf>
    <xf fontId="19" fillId="0" borderId="45" numFmtId="0" xfId="0" applyFont="1" applyBorder="1" applyAlignment="1">
      <alignment horizontal="center" vertical="center" wrapText="1"/>
    </xf>
    <xf fontId="9" fillId="0" borderId="50" numFmtId="0" xfId="5" applyFont="1" applyBorder="1" applyAlignment="1">
      <alignment horizontal="left" vertical="center" wrapText="1"/>
    </xf>
    <xf fontId="5" fillId="0" borderId="32" numFmtId="3" xfId="5" applyNumberFormat="1" applyFont="1" applyBorder="1" applyAlignment="1">
      <alignment horizontal="left" vertical="center" wrapText="1"/>
    </xf>
    <xf fontId="5" fillId="0" borderId="32" numFmtId="166" xfId="2" applyNumberFormat="1" applyFont="1" applyBorder="1" applyAlignment="1">
      <alignment horizontal="center" vertical="center" wrapText="1"/>
    </xf>
    <xf fontId="5" fillId="0" borderId="32" numFmtId="164" xfId="2" applyNumberFormat="1" applyFont="1" applyBorder="1" applyAlignment="1">
      <alignment horizontal="center" vertical="center" wrapText="1"/>
    </xf>
    <xf fontId="5" fillId="0" borderId="51" numFmtId="0" xfId="5" applyFont="1" applyBorder="1" applyAlignment="1">
      <alignment horizontal="left" vertical="center" wrapText="1"/>
    </xf>
    <xf fontId="5" fillId="0" borderId="17" numFmtId="0" xfId="5" applyFont="1" applyBorder="1" applyAlignment="1">
      <alignment horizontal="left" vertical="center" wrapText="1"/>
    </xf>
    <xf fontId="5" fillId="0" borderId="35" numFmtId="3" xfId="5" applyNumberFormat="1" applyFont="1" applyBorder="1" applyAlignment="1">
      <alignment horizontal="left" vertical="center" wrapText="1"/>
    </xf>
    <xf fontId="5" fillId="0" borderId="35" numFmtId="166" xfId="2" applyNumberFormat="1" applyFont="1" applyBorder="1" applyAlignment="1">
      <alignment horizontal="center" vertical="center" wrapText="1"/>
    </xf>
    <xf fontId="5" fillId="0" borderId="35" numFmtId="164" xfId="2" applyNumberFormat="1" applyFont="1" applyBorder="1" applyAlignment="1">
      <alignment horizontal="center" vertical="center" wrapText="1"/>
    </xf>
    <xf fontId="5" fillId="0" borderId="35" numFmtId="164" xfId="2" applyNumberFormat="1" applyFont="1" applyBorder="1" applyAlignment="1">
      <alignment horizontal="left" vertical="center" wrapText="1"/>
    </xf>
    <xf fontId="3" fillId="0" borderId="18" numFmtId="0" xfId="5" applyFont="1" applyBorder="1" applyAlignment="1">
      <alignment horizontal="left" vertical="center" wrapText="1"/>
    </xf>
    <xf fontId="5" fillId="0" borderId="0" numFmtId="4" xfId="5" applyNumberFormat="1" applyFont="1" applyAlignment="1">
      <alignment horizontal="left" vertical="center" wrapText="1"/>
    </xf>
    <xf fontId="15" fillId="10" borderId="28" numFmtId="0" xfId="5" applyFont="1" applyFill="1" applyBorder="1" applyAlignment="1">
      <alignment horizontal="center" vertical="center" wrapText="1"/>
    </xf>
    <xf fontId="15" fillId="9" borderId="30" numFmtId="166" xfId="1" applyNumberFormat="1" applyFont="1" applyFill="1" applyBorder="1" applyAlignment="1">
      <alignment horizontal="center" vertical="center" wrapText="1"/>
    </xf>
    <xf fontId="15" fillId="10" borderId="6" numFmtId="166" xfId="1" applyNumberFormat="1" applyFont="1" applyFill="1" applyBorder="1" applyAlignment="1">
      <alignment horizontal="center" vertical="center" wrapText="1"/>
    </xf>
    <xf fontId="15" fillId="9" borderId="28" numFmtId="0" xfId="5" applyFont="1" applyFill="1" applyBorder="1" applyAlignment="1">
      <alignment horizontal="center" vertical="center" wrapText="1"/>
    </xf>
    <xf fontId="15" fillId="10" borderId="25" numFmtId="0" xfId="5" applyFont="1" applyFill="1" applyBorder="1" applyAlignment="1">
      <alignment horizontal="center" vertical="center" wrapText="1"/>
    </xf>
    <xf fontId="15" fillId="9" borderId="30" numFmtId="0" xfId="5" applyFont="1" applyFill="1" applyBorder="1" applyAlignment="1">
      <alignment horizontal="center" vertical="center" wrapText="1"/>
    </xf>
    <xf fontId="4" fillId="9" borderId="23" numFmtId="0" xfId="5" applyFont="1" applyFill="1" applyBorder="1" applyAlignment="1">
      <alignment horizontal="left" vertical="center" wrapText="1"/>
    </xf>
    <xf fontId="18" fillId="9" borderId="23" numFmtId="166" xfId="1" applyNumberFormat="1" applyFont="1" applyFill="1" applyBorder="1" applyAlignment="1">
      <alignment horizontal="center" vertical="center" wrapText="1"/>
    </xf>
    <xf fontId="18" fillId="9" borderId="23" numFmtId="1" xfId="11" applyNumberFormat="1" applyFont="1" applyFill="1" applyBorder="1" applyAlignment="1">
      <alignment horizontal="center" vertical="center" wrapText="1"/>
    </xf>
    <xf fontId="4" fillId="3" borderId="32" numFmtId="167" xfId="4" applyNumberFormat="1" applyFont="1" applyFill="1" applyBorder="1" applyAlignment="1">
      <alignment horizontal="left" vertical="center" wrapText="1"/>
    </xf>
    <xf fontId="4" fillId="3" borderId="32" numFmtId="3" xfId="4" applyNumberFormat="1" applyFont="1" applyFill="1" applyBorder="1" applyAlignment="1">
      <alignment horizontal="left" vertical="center" wrapText="1"/>
    </xf>
    <xf fontId="3" fillId="0" borderId="37" numFmtId="10" xfId="11" applyNumberFormat="1" applyFont="1" applyBorder="1" applyAlignment="1">
      <alignment horizontal="center" vertical="center" wrapText="1"/>
    </xf>
    <xf fontId="9" fillId="0" borderId="28" numFmtId="0" xfId="5" applyFont="1" applyBorder="1" applyAlignment="1">
      <alignment horizontal="center" vertical="center" wrapText="1"/>
    </xf>
    <xf fontId="5" fillId="3" borderId="23" numFmtId="165" xfId="3" applyNumberFormat="1" applyFont="1" applyFill="1" applyBorder="1" applyAlignment="1">
      <alignment horizontal="left" vertical="center" wrapText="1"/>
    </xf>
    <xf fontId="3" fillId="3" borderId="32" numFmtId="165" xfId="4" applyNumberFormat="1" applyFont="1" applyFill="1" applyBorder="1" applyAlignment="1">
      <alignment horizontal="left" vertical="center" wrapText="1"/>
    </xf>
    <xf fontId="3" fillId="3" borderId="32" numFmtId="166" xfId="1" applyNumberFormat="1" applyFont="1" applyFill="1" applyBorder="1" applyAlignment="1">
      <alignment horizontal="left" vertical="center" wrapText="1"/>
    </xf>
    <xf fontId="5" fillId="3" borderId="32" numFmtId="165" xfId="3" applyNumberFormat="1" applyFont="1" applyFill="1" applyBorder="1" applyAlignment="1">
      <alignment horizontal="left" vertical="center" wrapText="1"/>
    </xf>
    <xf fontId="3" fillId="3" borderId="35" numFmtId="165" xfId="4" applyNumberFormat="1" applyFont="1" applyFill="1" applyBorder="1" applyAlignment="1">
      <alignment horizontal="left" vertical="center" wrapText="1"/>
    </xf>
    <xf fontId="3" fillId="3" borderId="35" numFmtId="166" xfId="1" applyNumberFormat="1" applyFont="1" applyFill="1" applyBorder="1" applyAlignment="1">
      <alignment horizontal="left" vertical="center" wrapText="1"/>
    </xf>
    <xf fontId="3" fillId="0" borderId="35" numFmtId="10" xfId="11" applyNumberFormat="1" applyFont="1" applyBorder="1" applyAlignment="1">
      <alignment horizontal="center" vertical="center" wrapText="1"/>
    </xf>
    <xf fontId="3" fillId="0" borderId="18" numFmtId="10" xfId="11" applyNumberFormat="1" applyFont="1" applyBorder="1" applyAlignment="1">
      <alignment horizontal="center" vertical="center" wrapText="1"/>
    </xf>
    <xf fontId="3" fillId="0" borderId="38" numFmtId="10" xfId="11" applyNumberFormat="1" applyFont="1" applyBorder="1" applyAlignment="1">
      <alignment horizontal="center" vertical="center" wrapText="1"/>
    </xf>
    <xf fontId="3" fillId="0" borderId="39" numFmtId="10" xfId="11" applyNumberFormat="1" applyFont="1" applyBorder="1" applyAlignment="1">
      <alignment horizontal="center" vertical="center" wrapText="1"/>
    </xf>
    <xf fontId="5" fillId="0" borderId="52" numFmtId="0" xfId="5" applyFont="1" applyBorder="1" applyAlignment="1">
      <alignment horizontal="center" vertical="center" wrapText="1"/>
    </xf>
    <xf fontId="9" fillId="0" borderId="53" numFmtId="0" xfId="5" applyFont="1" applyBorder="1" applyAlignment="1">
      <alignment horizontal="center" vertical="center" wrapText="1"/>
    </xf>
    <xf fontId="5" fillId="0" borderId="54" numFmtId="0" xfId="5" applyFont="1" applyBorder="1" applyAlignment="1">
      <alignment horizontal="center" vertical="center" wrapText="1"/>
    </xf>
    <xf fontId="4" fillId="9" borderId="32" numFmtId="165" xfId="4" applyNumberFormat="1" applyFont="1" applyFill="1" applyBorder="1" applyAlignment="1">
      <alignment horizontal="left" vertical="center" wrapText="1"/>
    </xf>
    <xf fontId="3" fillId="9" borderId="32" numFmtId="166" xfId="1" applyNumberFormat="1" applyFont="1" applyFill="1" applyBorder="1" applyAlignment="1">
      <alignment horizontal="left" vertical="center" wrapText="1"/>
    </xf>
    <xf fontId="4" fillId="9" borderId="32" numFmtId="166" xfId="1" applyNumberFormat="1" applyFont="1" applyFill="1" applyBorder="1" applyAlignment="1">
      <alignment horizontal="left" vertical="center" wrapText="1"/>
    </xf>
    <xf fontId="4" fillId="9" borderId="32" numFmtId="0" xfId="5" applyFont="1" applyFill="1" applyBorder="1" applyAlignment="1">
      <alignment horizontal="left" vertical="center" wrapText="1"/>
    </xf>
    <xf fontId="4" fillId="9" borderId="37" numFmtId="0" xfId="5" applyFont="1" applyFill="1" applyBorder="1" applyAlignment="1">
      <alignment horizontal="left" vertical="center" wrapText="1"/>
    </xf>
    <xf fontId="5" fillId="0" borderId="32" numFmtId="0" xfId="6" applyFont="1" applyBorder="1" applyAlignment="1">
      <alignment horizontal="left" vertical="center" wrapText="1"/>
    </xf>
    <xf fontId="5" fillId="4" borderId="32" numFmtId="0" xfId="5" applyFont="1" applyFill="1" applyBorder="1" applyAlignment="1">
      <alignment horizontal="left" vertical="center" wrapText="1"/>
    </xf>
    <xf fontId="5" fillId="4" borderId="32" numFmtId="166" xfId="2" applyNumberFormat="1" applyFont="1" applyFill="1" applyBorder="1" applyAlignment="1">
      <alignment horizontal="center" vertical="center" wrapText="1"/>
    </xf>
    <xf fontId="5" fillId="4" borderId="32" numFmtId="3" xfId="5" applyNumberFormat="1" applyFont="1" applyFill="1" applyBorder="1" applyAlignment="1">
      <alignment horizontal="center" vertical="center" wrapText="1"/>
    </xf>
    <xf fontId="9" fillId="0" borderId="35" numFmtId="0" xfId="5" applyFont="1" applyBorder="1" applyAlignment="1">
      <alignment horizontal="left" vertical="center" wrapText="1"/>
    </xf>
    <xf fontId="5" fillId="0" borderId="35" numFmtId="0" xfId="6" applyFont="1" applyBorder="1" applyAlignment="1">
      <alignment horizontal="left" vertical="center" wrapText="1"/>
    </xf>
    <xf fontId="5" fillId="4" borderId="35" numFmtId="0" xfId="5" applyFont="1" applyFill="1" applyBorder="1" applyAlignment="1">
      <alignment horizontal="left" vertical="center" wrapText="1"/>
    </xf>
    <xf fontId="5" fillId="3" borderId="35" numFmtId="167" xfId="4" applyNumberFormat="1" applyFont="1" applyFill="1" applyBorder="1" applyAlignment="1">
      <alignment horizontal="left" vertical="center" wrapText="1"/>
    </xf>
    <xf fontId="5" fillId="4" borderId="0" numFmtId="3" xfId="5" applyNumberFormat="1" applyFont="1" applyFill="1" applyAlignment="1">
      <alignment horizontal="left" vertical="center" wrapText="1"/>
    </xf>
    <xf fontId="5" fillId="4" borderId="0" numFmtId="166" xfId="2" applyNumberFormat="1" applyFont="1" applyFill="1" applyAlignment="1">
      <alignment horizontal="center" vertical="center" wrapText="1"/>
    </xf>
    <xf fontId="5" fillId="4" borderId="0" numFmtId="164" xfId="2" applyNumberFormat="1" applyFont="1" applyFill="1" applyAlignment="1">
      <alignment horizontal="center" vertical="center" wrapText="1"/>
    </xf>
    <xf fontId="22" fillId="0" borderId="0" numFmtId="0" xfId="5" applyFont="1" applyAlignment="1">
      <alignment vertical="center" wrapText="1"/>
    </xf>
    <xf fontId="23" fillId="11" borderId="22" numFmtId="0" xfId="5" applyFont="1" applyFill="1" applyBorder="1" applyAlignment="1">
      <alignment horizontal="center" vertical="center" wrapText="1"/>
    </xf>
    <xf fontId="23" fillId="11" borderId="23" numFmtId="0" xfId="5" applyFont="1" applyFill="1" applyBorder="1" applyAlignment="1">
      <alignment horizontal="center" vertical="center" wrapText="1"/>
    </xf>
    <xf fontId="23" fillId="11" borderId="14" numFmtId="0" xfId="5" applyFont="1" applyFill="1" applyBorder="1" applyAlignment="1">
      <alignment horizontal="center" vertical="center" wrapText="1"/>
    </xf>
    <xf fontId="4" fillId="0" borderId="31" numFmtId="0" xfId="5" applyFont="1" applyBorder="1" applyAlignment="1">
      <alignment vertical="center" wrapText="1"/>
    </xf>
    <xf fontId="4" fillId="0" borderId="32" numFmtId="0" xfId="5" applyFont="1" applyBorder="1" applyAlignment="1">
      <alignment vertical="center" wrapText="1"/>
    </xf>
    <xf fontId="15" fillId="0" borderId="32" numFmtId="0" xfId="5" applyFont="1" applyBorder="1" applyAlignment="1">
      <alignment horizontal="center" vertical="center" wrapText="1"/>
    </xf>
    <xf fontId="4" fillId="0" borderId="32" numFmtId="0" xfId="5" applyFont="1" applyBorder="1" applyAlignment="1">
      <alignment horizontal="center" vertical="center" wrapText="1"/>
    </xf>
    <xf fontId="4" fillId="0" borderId="37" numFmtId="0" xfId="5" applyFont="1" applyBorder="1" applyAlignment="1">
      <alignment horizontal="center" vertical="center" wrapText="1"/>
    </xf>
    <xf fontId="14" fillId="0" borderId="31" numFmtId="0" xfId="5" applyFont="1" applyBorder="1" applyAlignment="1">
      <alignment horizontal="center" vertical="center" wrapText="1"/>
    </xf>
    <xf fontId="14" fillId="0" borderId="32" numFmtId="0" xfId="5" applyFont="1" applyBorder="1" applyAlignment="1">
      <alignment horizontal="center" vertical="center" wrapText="1"/>
    </xf>
    <xf fontId="4" fillId="0" borderId="32" numFmtId="0" xfId="5" applyFont="1" applyBorder="1" applyAlignment="1">
      <alignment horizontal="center" vertical="center"/>
    </xf>
    <xf fontId="4" fillId="0" borderId="31" numFmtId="0" xfId="5" applyFont="1" applyBorder="1" applyAlignment="1">
      <alignment horizontal="center" vertical="center" wrapText="1"/>
    </xf>
    <xf fontId="4" fillId="0" borderId="32" numFmtId="165" xfId="4" applyNumberFormat="1" applyFont="1" applyBorder="1" applyAlignment="1">
      <alignment horizontal="center" vertical="center" wrapText="1"/>
    </xf>
    <xf fontId="3" fillId="0" borderId="31" numFmtId="3" xfId="4" applyNumberFormat="1" applyFont="1" applyBorder="1" applyAlignment="1">
      <alignment horizontal="center" vertical="center" wrapText="1"/>
    </xf>
    <xf fontId="3" fillId="0" borderId="32" numFmtId="0" xfId="5" applyFont="1" applyBorder="1" applyAlignment="1">
      <alignment vertical="center" wrapText="1"/>
    </xf>
    <xf fontId="3" fillId="0" borderId="32" numFmtId="0" xfId="5" applyFont="1" applyBorder="1" applyAlignment="1">
      <alignment horizontal="center" vertical="center" wrapText="1"/>
    </xf>
    <xf fontId="3" fillId="0" borderId="32" numFmtId="0" xfId="4" applyFont="1" applyBorder="1" applyAlignment="1">
      <alignment horizontal="center" vertical="center" wrapText="1"/>
    </xf>
    <xf fontId="3" fillId="0" borderId="37" numFmtId="0" xfId="5" applyFont="1" applyBorder="1" applyAlignment="1">
      <alignment horizontal="center" vertical="center" wrapText="1"/>
    </xf>
    <xf fontId="3" fillId="0" borderId="32" numFmtId="165" xfId="4" applyNumberFormat="1" applyFont="1" applyBorder="1" applyAlignment="1">
      <alignment horizontal="center" vertical="center" wrapText="1"/>
    </xf>
    <xf fontId="3" fillId="0" borderId="31" numFmtId="0" xfId="5" applyFont="1" applyBorder="1" applyAlignment="1">
      <alignment vertical="center" wrapText="1"/>
    </xf>
    <xf fontId="3" fillId="0" borderId="32" numFmtId="10" xfId="4" applyNumberFormat="1" applyFont="1" applyBorder="1" applyAlignment="1">
      <alignment horizontal="center" vertical="center" wrapText="1"/>
    </xf>
    <xf fontId="3" fillId="0" borderId="32" numFmtId="10" xfId="5" applyNumberFormat="1" applyFont="1" applyBorder="1" applyAlignment="1">
      <alignment horizontal="center" vertical="center" wrapText="1"/>
    </xf>
    <xf fontId="14" fillId="0" borderId="31" numFmtId="0" xfId="5" applyFont="1" applyBorder="1" applyAlignment="1">
      <alignment horizontal="left" vertical="center"/>
    </xf>
    <xf fontId="4" fillId="0" borderId="32" numFmtId="0" xfId="5" applyFont="1" applyBorder="1" applyAlignment="1">
      <alignment horizontal="left" vertical="center" wrapText="1"/>
    </xf>
    <xf fontId="3" fillId="0" borderId="31" numFmtId="3" xfId="5" applyNumberFormat="1" applyFont="1" applyBorder="1" applyAlignment="1">
      <alignment vertical="center" wrapText="1"/>
    </xf>
    <xf fontId="22" fillId="0" borderId="31" numFmtId="0" xfId="5" applyFont="1" applyBorder="1" applyAlignment="1">
      <alignment vertical="center" wrapText="1"/>
    </xf>
    <xf fontId="22" fillId="0" borderId="32" numFmtId="0" xfId="5" applyFont="1" applyBorder="1" applyAlignment="1">
      <alignment vertical="center" wrapText="1"/>
    </xf>
    <xf fontId="22" fillId="0" borderId="32" numFmtId="10" xfId="5" applyNumberFormat="1" applyFont="1" applyBorder="1" applyAlignment="1">
      <alignment vertical="center" wrapText="1"/>
    </xf>
    <xf fontId="14" fillId="0" borderId="31" numFmtId="0" xfId="5" applyFont="1" applyBorder="1" applyAlignment="1">
      <alignment vertical="center"/>
    </xf>
    <xf fontId="3" fillId="0" borderId="31" numFmtId="0" xfId="5" applyFont="1" applyBorder="1" applyAlignment="1">
      <alignment horizontal="center" vertical="center" wrapText="1"/>
    </xf>
    <xf fontId="3" fillId="0" borderId="31" numFmtId="3" xfId="5" applyNumberFormat="1" applyFont="1" applyBorder="1" applyAlignment="1">
      <alignment horizontal="center" vertical="center" wrapText="1"/>
    </xf>
    <xf fontId="22" fillId="0" borderId="37" numFmtId="0" xfId="5" applyFont="1" applyBorder="1" applyAlignment="1">
      <alignment vertical="center" wrapText="1"/>
    </xf>
    <xf fontId="3" fillId="0" borderId="34" numFmtId="3" xfId="5" applyNumberFormat="1" applyFont="1" applyBorder="1" applyAlignment="1">
      <alignment vertical="center" wrapText="1"/>
    </xf>
    <xf fontId="3" fillId="0" borderId="35" numFmtId="0" xfId="5" applyFont="1" applyBorder="1" applyAlignment="1">
      <alignment vertical="center" wrapText="1"/>
    </xf>
    <xf fontId="3" fillId="0" borderId="35" numFmtId="0" xfId="5" applyFont="1" applyBorder="1" applyAlignment="1">
      <alignment horizontal="center" vertical="center" wrapText="1"/>
    </xf>
    <xf fontId="3" fillId="0" borderId="35" numFmtId="165" xfId="4" applyNumberFormat="1" applyFont="1" applyBorder="1" applyAlignment="1">
      <alignment horizontal="center" vertical="center" wrapText="1"/>
    </xf>
    <xf fontId="3" fillId="0" borderId="18" numFmtId="0" xfId="5" applyFont="1" applyBorder="1" applyAlignment="1">
      <alignment horizontal="center" vertical="center" wrapText="1"/>
    </xf>
    <xf fontId="3" fillId="0" borderId="0" numFmtId="1" xfId="5" applyNumberFormat="1" applyFont="1" applyAlignment="1">
      <alignment horizontal="center" vertical="center" wrapText="1"/>
    </xf>
    <xf fontId="22" fillId="0" borderId="0" numFmtId="0" xfId="5" applyFont="1" applyAlignment="1">
      <alignment wrapText="1"/>
    </xf>
    <xf fontId="8" fillId="9" borderId="0" numFmtId="0" xfId="5" applyFont="1" applyFill="1" applyAlignment="1">
      <alignment horizontal="center" vertical="center" wrapText="1"/>
    </xf>
    <xf fontId="4" fillId="0" borderId="32" numFmtId="2" xfId="5" applyNumberFormat="1" applyFont="1" applyBorder="1" applyAlignment="1">
      <alignment horizontal="center" vertical="center" wrapText="1"/>
    </xf>
    <xf fontId="11" fillId="0" borderId="32" numFmtId="0" xfId="5" applyFont="1" applyBorder="1" applyAlignment="1">
      <alignment horizontal="center" vertical="center" wrapText="1"/>
    </xf>
    <xf fontId="24" fillId="0" borderId="32" numFmtId="0" xfId="5" applyFont="1" applyBorder="1" applyAlignment="1">
      <alignment horizontal="center" vertical="center" wrapText="1"/>
    </xf>
    <xf fontId="4" fillId="0" borderId="32" numFmtId="10" xfId="11" applyNumberFormat="1" applyFont="1" applyBorder="1" applyAlignment="1">
      <alignment horizontal="center" vertical="center" wrapText="1"/>
    </xf>
    <xf fontId="24" fillId="0" borderId="32" numFmtId="10" xfId="11" applyNumberFormat="1" applyFont="1" applyBorder="1" applyAlignment="1">
      <alignment horizontal="center" vertical="center" wrapText="1"/>
    </xf>
    <xf fontId="3" fillId="0" borderId="0" numFmtId="165" xfId="4" applyNumberFormat="1" applyFont="1" applyAlignment="1">
      <alignment vertical="center" wrapText="1"/>
    </xf>
    <xf fontId="22" fillId="0" borderId="32" numFmtId="0" xfId="5" applyFont="1" applyBorder="1" applyAlignment="1">
      <alignment wrapText="1"/>
    </xf>
    <xf fontId="25" fillId="0" borderId="32" numFmtId="10" xfId="11" applyNumberFormat="1" applyFont="1" applyBorder="1" applyAlignment="1">
      <alignment vertical="center" wrapText="1"/>
    </xf>
    <xf fontId="25" fillId="0" borderId="32" numFmtId="0" xfId="5" applyFont="1" applyBorder="1" applyAlignment="1">
      <alignment vertical="center" wrapText="1"/>
    </xf>
    <xf fontId="3" fillId="0" borderId="0" numFmtId="10" xfId="11" applyNumberFormat="1" applyFont="1" applyAlignment="1">
      <alignment horizontal="center" vertical="center" wrapText="1"/>
    </xf>
    <xf fontId="4" fillId="0" borderId="0" numFmtId="10" xfId="11" applyNumberFormat="1" applyFont="1" applyAlignment="1">
      <alignment horizontal="center" vertical="center" wrapText="1"/>
    </xf>
    <xf fontId="4" fillId="0" borderId="0" numFmtId="0" xfId="5" applyFont="1" applyAlignment="1">
      <alignment horizontal="center" vertical="center" wrapText="1"/>
    </xf>
    <xf fontId="4" fillId="0" borderId="0" numFmtId="2" xfId="5" applyNumberFormat="1" applyFont="1" applyAlignment="1">
      <alignment horizontal="center" vertical="center" wrapText="1"/>
    </xf>
    <xf fontId="3" fillId="0" borderId="0" numFmtId="2" xfId="4" applyNumberFormat="1" applyFont="1" applyAlignment="1">
      <alignment horizontal="center" vertical="center" wrapText="1"/>
    </xf>
    <xf fontId="25" fillId="0" borderId="32" numFmtId="10" xfId="11" applyNumberFormat="1" applyFont="1" applyBorder="1" applyAlignment="1">
      <alignment horizontal="center" vertical="center" wrapText="1"/>
    </xf>
    <xf fontId="4" fillId="0" borderId="0" numFmtId="165" xfId="4" applyNumberFormat="1" applyFont="1" applyAlignment="1">
      <alignment vertical="center" wrapText="1"/>
    </xf>
    <xf fontId="3" fillId="0" borderId="0" numFmtId="165" xfId="5" applyNumberFormat="1" applyFont="1" applyAlignment="1">
      <alignment vertical="center" wrapText="1"/>
    </xf>
    <xf fontId="4" fillId="0" borderId="0" numFmtId="0" xfId="5" applyFont="1" applyAlignment="1">
      <alignment vertical="center" wrapText="1"/>
    </xf>
    <xf fontId="1" fillId="0" borderId="0" numFmtId="0" xfId="5" applyFont="1"/>
    <xf fontId="16" fillId="12" borderId="55" numFmtId="0" xfId="5" applyFont="1" applyFill="1" applyBorder="1" applyAlignment="1">
      <alignment horizontal="center" vertical="center"/>
    </xf>
    <xf fontId="16" fillId="12" borderId="56" numFmtId="0" xfId="5" applyFont="1" applyFill="1" applyBorder="1" applyAlignment="1">
      <alignment horizontal="center" vertical="center"/>
    </xf>
    <xf fontId="16" fillId="12" borderId="57" numFmtId="0" xfId="5" applyFont="1" applyFill="1" applyBorder="1" applyAlignment="1">
      <alignment horizontal="center" vertical="center"/>
    </xf>
    <xf fontId="16" fillId="0" borderId="0" numFmtId="0" xfId="5" applyFont="1" applyAlignment="1">
      <alignment vertical="center"/>
    </xf>
    <xf fontId="16" fillId="0" borderId="0" numFmtId="0" xfId="5" applyFont="1" applyAlignment="1">
      <alignment horizontal="center" vertical="center"/>
    </xf>
    <xf fontId="22" fillId="0" borderId="0" numFmtId="0" xfId="5" applyFont="1"/>
    <xf fontId="3" fillId="0" borderId="0" numFmtId="0" xfId="5" applyFont="1" applyAlignment="1">
      <alignment vertical="center"/>
    </xf>
    <xf fontId="6" fillId="0" borderId="58" numFmtId="0" xfId="8" applyFont="1" applyBorder="1" applyAlignment="1">
      <alignment horizontal="center" vertical="center" wrapText="1"/>
    </xf>
    <xf fontId="6" fillId="0" borderId="59" numFmtId="0" xfId="8" applyFont="1" applyBorder="1" applyAlignment="1">
      <alignment horizontal="center" vertical="center" wrapText="1"/>
    </xf>
    <xf fontId="6" fillId="0" borderId="60" numFmtId="0" xfId="8" applyFont="1" applyBorder="1" applyAlignment="1">
      <alignment horizontal="center" vertical="center" wrapText="1"/>
    </xf>
    <xf fontId="3" fillId="0" borderId="0" numFmtId="0" xfId="5" applyFont="1" applyAlignment="1">
      <alignment horizontal="center" vertical="center"/>
    </xf>
    <xf fontId="4" fillId="0" borderId="0" numFmtId="0" xfId="5" applyFont="1" applyAlignment="1">
      <alignment horizontal="center" vertical="center"/>
    </xf>
    <xf fontId="3" fillId="0" borderId="0" numFmtId="0" xfId="5" applyFont="1" applyAlignment="1">
      <alignment horizontal="left" vertical="center"/>
    </xf>
    <xf fontId="3" fillId="0" borderId="0" numFmtId="3" xfId="5" applyNumberFormat="1" applyFont="1" applyAlignment="1">
      <alignment vertical="center"/>
    </xf>
    <xf fontId="10" fillId="0" borderId="0" numFmtId="0" xfId="5" applyFont="1" applyAlignment="1">
      <alignment vertical="center"/>
    </xf>
    <xf fontId="11" fillId="0" borderId="61" numFmtId="0" xfId="4" applyFont="1" applyBorder="1" applyAlignment="1">
      <alignment horizontal="center" vertical="center"/>
    </xf>
    <xf fontId="11" fillId="0" borderId="62" numFmtId="0" xfId="4" applyFont="1" applyBorder="1" applyAlignment="1">
      <alignment horizontal="center" vertical="center"/>
    </xf>
    <xf fontId="26" fillId="0" borderId="62" numFmtId="0" xfId="5" applyFont="1" applyBorder="1" applyAlignment="1">
      <alignment horizontal="center" vertical="center"/>
    </xf>
    <xf fontId="26" fillId="0" borderId="63" numFmtId="0" xfId="5" applyFont="1" applyBorder="1" applyAlignment="1">
      <alignment horizontal="center" vertical="center"/>
    </xf>
    <xf fontId="8" fillId="0" borderId="0" numFmtId="0" xfId="5" applyFont="1" applyAlignment="1">
      <alignment horizontal="center" vertical="center"/>
    </xf>
    <xf fontId="10" fillId="0" borderId="0" numFmtId="0" xfId="5" applyFont="1" applyAlignment="1">
      <alignment horizontal="left" vertical="center"/>
    </xf>
    <xf fontId="10" fillId="0" borderId="0" numFmtId="3" xfId="5" applyNumberFormat="1" applyFont="1" applyAlignment="1">
      <alignment vertical="center"/>
    </xf>
    <xf fontId="4" fillId="0" borderId="61" numFmtId="165" xfId="4" applyNumberFormat="1" applyFont="1" applyBorder="1" applyAlignment="1">
      <alignment horizontal="center" vertical="center" wrapText="1"/>
    </xf>
    <xf fontId="4" fillId="0" borderId="62" numFmtId="0" xfId="5" applyFont="1" applyBorder="1" applyAlignment="1">
      <alignment horizontal="center" vertical="center" wrapText="1"/>
    </xf>
    <xf fontId="4" fillId="0" borderId="63" numFmtId="0" xfId="5" applyFont="1" applyBorder="1" applyAlignment="1">
      <alignment horizontal="center" vertical="center" wrapText="1"/>
    </xf>
    <xf fontId="3" fillId="0" borderId="61" numFmtId="0" xfId="4" applyFont="1" applyBorder="1" applyAlignment="1">
      <alignment horizontal="left" vertical="center" wrapText="1"/>
    </xf>
    <xf fontId="27" fillId="0" borderId="62" numFmtId="9" xfId="11" applyNumberFormat="1" applyFont="1" applyBorder="1" applyAlignment="1">
      <alignment horizontal="center" vertical="center"/>
    </xf>
    <xf fontId="15" fillId="0" borderId="62" numFmtId="2" xfId="5" applyNumberFormat="1" applyFont="1" applyBorder="1" applyAlignment="1">
      <alignment horizontal="center" vertical="center"/>
    </xf>
    <xf fontId="15" fillId="0" borderId="63" numFmtId="2" xfId="5" applyNumberFormat="1" applyFont="1" applyBorder="1" applyAlignment="1">
      <alignment horizontal="center" vertical="center"/>
    </xf>
    <xf fontId="11" fillId="0" borderId="0" numFmtId="0" xfId="4" applyFont="1" applyAlignment="1">
      <alignment horizontal="center" vertical="center"/>
    </xf>
    <xf fontId="4" fillId="0" borderId="0" numFmtId="0" xfId="5" applyFont="1" applyAlignment="1">
      <alignment horizontal="left" vertical="center"/>
    </xf>
    <xf fontId="4" fillId="0" borderId="0" numFmtId="0" xfId="5" applyFont="1" applyAlignment="1">
      <alignment vertical="center"/>
    </xf>
    <xf fontId="4" fillId="0" borderId="0" numFmtId="3" xfId="5" applyNumberFormat="1" applyFont="1" applyAlignment="1">
      <alignment vertical="center"/>
    </xf>
    <xf fontId="4" fillId="0" borderId="61" numFmtId="0" xfId="5" applyFont="1" applyBorder="1" applyAlignment="1">
      <alignment vertical="center"/>
    </xf>
    <xf fontId="4" fillId="0" borderId="62" numFmtId="0" xfId="4" applyFont="1" applyBorder="1" applyAlignment="1">
      <alignment horizontal="center" vertical="center"/>
    </xf>
    <xf fontId="28" fillId="0" borderId="62" numFmtId="2" xfId="5" applyNumberFormat="1" applyFont="1" applyBorder="1" applyAlignment="1">
      <alignment horizontal="center" vertical="center"/>
    </xf>
    <xf fontId="28" fillId="0" borderId="63" numFmtId="0" xfId="5" applyFont="1" applyBorder="1" applyAlignment="1">
      <alignment horizontal="center" vertical="center"/>
    </xf>
    <xf fontId="29" fillId="0" borderId="64" numFmtId="0" xfId="5" applyFont="1" applyBorder="1" applyAlignment="1">
      <alignment horizontal="center" vertical="center"/>
    </xf>
    <xf fontId="29" fillId="0" borderId="65" numFmtId="0" xfId="5" applyFont="1" applyBorder="1" applyAlignment="1">
      <alignment horizontal="center" vertical="center"/>
    </xf>
    <xf fontId="29" fillId="0" borderId="65" numFmtId="0" xfId="5" applyFont="1" applyBorder="1" applyAlignment="1">
      <alignment horizontal="center"/>
    </xf>
    <xf fontId="29" fillId="0" borderId="66" numFmtId="0" xfId="5" applyFont="1" applyBorder="1" applyAlignment="1">
      <alignment horizontal="center"/>
    </xf>
    <xf fontId="29" fillId="0" borderId="67" numFmtId="0" xfId="5" applyFont="1" applyBorder="1" applyAlignment="1">
      <alignment horizontal="center" vertical="center"/>
    </xf>
    <xf fontId="29" fillId="0" borderId="68" numFmtId="0" xfId="5" applyFont="1" applyBorder="1" applyAlignment="1">
      <alignment horizontal="center" vertical="center"/>
    </xf>
    <xf fontId="30" fillId="0" borderId="68" numFmtId="0" xfId="5" applyFont="1" applyBorder="1" applyAlignment="1">
      <alignment horizontal="center"/>
    </xf>
    <xf fontId="30" fillId="0" borderId="69" numFmtId="0" xfId="5" applyFont="1" applyBorder="1" applyAlignment="1">
      <alignment horizontal="center"/>
    </xf>
    <xf fontId="22" fillId="0" borderId="67" numFmtId="0" xfId="5" applyFont="1" applyBorder="1" applyAlignment="1">
      <alignment horizontal="left" wrapText="1"/>
    </xf>
    <xf fontId="22" fillId="0" borderId="68" numFmtId="0" xfId="5" applyFont="1" applyBorder="1" applyAlignment="1">
      <alignment horizontal="left" wrapText="1"/>
    </xf>
    <xf fontId="22" fillId="0" borderId="68" numFmtId="0" xfId="5" applyFont="1" applyBorder="1"/>
    <xf fontId="22" fillId="0" borderId="69" numFmtId="0" xfId="5" applyFont="1" applyBorder="1"/>
    <xf fontId="22" fillId="0" borderId="67" numFmtId="0" xfId="5" applyFont="1" applyBorder="1" applyAlignment="1">
      <alignment horizontal="left"/>
    </xf>
    <xf fontId="22" fillId="0" borderId="68" numFmtId="0" xfId="5" applyFont="1" applyBorder="1" applyAlignment="1">
      <alignment horizontal="left"/>
    </xf>
    <xf fontId="22" fillId="0" borderId="70" numFmtId="0" xfId="5" applyFont="1" applyBorder="1" applyAlignment="1">
      <alignment horizontal="left" wrapText="1"/>
    </xf>
    <xf fontId="22" fillId="0" borderId="71" numFmtId="0" xfId="5" applyFont="1" applyBorder="1" applyAlignment="1">
      <alignment horizontal="left" wrapText="1"/>
    </xf>
    <xf fontId="22" fillId="0" borderId="71" numFmtId="0" xfId="5" applyFont="1" applyBorder="1"/>
    <xf fontId="22" fillId="0" borderId="72" numFmtId="0" xfId="5" applyFont="1" applyBorder="1"/>
    <xf fontId="6" fillId="0" borderId="61" numFmtId="0" xfId="8" applyFont="1" applyBorder="1" applyAlignment="1">
      <alignment horizontal="center" vertical="center" wrapText="1"/>
    </xf>
    <xf fontId="6" fillId="0" borderId="62" numFmtId="0" xfId="8" applyFont="1" applyBorder="1" applyAlignment="1">
      <alignment horizontal="center" vertical="center" wrapText="1"/>
    </xf>
    <xf fontId="6" fillId="0" borderId="63" numFmtId="0" xfId="8" applyFont="1" applyBorder="1" applyAlignment="1">
      <alignment horizontal="center" vertical="center" wrapText="1"/>
    </xf>
    <xf fontId="4" fillId="0" borderId="62" numFmtId="165" xfId="4" applyNumberFormat="1" applyFont="1" applyBorder="1" applyAlignment="1">
      <alignment horizontal="center" vertical="center" wrapText="1"/>
    </xf>
    <xf fontId="4" fillId="0" borderId="63" numFmtId="165" xfId="4" applyNumberFormat="1" applyFont="1" applyBorder="1" applyAlignment="1">
      <alignment horizontal="center" vertical="center" wrapText="1"/>
    </xf>
    <xf fontId="3" fillId="0" borderId="64" numFmtId="0" xfId="4" applyFont="1" applyBorder="1" applyAlignment="1">
      <alignment horizontal="left" vertical="center" wrapText="1"/>
    </xf>
    <xf fontId="27" fillId="0" borderId="65" numFmtId="9" xfId="11" applyNumberFormat="1" applyFont="1" applyBorder="1" applyAlignment="1">
      <alignment horizontal="center" vertical="center"/>
    </xf>
    <xf fontId="15" fillId="0" borderId="65" numFmtId="2" xfId="5" applyNumberFormat="1" applyFont="1" applyBorder="1" applyAlignment="1">
      <alignment horizontal="center" vertical="center"/>
    </xf>
    <xf fontId="15" fillId="0" borderId="66" numFmtId="2" xfId="5" applyNumberFormat="1" applyFont="1" applyBorder="1" applyAlignment="1">
      <alignment horizontal="center" vertical="center"/>
    </xf>
    <xf fontId="3" fillId="0" borderId="70" numFmtId="0" xfId="4" applyFont="1" applyBorder="1" applyAlignment="1">
      <alignment horizontal="left" vertical="center" wrapText="1"/>
    </xf>
    <xf fontId="27" fillId="0" borderId="71" numFmtId="9" xfId="11" applyNumberFormat="1" applyFont="1" applyBorder="1" applyAlignment="1">
      <alignment horizontal="center" vertical="center"/>
    </xf>
    <xf fontId="27" fillId="0" borderId="72" numFmtId="9" xfId="11" applyNumberFormat="1" applyFont="1" applyBorder="1" applyAlignment="1">
      <alignment horizontal="center" vertical="center"/>
    </xf>
    <xf fontId="22" fillId="0" borderId="0" numFmtId="0" xfId="5" applyFont="1" applyAlignment="1">
      <alignment vertical="center"/>
    </xf>
    <xf fontId="31" fillId="0" borderId="0" numFmtId="0" xfId="5" applyFont="1" applyAlignment="1">
      <alignment horizontal="center" vertical="center"/>
    </xf>
    <xf fontId="32" fillId="0" borderId="0" numFmtId="0" xfId="5" applyFont="1" applyAlignment="1">
      <alignment horizontal="center" vertical="center" wrapText="1"/>
    </xf>
    <xf fontId="33" fillId="0" borderId="0" numFmtId="1" xfId="5" applyNumberFormat="1" applyFont="1" applyAlignment="1">
      <alignment horizontal="center" vertical="center"/>
    </xf>
    <xf fontId="33" fillId="0" borderId="0" numFmtId="0" xfId="5" applyFont="1" applyAlignment="1">
      <alignment horizontal="center" vertical="center" wrapText="1"/>
    </xf>
    <xf fontId="33" fillId="0" borderId="0" numFmtId="0" xfId="5" applyFont="1" applyAlignment="1">
      <alignment vertical="center" wrapText="1"/>
    </xf>
    <xf fontId="32" fillId="0" borderId="0" numFmtId="0" xfId="5" applyFont="1" applyAlignment="1">
      <alignment vertical="center" wrapText="1"/>
    </xf>
    <xf fontId="33" fillId="0" borderId="0" numFmtId="9" xfId="11" applyNumberFormat="1" applyFont="1" applyAlignment="1">
      <alignment horizontal="center" vertical="center"/>
    </xf>
    <xf fontId="33" fillId="0" borderId="0" numFmtId="9" xfId="11" applyNumberFormat="1" applyFont="1" applyAlignment="1">
      <alignment horizontal="center" vertical="center" wrapText="1"/>
    </xf>
    <xf fontId="33" fillId="0" borderId="0" numFmtId="1" xfId="5" applyNumberFormat="1" applyFont="1" applyAlignment="1">
      <alignment horizontal="center" vertical="center" wrapText="1"/>
    </xf>
    <xf fontId="22" fillId="0" borderId="0" numFmtId="9" xfId="5" applyNumberFormat="1" applyFont="1" applyAlignment="1">
      <alignment vertical="center"/>
    </xf>
  </cellXfs>
  <cellStyles count="12">
    <cellStyle name="Millares" xfId="1" builtinId="3"/>
    <cellStyle name="Millares 2" xfId="2"/>
    <cellStyle name="Moneda" xfId="3" builtinId="4"/>
    <cellStyle name="Moneda 2" xfId="4"/>
    <cellStyle name="Normal" xfId="0" builtinId="0"/>
    <cellStyle name="Normal 2" xfId="5"/>
    <cellStyle name="Normal 2 2" xfId="6"/>
    <cellStyle name="Normal 2 3" xfId="7"/>
    <cellStyle name="Normal 3" xfId="8"/>
    <cellStyle name="Normal 3 2" xfId="9"/>
    <cellStyle name="Normal 4" xfId="10"/>
    <cellStyle name="Porcentaje 2" xfId="11"/>
  </cellStyles>
  <dxfs count="3">
    <dxf>
      <alignment horizontal="center" indent="0" relativeIndent="0" shrinkToFit="0" textRotation="0" vertical="center" wrapText="1"/>
      <border>
        <left style="medium">
          <color auto="1"/>
        </left>
        <right style="none"/>
        <top style="none"/>
        <bottom style="none"/>
        <diagonal style="none"/>
        <vertical style="none"/>
        <horizontal style="none"/>
      </border>
    </dxf>
    <dxf>
      <alignment horizontal="center" indent="0" relativeIndent="0" shrinkToFit="0" textRotation="0" vertical="center" wrapText="1"/>
    </dxf>
    <dxf>
      <numFmt numFmtId="166" formatCode="_-* #,##0_-;\-* #,##0_-;_-* &quot;-&quot;??_-;_-@_-"/>
      <alignment horizontal="center" indent="0" relativeIndent="0" shrinkToFit="0" textRotation="0" vertical="center" wrapText="1"/>
      <border>
        <left style="none"/>
        <right style="medium">
          <color auto="1"/>
        </right>
        <top style="none"/>
        <bottom style="none"/>
        <diagonal style="none"/>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externalLink" Target="externalLinks/externalLink1.xml"/><Relationship  Id="rId10" Type="http://schemas.openxmlformats.org/officeDocument/2006/relationships/sharedStrings" Target="sharedStrings.xml"/><Relationship  Id="rId11" Type="http://schemas.openxmlformats.org/officeDocument/2006/relationships/styles" Target="styles.xml"/><Relationship  Id="rId2" Type="http://schemas.microsoft.com/office/2017/10/relationships/person" Target="persons/person.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theme" Target="theme/theme1.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_rels/chart4.xml.rels><?xml version="1.0" encoding="UTF-8" standalone="yes"?><Relationships xmlns="http://schemas.openxmlformats.org/package/2006/relationships"></Relationships>
</file>

<file path=xl/charts/_rels/chart5.xml.rels><?xml version="1.0" encoding="UTF-8" standalone="yes"?><Relationships xmlns="http://schemas.openxmlformats.org/package/2006/relationships"></Relationships>
</file>

<file path=xl/charts/_rels/chart6.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residual por Indicador</a:t>
            </a:r>
            <a:endParaRPr/>
          </a:p>
        </c:rich>
      </c:tx>
      <c:layout/>
      <c:overlay val="0"/>
      <c:spPr bwMode="auto">
        <a:prstGeom prst="rect">
          <a:avLst/>
        </a:prstGeom>
        <a:noFill/>
        <a:ln>
          <a:noFill/>
        </a:ln>
        <a:effectLst/>
      </c:spPr>
    </c:title>
    <c:autoTitleDeleted val="0"/>
    <c:plotArea>
      <c:layout/>
      <c:scatterChart>
        <c:scatterStyle val="lineMarker"/>
        <c:varyColors val="0"/>
        <c:ser>
          <c:idx val="4"/>
          <c:order val="0"/>
          <c:tx>
            <c:strRef>
              <c:f>'Riesgo Residual'!$A$20</c:f>
              <c:strCache>
                <c:ptCount val="1"/>
                <c:pt idx="0">
                  <c:v>AGUASCALIENTES</c:v>
                </c:pt>
              </c:strCache>
            </c:strRef>
          </c:tx>
          <c:spPr bwMode="auto">
            <a:prstGeom prst="rect">
              <a:avLst/>
            </a:prstGeom>
            <a:ln w="19050" cap="rnd">
              <a:solidFill>
                <a:schemeClr val="accent5"/>
              </a:solidFill>
              <a:round/>
            </a:ln>
            <a:effectLst/>
          </c:spPr>
          <c:marker>
            <c:symbol val="circle"/>
            <c:size val="5"/>
            <c:spPr bwMode="auto">
              <a:prstGeom prst="rect">
                <a:avLst/>
              </a:prstGeom>
              <a:solidFill>
                <a:schemeClr val="accent5"/>
              </a:solidFill>
              <a:ln w="9525">
                <a:solidFill>
                  <a:schemeClr val="accent5"/>
                </a:solidFill>
              </a:ln>
              <a:effectLst/>
            </c:spPr>
          </c:marker>
          <c:xVal>
            <c:numRef>
              <c:f>'Riesgo Residual'!$B$20</c:f>
              <c:numCache>
                <c:formatCode>0.00%</c:formatCode>
                <c:ptCount val="1"/>
                <c:pt idx="0">
                  <c:v>0.0007096145428760838</c:v>
                </c:pt>
              </c:numCache>
            </c:numRef>
          </c:xVal>
          <c:yVal>
            <c:numRef>
              <c:f>'Riesgo Residual'!$C$20</c:f>
              <c:numCache>
                <c:formatCode>0.00%</c:formatCode>
                <c:ptCount val="1"/>
                <c:pt idx="0">
                  <c:v>0.05228219423826373</c:v>
                </c:pt>
              </c:numCache>
            </c:numRef>
          </c:yVal>
          <c:smooth val="0"/>
        </c:ser>
        <c:ser>
          <c:idx val="37"/>
          <c:order val="1"/>
          <c:tx>
            <c:strRef>
              <c:f>'Riesgo Residual'!$F$15</c:f>
              <c:strCache>
                <c:ptCount val="1"/>
                <c:pt idx="0">
                  <c:v>0</c:v>
                </c:pt>
              </c:strCache>
            </c:strRef>
          </c:tx>
          <c:spPr bwMode="auto">
            <a:prstGeom prst="rect">
              <a:avLst/>
            </a:prstGeom>
            <a:ln w="19050" cap="rnd">
              <a:solidFill>
                <a:schemeClr val="accent2">
                  <a:lumMod val="70000"/>
                  <a:lumOff val="30000"/>
                </a:schemeClr>
              </a:solidFill>
              <a:round/>
            </a:ln>
            <a:effectLst/>
          </c:spPr>
          <c:marker>
            <c:symbol val="circle"/>
            <c:size val="5"/>
            <c:spPr bwMode="auto">
              <a:prstGeom prst="rect">
                <a:avLst/>
              </a:prstGeom>
              <a:solidFill>
                <a:schemeClr val="accent2">
                  <a:lumMod val="70000"/>
                  <a:lumOff val="30000"/>
                </a:schemeClr>
              </a:solidFill>
              <a:ln w="9525">
                <a:solidFill>
                  <a:schemeClr val="accent2">
                    <a:lumMod val="70000"/>
                    <a:lumOff val="30000"/>
                  </a:schemeClr>
                </a:solidFill>
              </a:ln>
              <a:effectLst/>
            </c:spPr>
          </c:marker>
          <c:xVal>
            <c:numRef>
              <c:f>'Riesgo Residual'!$G$15</c:f>
              <c:numCache>
                <c:formatCode>0.00%</c:formatCode>
                <c:ptCount val="1"/>
                <c:pt idx="0">
                  <c:v>0</c:v>
                </c:pt>
              </c:numCache>
            </c:numRef>
          </c:xVal>
          <c:yVal>
            <c:numRef>
              <c:f>'Riesgo Residual'!$H$15</c:f>
              <c:numCache>
                <c:formatCode>0.00%</c:formatCode>
                <c:ptCount val="1"/>
                <c:pt idx="0">
                  <c:v>0</c:v>
                </c:pt>
              </c:numCache>
            </c:numRef>
          </c:yVal>
          <c:smooth val="0"/>
        </c:ser>
        <c:ser>
          <c:idx val="38"/>
          <c:order val="2"/>
          <c:tx>
            <c:strRef>
              <c:f>'Riesgo Residual'!$F$16</c:f>
              <c:strCache>
                <c:ptCount val="1"/>
                <c:pt idx="0">
                  <c:v>0</c:v>
                </c:pt>
              </c:strCache>
            </c:strRef>
          </c:tx>
          <c:spPr bwMode="auto">
            <a:prstGeom prst="rect">
              <a:avLst/>
            </a:prstGeom>
            <a:ln w="19050" cap="rnd">
              <a:solidFill>
                <a:schemeClr val="accent3">
                  <a:lumMod val="70000"/>
                  <a:lumOff val="30000"/>
                </a:schemeClr>
              </a:solidFill>
              <a:round/>
            </a:ln>
            <a:effectLst/>
          </c:spPr>
          <c:marker>
            <c:symbol val="circle"/>
            <c:size val="5"/>
            <c:spPr bwMode="auto">
              <a:prstGeom prst="rect">
                <a:avLst/>
              </a:prstGeom>
              <a:solidFill>
                <a:schemeClr val="accent3">
                  <a:lumMod val="70000"/>
                  <a:lumOff val="30000"/>
                </a:schemeClr>
              </a:solidFill>
              <a:ln w="9525">
                <a:solidFill>
                  <a:schemeClr val="accent3">
                    <a:lumMod val="70000"/>
                    <a:lumOff val="30000"/>
                  </a:schemeClr>
                </a:solidFill>
              </a:ln>
              <a:effectLst/>
            </c:spPr>
          </c:marker>
          <c:xVal>
            <c:numRef>
              <c:f>'Riesgo Residual'!$G$16</c:f>
              <c:numCache>
                <c:formatCode>0.00%</c:formatCode>
                <c:ptCount val="1"/>
                <c:pt idx="0">
                  <c:v>0</c:v>
                </c:pt>
              </c:numCache>
            </c:numRef>
          </c:xVal>
          <c:yVal>
            <c:numRef>
              <c:f>'Riesgo Residual'!$H$16</c:f>
              <c:numCache>
                <c:formatCode>0.00%</c:formatCode>
                <c:ptCount val="1"/>
                <c:pt idx="0">
                  <c:v>0</c:v>
                </c:pt>
              </c:numCache>
            </c:numRef>
          </c:yVal>
          <c:smooth val="0"/>
        </c:ser>
        <c:ser>
          <c:idx val="42"/>
          <c:order val="3"/>
          <c:tx>
            <c:strRef>
              <c:f>'Riesgo Residual'!$F$21</c:f>
              <c:strCache>
                <c:ptCount val="1"/>
                <c:pt idx="0">
                  <c:v>5.1. Presencial</c:v>
                </c:pt>
              </c:strCache>
            </c:strRef>
          </c:tx>
          <c:spPr bwMode="auto">
            <a:prstGeom prst="rect">
              <a:avLst/>
            </a:prstGeom>
            <a:ln w="19050" cap="rnd">
              <a:solidFill>
                <a:schemeClr val="accent1">
                  <a:lumMod val="70000"/>
                </a:schemeClr>
              </a:solidFill>
              <a:round/>
            </a:ln>
            <a:effectLst/>
          </c:spPr>
          <c:marker>
            <c:symbol val="circle"/>
            <c:size val="5"/>
            <c:spPr bwMode="auto">
              <a:prstGeom prst="rect">
                <a:avLst/>
              </a:prstGeom>
              <a:solidFill>
                <a:schemeClr val="accent1">
                  <a:lumMod val="70000"/>
                </a:schemeClr>
              </a:solidFill>
              <a:ln w="9525">
                <a:solidFill>
                  <a:schemeClr val="accent1">
                    <a:lumMod val="70000"/>
                  </a:schemeClr>
                </a:solidFill>
              </a:ln>
              <a:effectLst/>
            </c:spPr>
          </c:marker>
          <c:xVal>
            <c:numRef>
              <c:f>'Riesgo Residual'!$G$21</c:f>
              <c:numCache>
                <c:formatCode>0.00%</c:formatCode>
                <c:ptCount val="1"/>
                <c:pt idx="0">
                  <c:v>0.2799999999999999</c:v>
                </c:pt>
              </c:numCache>
            </c:numRef>
          </c:xVal>
          <c:yVal>
            <c:numRef>
              <c:f>'Riesgo Residual'!$H$21</c:f>
              <c:numCache>
                <c:formatCode>0.00%</c:formatCode>
                <c:ptCount val="1"/>
                <c:pt idx="0">
                  <c:v>0.18626446965614982</c:v>
                </c:pt>
              </c:numCache>
            </c:numRef>
          </c:yVal>
          <c:smooth val="0"/>
        </c:ser>
        <c:ser>
          <c:idx val="43"/>
          <c:order val="4"/>
          <c:tx>
            <c:strRef>
              <c:f>'Riesgo Residual'!$F$22</c:f>
              <c:strCache>
                <c:ptCount val="1"/>
                <c:pt idx="0">
                  <c:v>5.2. No-Presencial</c:v>
                </c:pt>
              </c:strCache>
            </c:strRef>
          </c:tx>
          <c:spPr bwMode="auto">
            <a:prstGeom prst="rect">
              <a:avLst/>
            </a:prstGeom>
            <a:ln w="19050" cap="rnd">
              <a:solidFill>
                <a:schemeClr val="accent2">
                  <a:lumMod val="70000"/>
                </a:schemeClr>
              </a:solidFill>
              <a:round/>
            </a:ln>
            <a:effectLst/>
          </c:spPr>
          <c:marker>
            <c:symbol val="circle"/>
            <c:size val="5"/>
            <c:spPr bwMode="auto">
              <a:prstGeom prst="rect">
                <a:avLst/>
              </a:prstGeom>
              <a:solidFill>
                <a:schemeClr val="accent2">
                  <a:lumMod val="70000"/>
                </a:schemeClr>
              </a:solidFill>
              <a:ln w="9525">
                <a:solidFill>
                  <a:schemeClr val="accent2">
                    <a:lumMod val="70000"/>
                  </a:schemeClr>
                </a:solidFill>
              </a:ln>
              <a:effectLst/>
            </c:spPr>
          </c:marker>
          <c:xVal>
            <c:numRef>
              <c:f>'Riesgo Residual'!$G$22</c:f>
              <c:numCache>
                <c:formatCode>0.00%</c:formatCode>
                <c:ptCount val="1"/>
              </c:numCache>
            </c:numRef>
          </c:xVal>
          <c:yVal>
            <c:numRef>
              <c:f>'Riesgo Residual'!$H$22</c:f>
              <c:numCache>
                <c:formatCode>0.00%</c:formatCode>
                <c:ptCount val="1"/>
              </c:numCache>
            </c:numRef>
          </c:yVal>
          <c:smooth val="0"/>
        </c:ser>
        <c:ser>
          <c:idx val="44"/>
          <c:order val="5"/>
          <c:tx>
            <c:strRef>
              <c:f>'Riesgo Residual'!$F$27</c:f>
              <c:strCache>
                <c:ptCount val="1"/>
                <c:pt idx="0">
                  <c:v>2.1. Persona Física.</c:v>
                </c:pt>
              </c:strCache>
            </c:strRef>
          </c:tx>
          <c:spPr bwMode="auto">
            <a:prstGeom prst="rect">
              <a:avLst/>
            </a:prstGeom>
            <a:ln w="19050" cap="rnd">
              <a:solidFill>
                <a:schemeClr val="accent3">
                  <a:lumMod val="70000"/>
                </a:schemeClr>
              </a:solidFill>
              <a:round/>
            </a:ln>
            <a:effectLst/>
          </c:spPr>
          <c:marker>
            <c:symbol val="circle"/>
            <c:size val="5"/>
            <c:spPr bwMode="auto">
              <a:prstGeom prst="rect">
                <a:avLst/>
              </a:prstGeom>
              <a:solidFill>
                <a:schemeClr val="accent3">
                  <a:lumMod val="70000"/>
                </a:schemeClr>
              </a:solidFill>
              <a:ln w="9525">
                <a:solidFill>
                  <a:schemeClr val="accent3">
                    <a:lumMod val="70000"/>
                  </a:schemeClr>
                </a:solidFill>
              </a:ln>
              <a:effectLst/>
            </c:spPr>
          </c:marker>
          <c:xVal>
            <c:numRef>
              <c:f>'Riesgo Residual'!$G$27</c:f>
              <c:numCache>
                <c:formatCode>0.00%</c:formatCode>
                <c:ptCount val="1"/>
                <c:pt idx="0">
                  <c:v>0.25524770779165257</c:v>
                </c:pt>
              </c:numCache>
            </c:numRef>
          </c:xVal>
          <c:yVal>
            <c:numRef>
              <c:f>'Riesgo Residual'!$H$27</c:f>
              <c:numCache>
                <c:formatCode>0.00%</c:formatCode>
                <c:ptCount val="1"/>
                <c:pt idx="0">
                  <c:v>0.16073035736906788</c:v>
                </c:pt>
              </c:numCache>
            </c:numRef>
          </c:yVal>
          <c:smooth val="0"/>
        </c:ser>
        <c:ser>
          <c:idx val="45"/>
          <c:order val="6"/>
          <c:tx>
            <c:strRef>
              <c:f>'Riesgo Residual'!$F$28</c:f>
              <c:strCache>
                <c:ptCount val="1"/>
                <c:pt idx="0">
                  <c:v>2.2. Persona Moral.</c:v>
                </c:pt>
              </c:strCache>
            </c:strRef>
          </c:tx>
          <c:spPr bwMode="auto">
            <a:prstGeom prst="rect">
              <a:avLst/>
            </a:prstGeom>
            <a:ln w="19050" cap="rnd">
              <a:solidFill>
                <a:schemeClr val="accent4">
                  <a:lumMod val="70000"/>
                </a:schemeClr>
              </a:solidFill>
              <a:round/>
            </a:ln>
            <a:effectLst/>
          </c:spPr>
          <c:marker>
            <c:symbol val="circle"/>
            <c:size val="5"/>
            <c:spPr bwMode="auto">
              <a:prstGeom prst="rect">
                <a:avLst/>
              </a:prstGeom>
              <a:solidFill>
                <a:schemeClr val="accent4">
                  <a:lumMod val="70000"/>
                </a:schemeClr>
              </a:solidFill>
              <a:ln w="9525">
                <a:solidFill>
                  <a:schemeClr val="accent4">
                    <a:lumMod val="70000"/>
                  </a:schemeClr>
                </a:solidFill>
              </a:ln>
              <a:effectLst/>
            </c:spPr>
          </c:marker>
          <c:xVal>
            <c:numRef>
              <c:f>'Riesgo Residual'!$G$28</c:f>
              <c:numCache>
                <c:formatCode>0.00%</c:formatCode>
                <c:ptCount val="1"/>
                <c:pt idx="0">
                  <c:v>0.12850822262479447</c:v>
                </c:pt>
              </c:numCache>
            </c:numRef>
          </c:xVal>
          <c:yVal>
            <c:numRef>
              <c:f>'Riesgo Residual'!$H$28</c:f>
              <c:numCache>
                <c:formatCode>0.00%</c:formatCode>
                <c:ptCount val="1"/>
                <c:pt idx="0">
                  <c:v>0.16073035736906788</c:v>
                </c:pt>
              </c:numCache>
            </c:numRef>
          </c:yVal>
          <c:smooth val="0"/>
        </c:ser>
        <c:dLbls>
          <c:showBubbleSize val="0"/>
          <c:showCatName val="0"/>
          <c:showLeaderLines val="0"/>
          <c:showLegendKey val="0"/>
          <c:showPercent val="0"/>
          <c:showSerName val="0"/>
          <c:showVal val="0"/>
        </c:dLbls>
        <c:axId val="119259904"/>
        <c:axId val="119262208"/>
      </c:scatterChart>
      <c:valAx>
        <c:axId val="119259904"/>
        <c:scaling>
          <c:orientation val="minMax"/>
          <c:max val="1.1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Concentracion de Operaciones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262208"/>
        <c:crosses val="autoZero"/>
        <c:crossBetween val="midCat"/>
        <c:majorUnit val="0.100000"/>
      </c:valAx>
      <c:valAx>
        <c:axId val="119262208"/>
        <c:scaling>
          <c:orientation val="minMax"/>
          <c:max val="1.1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259904"/>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inherente por Elemento</a:t>
            </a:r>
            <a:endParaRPr/>
          </a:p>
        </c:rich>
      </c:tx>
      <c:layout/>
      <c:overlay val="0"/>
      <c:spPr bwMode="auto">
        <a:prstGeom prst="rect">
          <a:avLst/>
        </a:prstGeom>
        <a:noFill/>
        <a:ln>
          <a:noFill/>
        </a:ln>
        <a:effectLst/>
      </c:spPr>
    </c:title>
    <c:autoTitleDeleted val="0"/>
    <c:plotArea>
      <c:layout/>
      <c:scatterChart>
        <c:scatterStyle val="lineMarker"/>
        <c:varyColors val="0"/>
        <c:ser>
          <c:idx val="0"/>
          <c:order val="0"/>
          <c:tx>
            <c:strRef>
              <c:f>'Riesgo Inherente'!$A$9</c:f>
              <c:strCache>
                <c:ptCount val="1"/>
                <c:pt idx="0">
                  <c:v>1. Tipos de Intermediarios.</c:v>
                </c:pt>
              </c:strCache>
            </c:strRef>
          </c:tx>
          <c:spPr bwMode="auto">
            <a:prstGeom prst="rect">
              <a:avLst/>
            </a:prstGeom>
            <a:ln w="19050"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Pt>
            <c:idx val="0"/>
            <c:bubble3D val="0"/>
          </c:dPt>
          <c:xVal>
            <c:numRef>
              <c:f>'Riesgo Inherente'!$G$12</c:f>
              <c:numCache>
                <c:formatCode>0.00%</c:formatCode>
                <c:ptCount val="1"/>
                <c:pt idx="0">
                  <c:v>0.501434374323875</c:v>
                </c:pt>
              </c:numCache>
            </c:numRef>
          </c:xVal>
          <c:yVal>
            <c:numRef>
              <c:f>'Riesgo Inherente'!$H$12</c:f>
              <c:numCache>
                <c:formatCode>0.00%</c:formatCode>
                <c:ptCount val="1"/>
                <c:pt idx="0">
                  <c:v>0.060609386680246985</c:v>
                </c:pt>
              </c:numCache>
            </c:numRef>
          </c:yVal>
          <c:smooth val="0"/>
        </c:ser>
        <c:ser>
          <c:idx val="1"/>
          <c:order val="1"/>
          <c:tx>
            <c:strRef>
              <c:f>'Riesgo Inherente'!$A$106</c:f>
              <c:strCache>
                <c:ptCount val="1"/>
                <c:pt idx="0">
                  <c:v>3. Países y Áreas geográficas</c:v>
                </c:pt>
              </c:strCache>
            </c:strRef>
          </c:tx>
          <c:spPr bwMode="auto">
            <a:prstGeom prst="rect">
              <a:avLst/>
            </a:prstGeom>
            <a:ln w="19050" cap="rnd">
              <a:solidFill>
                <a:schemeClr val="accent2"/>
              </a:solidFill>
              <a:round/>
            </a:ln>
            <a:effectLst/>
          </c:spPr>
          <c:marker>
            <c:symbol val="circle"/>
            <c:size val="5"/>
            <c:spPr bwMode="auto">
              <a:prstGeom prst="rect">
                <a:avLst/>
              </a:prstGeom>
              <a:solidFill>
                <a:schemeClr val="accent2"/>
              </a:solidFill>
              <a:ln w="9525">
                <a:solidFill>
                  <a:schemeClr val="accent2"/>
                </a:solidFill>
              </a:ln>
              <a:effectLst/>
            </c:spPr>
          </c:marker>
          <c:xVal>
            <c:numRef>
              <c:f>'Riesgo Inherente'!$G$138</c:f>
              <c:numCache>
                <c:formatCode>0.00%</c:formatCode>
                <c:ptCount val="1"/>
                <c:pt idx="0">
                  <c:v>0.025041688874347625</c:v>
                </c:pt>
              </c:numCache>
            </c:numRef>
          </c:xVal>
          <c:yVal>
            <c:numRef>
              <c:f>'Riesgo Inherente'!$H$138</c:f>
              <c:numCache>
                <c:formatCode>0.00%</c:formatCode>
                <c:ptCount val="1"/>
                <c:pt idx="0">
                  <c:v>0.12015413148989544</c:v>
                </c:pt>
              </c:numCache>
            </c:numRef>
          </c:yVal>
          <c:smooth val="0"/>
        </c:ser>
        <c:ser>
          <c:idx val="2"/>
          <c:order val="2"/>
          <c:tx>
            <c:strRef>
              <c:f>'Riesgo Inherente'!$A$178</c:f>
              <c:strCache>
                <c:ptCount val="1"/>
                <c:pt idx="0">
                  <c:v>4. Transacciones (Instrumentos de Pago).</c:v>
                </c:pt>
              </c:strCache>
            </c:strRef>
          </c:tx>
          <c:spPr bwMode="auto">
            <a:prstGeom prst="rect">
              <a:avLst/>
            </a:prstGeom>
            <a:ln w="19050" cap="rnd">
              <a:solidFill>
                <a:schemeClr val="accent3"/>
              </a:solidFill>
              <a:round/>
            </a:ln>
            <a:effectLst/>
          </c:spPr>
          <c:marker>
            <c:symbol val="circle"/>
            <c:size val="5"/>
            <c:spPr bwMode="auto">
              <a:prstGeom prst="rect">
                <a:avLst/>
              </a:prstGeom>
              <a:solidFill>
                <a:schemeClr val="accent3"/>
              </a:solidFill>
              <a:ln w="9525">
                <a:solidFill>
                  <a:schemeClr val="accent3"/>
                </a:solidFill>
              </a:ln>
              <a:effectLst/>
            </c:spPr>
          </c:marker>
          <c:xVal>
            <c:numRef>
              <c:f>'Riesgo Inherente'!$G$182</c:f>
              <c:numCache>
                <c:formatCode>0.00%</c:formatCode>
                <c:ptCount val="1"/>
                <c:pt idx="0">
                  <c:v>1</c:v>
                </c:pt>
              </c:numCache>
            </c:numRef>
          </c:xVal>
          <c:yVal>
            <c:numRef>
              <c:f>'Riesgo Inherente'!$H$182</c:f>
              <c:numCache>
                <c:formatCode>0.00%</c:formatCode>
                <c:ptCount val="1"/>
                <c:pt idx="0">
                  <c:v>0.20018117412190356</c:v>
                </c:pt>
              </c:numCache>
            </c:numRef>
          </c:yVal>
          <c:smooth val="0"/>
        </c:ser>
        <c:ser>
          <c:idx val="3"/>
          <c:order val="3"/>
          <c:tx>
            <c:strRef>
              <c:f>'Riesgo Inherente'!$A$188</c:f>
              <c:strCache>
                <c:ptCount val="1"/>
                <c:pt idx="0">
                  <c:v>5. Canales de distribución o envío</c:v>
                </c:pt>
              </c:strCache>
            </c:strRef>
          </c:tx>
          <c:spPr bwMode="auto">
            <a:prstGeom prst="rect">
              <a:avLst/>
            </a:prstGeom>
            <a:ln w="19050" cap="rnd">
              <a:solidFill>
                <a:schemeClr val="accent4"/>
              </a:solidFill>
              <a:round/>
            </a:ln>
            <a:effectLst/>
          </c:spPr>
          <c:marker>
            <c:symbol val="circle"/>
            <c:size val="5"/>
            <c:spPr bwMode="auto">
              <a:prstGeom prst="rect">
                <a:avLst/>
              </a:prstGeom>
              <a:solidFill>
                <a:schemeClr val="accent4"/>
              </a:solidFill>
              <a:ln w="9525">
                <a:solidFill>
                  <a:schemeClr val="accent4"/>
                </a:solidFill>
              </a:ln>
              <a:effectLst/>
            </c:spPr>
          </c:marker>
          <c:xVal>
            <c:numRef>
              <c:f>'Riesgo Inherente'!$G$192</c:f>
              <c:numCache>
                <c:formatCode>0.00%</c:formatCode>
                <c:ptCount val="1"/>
                <c:pt idx="0">
                  <c:v>1</c:v>
                </c:pt>
              </c:numCache>
            </c:numRef>
          </c:xVal>
          <c:yVal>
            <c:numRef>
              <c:f>'Riesgo Inherente'!$H$192</c:f>
              <c:numCache>
                <c:formatCode>0.00%</c:formatCode>
                <c:ptCount val="1"/>
                <c:pt idx="0">
                  <c:v>0.28221889341840883</c:v>
                </c:pt>
              </c:numCache>
            </c:numRef>
          </c:yVal>
          <c:smooth val="0"/>
        </c:ser>
        <c:ser>
          <c:idx val="4"/>
          <c:order val="4"/>
          <c:tx>
            <c:strRef>
              <c:f>'Riesgo Inherente'!$A$36</c:f>
              <c:strCache>
                <c:ptCount val="1"/>
                <c:pt idx="0">
                  <c:v>2. Tipo de Persona Jurídica.</c:v>
                </c:pt>
              </c:strCache>
            </c:strRef>
          </c:tx>
          <c:spPr bwMode="auto">
            <a:prstGeom prst="rect">
              <a:avLst/>
            </a:prstGeom>
            <a:ln w="19050" cap="rnd">
              <a:solidFill>
                <a:schemeClr val="accent5"/>
              </a:solidFill>
              <a:round/>
            </a:ln>
            <a:effectLst/>
          </c:spPr>
          <c:marker>
            <c:symbol val="circle"/>
            <c:size val="5"/>
            <c:spPr bwMode="auto">
              <a:prstGeom prst="rect">
                <a:avLst/>
              </a:prstGeom>
              <a:solidFill>
                <a:schemeClr val="accent5"/>
              </a:solidFill>
              <a:ln w="9525">
                <a:solidFill>
                  <a:schemeClr val="accent5"/>
                </a:solidFill>
              </a:ln>
              <a:effectLst/>
            </c:spPr>
          </c:marker>
          <c:xVal>
            <c:numRef>
              <c:f>'Riesgo Inherente'!$G$51</c:f>
              <c:numCache>
                <c:formatCode>0.00%</c:formatCode>
                <c:ptCount val="1"/>
                <c:pt idx="0">
                  <c:v>0.5049420137058513</c:v>
                </c:pt>
              </c:numCache>
            </c:numRef>
          </c:xVal>
          <c:yVal>
            <c:numRef>
              <c:f>'Riesgo Inherente'!$H$51</c:f>
              <c:numCache>
                <c:formatCode>0.00%</c:formatCode>
                <c:ptCount val="1"/>
                <c:pt idx="0">
                  <c:v>0.24601585311592022</c:v>
                </c:pt>
              </c:numCache>
            </c:numRef>
          </c:yVal>
          <c:smooth val="0"/>
        </c:ser>
        <c:dLbls>
          <c:showBubbleSize val="0"/>
          <c:showCatName val="0"/>
          <c:showLeaderLines val="0"/>
          <c:showLegendKey val="0"/>
          <c:showPercent val="0"/>
          <c:showSerName val="0"/>
          <c:showVal val="0"/>
        </c:dLbls>
        <c:axId val="119390208"/>
        <c:axId val="119392512"/>
      </c:scatterChart>
      <c:valAx>
        <c:axId val="119390208"/>
        <c:scaling>
          <c:orientation val="minMax"/>
          <c:max val="1.100000"/>
          <c:min val="0.0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Concentración Operaciones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392512"/>
        <c:crosses val="autoZero"/>
        <c:crossBetween val="midCat"/>
        <c:majorUnit val="0.100000"/>
      </c:valAx>
      <c:valAx>
        <c:axId val="119392512"/>
        <c:scaling>
          <c:orientation val="minMax"/>
          <c:max val="1.100000"/>
          <c:min val="0.0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390208"/>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residual por Elemento</a:t>
            </a:r>
            <a:endParaRPr/>
          </a:p>
        </c:rich>
      </c:tx>
      <c:layout/>
      <c:overlay val="0"/>
      <c:spPr bwMode="auto">
        <a:prstGeom prst="rect">
          <a:avLst/>
        </a:prstGeom>
        <a:noFill/>
        <a:ln>
          <a:noFill/>
        </a:ln>
        <a:effectLst/>
      </c:spPr>
    </c:title>
    <c:autoTitleDeleted val="0"/>
    <c:plotArea>
      <c:layout/>
      <c:scatterChart>
        <c:scatterStyle val="lineMarker"/>
        <c:varyColors val="0"/>
        <c:ser>
          <c:idx val="0"/>
          <c:order val="0"/>
          <c:tx>
            <c:strRef>
              <c:f>'Riesgo Residual'!$A$13</c:f>
              <c:strCache>
                <c:ptCount val="1"/>
                <c:pt idx="0">
                  <c:v>1. Tipos de Intermediarios.</c:v>
                </c:pt>
              </c:strCache>
            </c:strRef>
          </c:tx>
          <c:spPr bwMode="auto">
            <a:prstGeom prst="rect">
              <a:avLst/>
            </a:prstGeom>
            <a:ln w="19050"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Pt>
            <c:idx val="0"/>
            <c:bubble3D val="0"/>
          </c:dPt>
          <c:xVal>
            <c:numRef>
              <c:f>'Riesgo Residual'!$B$13</c:f>
              <c:numCache>
                <c:formatCode>0.00%</c:formatCode>
                <c:ptCount val="1"/>
                <c:pt idx="0">
                  <c:v>0.2947351481908267</c:v>
                </c:pt>
              </c:numCache>
            </c:numRef>
          </c:xVal>
          <c:yVal>
            <c:numRef>
              <c:f>'Riesgo Residual'!$C$13</c:f>
              <c:numCache>
                <c:formatCode>0.00%</c:formatCode>
                <c:ptCount val="1"/>
                <c:pt idx="0">
                  <c:v>0.0720882656328481</c:v>
                </c:pt>
              </c:numCache>
            </c:numRef>
          </c:yVal>
          <c:smooth val="0"/>
        </c:ser>
        <c:ser>
          <c:idx val="1"/>
          <c:order val="1"/>
          <c:tx>
            <c:strRef>
              <c:f>'Riesgo Residual'!$A$18</c:f>
              <c:strCache>
                <c:ptCount val="1"/>
                <c:pt idx="0">
                  <c:v>3. Países y Áreas geográficas</c:v>
                </c:pt>
              </c:strCache>
            </c:strRef>
          </c:tx>
          <c:spPr bwMode="auto">
            <a:prstGeom prst="rect">
              <a:avLst/>
            </a:prstGeom>
            <a:ln w="19050" cap="rnd">
              <a:solidFill>
                <a:schemeClr val="accent2"/>
              </a:solidFill>
              <a:round/>
            </a:ln>
            <a:effectLst/>
          </c:spPr>
          <c:marker>
            <c:symbol val="circle"/>
            <c:size val="5"/>
            <c:spPr bwMode="auto">
              <a:prstGeom prst="rect">
                <a:avLst/>
              </a:prstGeom>
              <a:solidFill>
                <a:schemeClr val="accent2"/>
              </a:solidFill>
              <a:ln w="9525">
                <a:solidFill>
                  <a:schemeClr val="accent2"/>
                </a:solidFill>
              </a:ln>
              <a:effectLst/>
            </c:spPr>
          </c:marker>
          <c:xVal>
            <c:numRef>
              <c:f>'Riesgo Residual'!$B$18</c:f>
              <c:numCache>
                <c:formatCode>0.00%</c:formatCode>
                <c:ptCount val="1"/>
                <c:pt idx="0">
                  <c:v>0.0007096145428760838</c:v>
                </c:pt>
              </c:numCache>
            </c:numRef>
          </c:xVal>
          <c:yVal>
            <c:numRef>
              <c:f>'Riesgo Residual'!$C$18</c:f>
              <c:numCache>
                <c:formatCode>0.00%</c:formatCode>
                <c:ptCount val="1"/>
                <c:pt idx="0">
                  <c:v>0.05228219423826373</c:v>
                </c:pt>
              </c:numCache>
            </c:numRef>
          </c:yVal>
          <c:smooth val="0"/>
        </c:ser>
        <c:ser>
          <c:idx val="2"/>
          <c:order val="2"/>
          <c:tx>
            <c:strRef>
              <c:f>'Riesgo Residual'!$F$13</c:f>
              <c:strCache>
                <c:ptCount val="1"/>
                <c:pt idx="0">
                  <c:v>4. Transacciones (Instrumentos de Pago).</c:v>
                </c:pt>
              </c:strCache>
            </c:strRef>
          </c:tx>
          <c:spPr bwMode="auto">
            <a:prstGeom prst="rect">
              <a:avLst/>
            </a:prstGeom>
            <a:ln w="19050" cap="rnd">
              <a:solidFill>
                <a:schemeClr val="accent3"/>
              </a:solidFill>
              <a:round/>
            </a:ln>
            <a:effectLst/>
          </c:spPr>
          <c:marker>
            <c:symbol val="circle"/>
            <c:size val="5"/>
            <c:spPr bwMode="auto">
              <a:prstGeom prst="rect">
                <a:avLst/>
              </a:prstGeom>
              <a:solidFill>
                <a:schemeClr val="accent3"/>
              </a:solidFill>
              <a:ln w="9525">
                <a:solidFill>
                  <a:schemeClr val="accent3"/>
                </a:solidFill>
              </a:ln>
              <a:effectLst/>
            </c:spPr>
          </c:marker>
          <c:xVal>
            <c:numRef>
              <c:f>'Riesgo Residual'!$G$13</c:f>
              <c:numCache>
                <c:formatCode>0.00%</c:formatCode>
                <c:ptCount val="1"/>
                <c:pt idx="0">
                  <c:v>0.33324655846590606</c:v>
                </c:pt>
              </c:numCache>
            </c:numRef>
          </c:xVal>
          <c:yVal>
            <c:numRef>
              <c:f>'Riesgo Residual'!$H$13</c:f>
              <c:numCache>
                <c:formatCode>0.00%</c:formatCode>
                <c:ptCount val="1"/>
                <c:pt idx="0">
                  <c:v>0.06671654984251789</c:v>
                </c:pt>
              </c:numCache>
            </c:numRef>
          </c:yVal>
          <c:smooth val="0"/>
        </c:ser>
        <c:ser>
          <c:idx val="3"/>
          <c:order val="3"/>
          <c:tx>
            <c:strRef>
              <c:f>'Riesgo Residual'!$F$19</c:f>
              <c:strCache>
                <c:ptCount val="1"/>
                <c:pt idx="0">
                  <c:v>5. Canales de distribución o envío</c:v>
                </c:pt>
              </c:strCache>
            </c:strRef>
          </c:tx>
          <c:spPr bwMode="auto">
            <a:prstGeom prst="rect">
              <a:avLst/>
            </a:prstGeom>
            <a:ln w="19050" cap="rnd">
              <a:solidFill>
                <a:schemeClr val="accent4"/>
              </a:solidFill>
              <a:round/>
            </a:ln>
            <a:effectLst/>
          </c:spPr>
          <c:marker>
            <c:symbol val="circle"/>
            <c:size val="5"/>
            <c:spPr bwMode="auto">
              <a:prstGeom prst="rect">
                <a:avLst/>
              </a:prstGeom>
              <a:solidFill>
                <a:schemeClr val="accent4"/>
              </a:solidFill>
              <a:ln w="9525">
                <a:solidFill>
                  <a:schemeClr val="accent4"/>
                </a:solidFill>
              </a:ln>
              <a:effectLst/>
            </c:spPr>
          </c:marker>
          <c:xVal>
            <c:numRef>
              <c:f>'Riesgo Residual'!$G$19</c:f>
              <c:numCache>
                <c:formatCode>0.00%</c:formatCode>
                <c:ptCount val="1"/>
                <c:pt idx="0">
                  <c:v>0.2799999999999999</c:v>
                </c:pt>
              </c:numCache>
            </c:numRef>
          </c:xVal>
          <c:yVal>
            <c:numRef>
              <c:f>'Riesgo Residual'!$H$19</c:f>
              <c:numCache>
                <c:formatCode>0.00%</c:formatCode>
                <c:ptCount val="1"/>
                <c:pt idx="0">
                  <c:v>0.18626446965614982</c:v>
                </c:pt>
              </c:numCache>
            </c:numRef>
          </c:yVal>
          <c:smooth val="0"/>
        </c:ser>
        <c:ser>
          <c:idx val="4"/>
          <c:order val="4"/>
          <c:tx>
            <c:strRef>
              <c:f>'Riesgo Residual'!$F$25</c:f>
              <c:strCache>
                <c:ptCount val="1"/>
                <c:pt idx="0">
                  <c:v>2. Tipo de Persona Jurídica.</c:v>
                </c:pt>
              </c:strCache>
            </c:strRef>
          </c:tx>
          <c:spPr bwMode="auto">
            <a:prstGeom prst="rect">
              <a:avLst/>
            </a:prstGeom>
            <a:ln w="19050" cap="rnd">
              <a:solidFill>
                <a:schemeClr val="accent5"/>
              </a:solidFill>
              <a:round/>
            </a:ln>
            <a:effectLst/>
          </c:spPr>
          <c:marker>
            <c:symbol val="circle"/>
            <c:size val="5"/>
            <c:spPr bwMode="auto">
              <a:prstGeom prst="rect">
                <a:avLst/>
              </a:prstGeom>
              <a:solidFill>
                <a:schemeClr val="accent5"/>
              </a:solidFill>
              <a:ln w="9525">
                <a:solidFill>
                  <a:schemeClr val="accent5"/>
                </a:solidFill>
              </a:ln>
              <a:effectLst/>
            </c:spPr>
          </c:marker>
          <c:xVal>
            <c:numRef>
              <c:f>'Riesgo Residual'!$G$25</c:f>
              <c:numCache>
                <c:formatCode>0.00%</c:formatCode>
                <c:ptCount val="1"/>
                <c:pt idx="0">
                  <c:v>0.19187796520822353</c:v>
                </c:pt>
              </c:numCache>
            </c:numRef>
          </c:xVal>
          <c:yVal>
            <c:numRef>
              <c:f>'Riesgo Residual'!$H$25</c:f>
              <c:numCache>
                <c:formatCode>0.00%</c:formatCode>
                <c:ptCount val="1"/>
                <c:pt idx="0">
                  <c:v>0.16073035736906788</c:v>
                </c:pt>
              </c:numCache>
            </c:numRef>
          </c:yVal>
          <c:smooth val="0"/>
        </c:ser>
        <c:dLbls>
          <c:showBubbleSize val="0"/>
          <c:showCatName val="0"/>
          <c:showLeaderLines val="0"/>
          <c:showLegendKey val="0"/>
          <c:showPercent val="0"/>
          <c:showSerName val="0"/>
          <c:showVal val="0"/>
        </c:dLbls>
        <c:axId val="119675520"/>
        <c:axId val="119686272"/>
      </c:scatterChart>
      <c:valAx>
        <c:axId val="119675520"/>
        <c:scaling>
          <c:orientation val="minMax"/>
          <c:max val="1.1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Concentración de Operaciones</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686272"/>
        <c:crosses val="autoZero"/>
        <c:crossBetween val="midCat"/>
        <c:majorUnit val="0.100000"/>
      </c:valAx>
      <c:valAx>
        <c:axId val="119686272"/>
        <c:scaling>
          <c:orientation val="minMax"/>
          <c:max val="1.100000"/>
          <c:min val="0.0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675520"/>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inherente de la Entidad</a:t>
            </a:r>
            <a:endParaRPr/>
          </a:p>
        </c:rich>
      </c:tx>
      <c:layout/>
      <c:overlay val="0"/>
      <c:spPr bwMode="auto">
        <a:prstGeom prst="rect">
          <a:avLst/>
        </a:prstGeom>
        <a:noFill/>
        <a:ln>
          <a:noFill/>
        </a:ln>
        <a:effectLst/>
      </c:spPr>
    </c:title>
    <c:autoTitleDeleted val="0"/>
    <c:plotArea>
      <c:layout/>
      <c:scatterChart>
        <c:scatterStyle val="lineMarker"/>
        <c:varyColors val="0"/>
        <c:ser>
          <c:idx val="6"/>
          <c:order val="0"/>
          <c:tx>
            <c:strRef>
              <c:f>'Riesgo Inherente'!$F$2</c:f>
              <c:strCache>
                <c:ptCount val="1"/>
                <c:pt idx="0">
                  <c:v>Riesgo Inherente Entidad</c:v>
                </c:pt>
              </c:strCache>
            </c:strRef>
          </c:tx>
          <c:spPr bwMode="auto">
            <a:prstGeom prst="rect">
              <a:avLst/>
            </a:prstGeom>
            <a:ln w="19050" cap="rnd">
              <a:solidFill>
                <a:schemeClr val="accent1">
                  <a:lumMod val="60000"/>
                </a:schemeClr>
              </a:solidFill>
              <a:round/>
            </a:ln>
            <a:effectLst/>
          </c:spPr>
          <c:marker>
            <c:symbol val="circle"/>
            <c:size val="5"/>
            <c:spPr bwMode="auto">
              <a:prstGeom prst="rect">
                <a:avLst/>
              </a:prstGeom>
              <a:solidFill>
                <a:schemeClr val="accent1">
                  <a:lumMod val="60000"/>
                </a:schemeClr>
              </a:solidFill>
              <a:ln w="9525">
                <a:solidFill>
                  <a:schemeClr val="accent1">
                    <a:lumMod val="60000"/>
                  </a:schemeClr>
                </a:solidFill>
              </a:ln>
              <a:effectLst/>
            </c:spPr>
          </c:marker>
          <c:xVal>
            <c:numRef>
              <c:f>'Riesgo Inherente'!$F$5</c:f>
              <c:numCache>
                <c:formatCode>0.00%</c:formatCode>
                <c:ptCount val="1"/>
                <c:pt idx="0">
                  <c:v>0.6062836153808149</c:v>
                </c:pt>
              </c:numCache>
            </c:numRef>
          </c:xVal>
          <c:yVal>
            <c:numRef>
              <c:f>'Riesgo Inherente'!$G$5</c:f>
              <c:numCache>
                <c:formatCode>0.00%</c:formatCode>
                <c:ptCount val="1"/>
                <c:pt idx="0">
                  <c:v>0.18183588776527498</c:v>
                </c:pt>
              </c:numCache>
            </c:numRef>
          </c:yVal>
          <c:smooth val="0"/>
        </c:ser>
        <c:dLbls>
          <c:showBubbleSize val="0"/>
          <c:showCatName val="0"/>
          <c:showLeaderLines val="0"/>
          <c:showLegendKey val="0"/>
          <c:showPercent val="0"/>
          <c:showSerName val="0"/>
          <c:showVal val="0"/>
        </c:dLbls>
        <c:axId val="119719808"/>
        <c:axId val="119722368"/>
      </c:scatterChart>
      <c:valAx>
        <c:axId val="119719808"/>
        <c:scaling>
          <c:orientation val="minMax"/>
          <c:max val="1.100000"/>
          <c:min val="0.0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Concentración de Operaciones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722368"/>
        <c:crosses val="autoZero"/>
        <c:crossBetween val="midCat"/>
        <c:majorUnit val="0.100000"/>
      </c:valAx>
      <c:valAx>
        <c:axId val="119722368"/>
        <c:scaling>
          <c:orientation val="minMax"/>
          <c:max val="1.100000"/>
          <c:min val="0.0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719808"/>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residual de la Entidad</a:t>
            </a:r>
            <a:endParaRPr/>
          </a:p>
        </c:rich>
      </c:tx>
      <c:layout/>
      <c:overlay val="0"/>
      <c:spPr bwMode="auto">
        <a:prstGeom prst="rect">
          <a:avLst/>
        </a:prstGeom>
        <a:noFill/>
        <a:ln>
          <a:noFill/>
        </a:ln>
        <a:effectLst/>
      </c:spPr>
    </c:title>
    <c:autoTitleDeleted val="0"/>
    <c:plotArea>
      <c:layout/>
      <c:scatterChart>
        <c:scatterStyle val="lineMarker"/>
        <c:varyColors val="0"/>
        <c:ser>
          <c:idx val="7"/>
          <c:order val="0"/>
          <c:tx>
            <c:strRef>
              <c:f>'Riesgo Residual'!$H$6</c:f>
              <c:strCache>
                <c:ptCount val="1"/>
                <c:pt idx="0">
                  <c:v>RIESGO RESIDUAL INTERMEDIARIOS</c:v>
                </c:pt>
              </c:strCache>
            </c:strRef>
          </c:tx>
          <c:spPr bwMode="auto">
            <a:prstGeom prst="rect">
              <a:avLst/>
            </a:prstGeom>
            <a:ln w="19050" cap="rnd">
              <a:solidFill>
                <a:schemeClr val="accent2">
                  <a:lumMod val="60000"/>
                </a:schemeClr>
              </a:solidFill>
              <a:round/>
            </a:ln>
            <a:effectLst/>
          </c:spPr>
          <c:marker>
            <c:symbol val="circle"/>
            <c:size val="5"/>
            <c:spPr bwMode="auto">
              <a:prstGeom prst="rect">
                <a:avLst/>
              </a:prstGeom>
              <a:solidFill>
                <a:schemeClr val="accent2">
                  <a:lumMod val="60000"/>
                </a:schemeClr>
              </a:solidFill>
              <a:ln w="9525">
                <a:solidFill>
                  <a:schemeClr val="accent2">
                    <a:lumMod val="60000"/>
                  </a:schemeClr>
                </a:solidFill>
              </a:ln>
              <a:effectLst/>
            </c:spPr>
          </c:marker>
          <c:xVal>
            <c:numRef>
              <c:f>'Riesgo Residual'!$B$7</c:f>
              <c:numCache>
                <c:formatCode>0.00%</c:formatCode>
                <c:ptCount val="1"/>
                <c:pt idx="0">
                  <c:v>0.22011385728156646</c:v>
                </c:pt>
              </c:numCache>
            </c:numRef>
          </c:xVal>
          <c:yVal>
            <c:numRef>
              <c:f>'Riesgo Residual'!$C$7</c:f>
              <c:numCache>
                <c:formatCode>0.00%</c:formatCode>
                <c:ptCount val="1"/>
                <c:pt idx="0">
                  <c:v>0.10761636734776947</c:v>
                </c:pt>
              </c:numCache>
            </c:numRef>
          </c:yVal>
          <c:smooth val="0"/>
        </c:ser>
        <c:dLbls>
          <c:showBubbleSize val="0"/>
          <c:showCatName val="0"/>
          <c:showLeaderLines val="0"/>
          <c:showLegendKey val="0"/>
          <c:showPercent val="0"/>
          <c:showSerName val="0"/>
          <c:showVal val="0"/>
        </c:dLbls>
        <c:axId val="119821056"/>
        <c:axId val="119823360"/>
      </c:scatterChart>
      <c:valAx>
        <c:axId val="119821056"/>
        <c:scaling>
          <c:orientation val="minMax"/>
          <c:max val="1.1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Concentración</a:t>
                </a:r>
                <a:r>
                  <a:rPr lang="es-MX"/>
                  <a:t> de Pperaciones</a:t>
                </a:r>
                <a:endParaRPr lang="es-MX"/>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823360"/>
        <c:crosses val="autoZero"/>
        <c:crossBetween val="midCat"/>
        <c:majorUnit val="0.100000"/>
      </c:valAx>
      <c:valAx>
        <c:axId val="119823360"/>
        <c:scaling>
          <c:orientation val="minMax"/>
          <c:max val="1.1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19821056"/>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s-ES"/>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1" i="0" u="sng" strike="noStrike" spc="0">
                <a:solidFill>
                  <a:schemeClr val="tx1">
                    <a:lumMod val="65000"/>
                    <a:lumOff val="35000"/>
                  </a:schemeClr>
                </a:solidFill>
                <a:latin typeface="+mn-lt"/>
                <a:ea typeface="+mn-ea"/>
                <a:cs typeface="+mn-cs"/>
              </a:defRPr>
            </a:pPr>
            <a:r>
              <a:rPr lang="es-MX" b="1" u="sng"/>
              <a:t>Riesgo inherente por Indicador</a:t>
            </a:r>
            <a:endParaRPr/>
          </a:p>
        </c:rich>
      </c:tx>
      <c:layout/>
      <c:overlay val="0"/>
      <c:spPr bwMode="auto">
        <a:prstGeom prst="rect">
          <a:avLst/>
        </a:prstGeom>
        <a:noFill/>
        <a:ln>
          <a:noFill/>
        </a:ln>
        <a:effectLst/>
      </c:spPr>
    </c:title>
    <c:autoTitleDeleted val="0"/>
    <c:plotArea>
      <c:layout/>
      <c:scatterChart>
        <c:scatterStyle val="lineMarker"/>
        <c:varyColors val="0"/>
        <c:ser>
          <c:idx val="37"/>
          <c:order val="0"/>
          <c:tx>
            <c:strRef>
              <c:f>'Riesgo Inherente'!$A$10</c:f>
              <c:strCache>
                <c:ptCount val="1"/>
                <c:pt idx="0">
                  <c:v>1.1. Agentes Relacionados.</c:v>
                </c:pt>
              </c:strCache>
            </c:strRef>
          </c:tx>
          <c:marker>
            <c:symbol val="circle"/>
            <c:size val="5"/>
            <c:spPr bwMode="auto">
              <a:prstGeom prst="rect">
                <a:avLst/>
              </a:prstGeom>
              <a:solidFill>
                <a:schemeClr val="accent2">
                  <a:lumMod val="70000"/>
                  <a:lumOff val="30000"/>
                </a:schemeClr>
              </a:solidFill>
              <a:ln w="9525">
                <a:solidFill>
                  <a:schemeClr val="accent2">
                    <a:lumMod val="70000"/>
                    <a:lumOff val="30000"/>
                  </a:schemeClr>
                </a:solidFill>
              </a:ln>
              <a:effectLst/>
            </c:spPr>
          </c:marker>
          <c:xVal>
            <c:numRef>
              <c:f>'Riesgo Inherente'!$G$10</c:f>
              <c:numCache>
                <c:formatCode>0.00%</c:formatCode>
                <c:ptCount val="1"/>
                <c:pt idx="0">
                  <c:v>0.9068773790486974</c:v>
                </c:pt>
              </c:numCache>
            </c:numRef>
          </c:xVal>
          <c:yVal>
            <c:numRef>
              <c:f>'Riesgo Inherente'!$H$10</c:f>
              <c:numCache>
                <c:formatCode>0.00%</c:formatCode>
                <c:ptCount val="1"/>
                <c:pt idx="0">
                  <c:v>0.10235656377889184</c:v>
                </c:pt>
              </c:numCache>
            </c:numRef>
          </c:yVal>
          <c:smooth val="0"/>
        </c:ser>
        <c:ser>
          <c:idx val="38"/>
          <c:order val="1"/>
          <c:tx>
            <c:strRef>
              <c:f>'Riesgo Inherente'!$A$11</c:f>
              <c:strCache>
                <c:ptCount val="1"/>
                <c:pt idx="0">
                  <c:v>1.2. Terceros.</c:v>
                </c:pt>
              </c:strCache>
            </c:strRef>
          </c:tx>
          <c:marker>
            <c:symbol val="circle"/>
            <c:size val="5"/>
            <c:spPr bwMode="auto">
              <a:prstGeom prst="rect">
                <a:avLst/>
              </a:prstGeom>
              <a:solidFill>
                <a:schemeClr val="accent3">
                  <a:lumMod val="70000"/>
                  <a:lumOff val="30000"/>
                </a:schemeClr>
              </a:solidFill>
              <a:ln w="9525">
                <a:solidFill>
                  <a:schemeClr val="accent3">
                    <a:lumMod val="70000"/>
                    <a:lumOff val="30000"/>
                  </a:schemeClr>
                </a:solidFill>
              </a:ln>
              <a:effectLst/>
            </c:spPr>
          </c:marker>
          <c:xVal>
            <c:numRef>
              <c:f>'Riesgo Inherente'!$G$11</c:f>
              <c:numCache>
                <c:formatCode>0.00%</c:formatCode>
                <c:ptCount val="1"/>
                <c:pt idx="0">
                  <c:v>0.09599136959905276</c:v>
                </c:pt>
              </c:numCache>
            </c:numRef>
          </c:xVal>
          <c:yVal>
            <c:numRef>
              <c:f>'Riesgo Inherente'!$H$11</c:f>
              <c:numCache>
                <c:formatCode>0.00%</c:formatCode>
                <c:ptCount val="1"/>
                <c:pt idx="0">
                  <c:v>0.018862209581602125</c:v>
                </c:pt>
              </c:numCache>
            </c:numRef>
          </c:yVal>
          <c:smooth val="0"/>
        </c:ser>
        <c:ser>
          <c:idx val="42"/>
          <c:order val="2"/>
          <c:tx>
            <c:strRef>
              <c:f>'Riesgo Inherente'!$A$191</c:f>
              <c:strCache>
                <c:ptCount val="1"/>
                <c:pt idx="0">
                  <c:v>5.2. No-Presencial</c:v>
                </c:pt>
              </c:strCache>
            </c:strRef>
          </c:tx>
          <c:spPr bwMode="auto">
            <a:prstGeom prst="rect">
              <a:avLst/>
            </a:prstGeom>
            <a:ln w="19050" cap="rnd">
              <a:solidFill>
                <a:schemeClr val="accent1">
                  <a:lumMod val="70000"/>
                </a:schemeClr>
              </a:solidFill>
              <a:round/>
            </a:ln>
            <a:effectLst/>
          </c:spPr>
          <c:marker>
            <c:symbol val="circle"/>
            <c:size val="5"/>
            <c:spPr bwMode="auto">
              <a:prstGeom prst="rect">
                <a:avLst/>
              </a:prstGeom>
              <a:solidFill>
                <a:schemeClr val="accent1">
                  <a:lumMod val="70000"/>
                </a:schemeClr>
              </a:solidFill>
              <a:ln w="9525">
                <a:solidFill>
                  <a:schemeClr val="accent1">
                    <a:lumMod val="70000"/>
                  </a:schemeClr>
                </a:solidFill>
              </a:ln>
              <a:effectLst/>
            </c:spPr>
          </c:marker>
          <c:xVal>
            <c:numRef>
              <c:f>'Riesgo Inherente'!$E$190</c:f>
              <c:numCache>
                <c:formatCode>0.00%</c:formatCode>
                <c:ptCount val="1"/>
                <c:pt idx="0">
                  <c:v>1</c:v>
                </c:pt>
              </c:numCache>
            </c:numRef>
          </c:xVal>
          <c:yVal>
            <c:numRef>
              <c:f>'Riesgo Inherente'!$F$190</c:f>
              <c:numCache>
                <c:formatCode>0.00%</c:formatCode>
                <c:ptCount val="1"/>
                <c:pt idx="0">
                  <c:v>1</c:v>
                </c:pt>
              </c:numCache>
            </c:numRef>
          </c:yVal>
          <c:smooth val="0"/>
        </c:ser>
        <c:ser>
          <c:idx val="43"/>
          <c:order val="3"/>
          <c:tx>
            <c:strRef>
              <c:f>'Riesgo Inherente'!$A$190</c:f>
              <c:strCache>
                <c:ptCount val="1"/>
                <c:pt idx="0">
                  <c:v>5.1. Presencial</c:v>
                </c:pt>
              </c:strCache>
            </c:strRef>
          </c:tx>
          <c:spPr bwMode="auto">
            <a:prstGeom prst="rect">
              <a:avLst/>
            </a:prstGeom>
            <a:ln w="19050" cap="rnd">
              <a:solidFill>
                <a:schemeClr val="accent2">
                  <a:lumMod val="70000"/>
                </a:schemeClr>
              </a:solidFill>
              <a:round/>
            </a:ln>
            <a:effectLst/>
          </c:spPr>
          <c:marker>
            <c:symbol val="circle"/>
            <c:size val="5"/>
            <c:spPr bwMode="auto">
              <a:prstGeom prst="rect">
                <a:avLst/>
              </a:prstGeom>
              <a:solidFill>
                <a:schemeClr val="accent2">
                  <a:lumMod val="70000"/>
                </a:schemeClr>
              </a:solidFill>
              <a:ln w="9525">
                <a:solidFill>
                  <a:schemeClr val="accent2">
                    <a:lumMod val="70000"/>
                  </a:schemeClr>
                </a:solidFill>
              </a:ln>
              <a:effectLst/>
            </c:spPr>
          </c:marker>
          <c:xVal>
            <c:strRef>
              <c:f>'Riesgo Inherente'!#REF!</c:f>
              <c:strCache>
                <c:ptCount val="1"/>
                <c:pt idx="0">
                  <c:v>#¡REF!</c:v>
                </c:pt>
              </c:strCache>
            </c:strRef>
          </c:xVal>
          <c:yVal>
            <c:numRef>
              <c:f>'Riesgo Inherente'!#REF!</c:f>
              <c:numCache>
                <c:formatCode>General</c:formatCode>
                <c:ptCount val="1"/>
                <c:pt idx="0">
                  <c:v>1</c:v>
                </c:pt>
              </c:numCache>
            </c:numRef>
          </c:yVal>
          <c:smooth val="0"/>
        </c:ser>
        <c:ser>
          <c:idx val="44"/>
          <c:order val="4"/>
          <c:tx>
            <c:strRef>
              <c:f>'Riesgo Inherente'!$A$37</c:f>
              <c:strCache>
                <c:ptCount val="1"/>
                <c:pt idx="0">
                  <c:v>2.1. Persona Física.</c:v>
                </c:pt>
              </c:strCache>
            </c:strRef>
          </c:tx>
          <c:marker>
            <c:symbol val="circle"/>
            <c:size val="5"/>
            <c:spPr bwMode="auto">
              <a:prstGeom prst="rect">
                <a:avLst/>
              </a:prstGeom>
              <a:solidFill>
                <a:schemeClr val="accent3">
                  <a:lumMod val="70000"/>
                </a:schemeClr>
              </a:solidFill>
              <a:ln w="9525">
                <a:solidFill>
                  <a:schemeClr val="accent3">
                    <a:lumMod val="70000"/>
                  </a:schemeClr>
                </a:solidFill>
              </a:ln>
              <a:effectLst/>
            </c:spPr>
          </c:marker>
          <c:dPt>
            <c:idx val="0"/>
            <c:bubble3D val="0"/>
            <c:spPr bwMode="auto">
              <a:prstGeom prst="rect">
                <a:avLst/>
              </a:prstGeom>
              <a:ln w="19050" cap="rnd">
                <a:solidFill>
                  <a:schemeClr val="accent3">
                    <a:lumMod val="70000"/>
                  </a:schemeClr>
                </a:solidFill>
                <a:round/>
              </a:ln>
              <a:effectLst/>
            </c:spPr>
          </c:dPt>
          <c:xVal>
            <c:numRef>
              <c:f>'Riesgo Inherente'!$E$37</c:f>
              <c:numCache>
                <c:formatCode>0.00%</c:formatCode>
                <c:ptCount val="1"/>
                <c:pt idx="0">
                  <c:v>0.7500886089226912</c:v>
                </c:pt>
              </c:numCache>
            </c:numRef>
          </c:xVal>
          <c:yVal>
            <c:numRef>
              <c:f>'Riesgo Inherente'!$F$37</c:f>
              <c:numCache>
                <c:formatCode>0.00%</c:formatCode>
                <c:ptCount val="1"/>
                <c:pt idx="0">
                  <c:v>0.5933203794544275</c:v>
                </c:pt>
              </c:numCache>
            </c:numRef>
          </c:yVal>
          <c:smooth val="0"/>
        </c:ser>
        <c:ser>
          <c:idx val="47"/>
          <c:order val="5"/>
          <c:tx>
            <c:strRef>
              <c:f>'Riesgo Inherente'!$A$38</c:f>
              <c:strCache>
                <c:ptCount val="1"/>
                <c:pt idx="0">
                  <c:v>2.2. Persona Moral.</c:v>
                </c:pt>
              </c:strCache>
            </c:strRef>
          </c:tx>
          <c:spPr bwMode="auto">
            <a:prstGeom prst="rect">
              <a:avLst/>
            </a:prstGeom>
            <a:ln w="19050" cap="rnd">
              <a:solidFill>
                <a:schemeClr val="accent6">
                  <a:lumMod val="70000"/>
                </a:schemeClr>
              </a:solidFill>
              <a:round/>
            </a:ln>
            <a:effectLst/>
          </c:spPr>
          <c:marker>
            <c:symbol val="circle"/>
            <c:size val="5"/>
            <c:spPr bwMode="auto">
              <a:prstGeom prst="rect">
                <a:avLst/>
              </a:prstGeom>
              <a:solidFill>
                <a:schemeClr val="accent6">
                  <a:lumMod val="70000"/>
                </a:schemeClr>
              </a:solidFill>
              <a:ln w="9525">
                <a:solidFill>
                  <a:schemeClr val="accent6">
                    <a:lumMod val="70000"/>
                  </a:schemeClr>
                </a:solidFill>
              </a:ln>
              <a:effectLst/>
            </c:spPr>
          </c:marker>
          <c:xVal>
            <c:numRef>
              <c:f>'Riesgo Inherente'!$E$50</c:f>
              <c:numCache>
                <c:formatCode>0.00%</c:formatCode>
                <c:ptCount val="1"/>
              </c:numCache>
            </c:numRef>
          </c:xVal>
          <c:yVal>
            <c:numRef>
              <c:f>'Riesgo Inherente'!$F$50</c:f>
              <c:numCache>
                <c:formatCode>0.00%</c:formatCode>
                <c:ptCount val="1"/>
              </c:numCache>
            </c:numRef>
          </c:yVal>
          <c:smooth val="0"/>
        </c:ser>
        <c:ser>
          <c:idx val="0"/>
          <c:order val="6"/>
          <c:tx>
            <c:strRef>
              <c:f>'Riesgo Inherente'!$A$110</c:f>
              <c:strCache>
                <c:ptCount val="1"/>
                <c:pt idx="0">
                  <c:v>CAMPECHE</c:v>
                </c:pt>
              </c:strCache>
            </c:strRef>
          </c:tx>
          <c:xVal>
            <c:numRef>
              <c:f>'Riesgo Inherente'!$G$110</c:f>
              <c:numCache>
                <c:formatCode>0.00%</c:formatCode>
                <c:ptCount val="1"/>
                <c:pt idx="0">
                  <c:v>0.0005401457666996158</c:v>
                </c:pt>
              </c:numCache>
            </c:numRef>
          </c:xVal>
          <c:yVal>
            <c:numRef>
              <c:f>'Riesgo Inherente'!$H$110</c:f>
              <c:numCache>
                <c:formatCode>0.00%</c:formatCode>
                <c:ptCount val="1"/>
                <c:pt idx="0">
                  <c:v>0.3368650487193116</c:v>
                </c:pt>
              </c:numCache>
            </c:numRef>
          </c:yVal>
          <c:smooth val="0"/>
        </c:ser>
        <c:ser>
          <c:idx val="1"/>
          <c:order val="7"/>
          <c:tx>
            <c:strRef>
              <c:f>'Riesgo Inherente'!$A$116</c:f>
              <c:strCache>
                <c:ptCount val="1"/>
                <c:pt idx="0">
                  <c:v>DURANGO</c:v>
                </c:pt>
              </c:strCache>
            </c:strRef>
          </c:tx>
          <c:xVal>
            <c:numRef>
              <c:f>'Riesgo Inherente'!$G$116</c:f>
              <c:numCache>
                <c:formatCode>0.00%</c:formatCode>
                <c:ptCount val="1"/>
                <c:pt idx="0">
                  <c:v>0.018351636918786583</c:v>
                </c:pt>
              </c:numCache>
            </c:numRef>
          </c:xVal>
          <c:yVal>
            <c:numRef>
              <c:f>'Riesgo Inherente'!$H$116</c:f>
              <c:numCache>
                <c:formatCode>0.00%</c:formatCode>
                <c:ptCount val="1"/>
                <c:pt idx="0">
                  <c:v>0.30777582885347127</c:v>
                </c:pt>
              </c:numCache>
            </c:numRef>
          </c:yVal>
          <c:smooth val="0"/>
        </c:ser>
        <c:ser>
          <c:idx val="2"/>
          <c:order val="8"/>
          <c:tx>
            <c:strRef>
              <c:f>'Riesgo Inherente'!$A$122</c:f>
              <c:strCache>
                <c:ptCount val="1"/>
                <c:pt idx="0">
                  <c:v>MICHOACAN</c:v>
                </c:pt>
              </c:strCache>
            </c:strRef>
          </c:tx>
          <c:xVal>
            <c:numRef>
              <c:f>'Riesgo Inherente'!$G$122</c:f>
              <c:numCache>
                <c:formatCode>0.00%</c:formatCode>
                <c:ptCount val="1"/>
                <c:pt idx="0">
                  <c:v>0.0940435855783299</c:v>
                </c:pt>
              </c:numCache>
            </c:numRef>
          </c:xVal>
          <c:yVal>
            <c:numRef>
              <c:f>'Riesgo Inherente'!$H$122</c:f>
              <c:numCache>
                <c:formatCode>0.00%</c:formatCode>
                <c:ptCount val="1"/>
                <c:pt idx="0">
                  <c:v>0.4310234862211809</c:v>
                </c:pt>
              </c:numCache>
            </c:numRef>
          </c:yVal>
          <c:smooth val="0"/>
        </c:ser>
        <c:ser>
          <c:idx val="3"/>
          <c:order val="9"/>
          <c:tx>
            <c:strRef>
              <c:f>'Riesgo Inherente'!$A$135</c:f>
              <c:strCache>
                <c:ptCount val="1"/>
                <c:pt idx="0">
                  <c:v>VERACRUZ</c:v>
                </c:pt>
              </c:strCache>
            </c:strRef>
          </c:tx>
          <c:xVal>
            <c:numRef>
              <c:f>'Riesgo Inherente'!$G$135</c:f>
              <c:numCache>
                <c:formatCode>0.00%</c:formatCode>
                <c:ptCount val="1"/>
                <c:pt idx="0">
                  <c:v>0.027675821805264608</c:v>
                </c:pt>
              </c:numCache>
            </c:numRef>
          </c:xVal>
          <c:yVal>
            <c:numRef>
              <c:f>'Riesgo Inherente'!$H$135</c:f>
              <c:numCache>
                <c:formatCode>0.00%</c:formatCode>
                <c:ptCount val="1"/>
                <c:pt idx="0">
                  <c:v>0.14745513016925907</c:v>
                </c:pt>
              </c:numCache>
            </c:numRef>
          </c:yVal>
          <c:smooth val="0"/>
        </c:ser>
        <c:ser>
          <c:idx val="4"/>
          <c:order val="10"/>
          <c:tx>
            <c:strRef>
              <c:f>'Riesgo Inherente'!$A$179</c:f>
              <c:strCache>
                <c:ptCount val="1"/>
                <c:pt idx="0">
                  <c:v>4.1. Efectivo (Pesos mexicanos)</c:v>
                </c:pt>
              </c:strCache>
            </c:strRef>
          </c:tx>
          <c:xVal>
            <c:numRef>
              <c:f>'Riesgo Inherente'!$G$179</c:f>
              <c:numCache>
                <c:formatCode>0.00%</c:formatCode>
                <c:ptCount val="1"/>
                <c:pt idx="0">
                  <c:v>1</c:v>
                </c:pt>
              </c:numCache>
            </c:numRef>
          </c:xVal>
          <c:yVal>
            <c:numRef>
              <c:f>'Riesgo Inherente'!$H$179</c:f>
              <c:numCache>
                <c:formatCode>0.00%</c:formatCode>
                <c:ptCount val="1"/>
                <c:pt idx="0">
                  <c:v>0.20018117412190356</c:v>
                </c:pt>
              </c:numCache>
            </c:numRef>
          </c:yVal>
          <c:smooth val="0"/>
        </c:ser>
        <c:ser>
          <c:idx val="5"/>
          <c:order val="11"/>
          <c:tx>
            <c:strRef>
              <c:f>'Riesgo Inherente'!$A$190</c:f>
              <c:strCache>
                <c:ptCount val="1"/>
                <c:pt idx="0">
                  <c:v>5.1. Presencial</c:v>
                </c:pt>
              </c:strCache>
            </c:strRef>
          </c:tx>
          <c:xVal>
            <c:numRef>
              <c:f>'Riesgo Inherente'!$G$190</c:f>
              <c:numCache>
                <c:formatCode>0.00%</c:formatCode>
                <c:ptCount val="1"/>
                <c:pt idx="0">
                  <c:v>1</c:v>
                </c:pt>
              </c:numCache>
            </c:numRef>
          </c:xVal>
          <c:yVal>
            <c:numRef>
              <c:f>'Riesgo Inherente'!$H$190</c:f>
              <c:numCache>
                <c:formatCode>0.00%</c:formatCode>
                <c:ptCount val="1"/>
                <c:pt idx="0">
                  <c:v>0.28221889341840883</c:v>
                </c:pt>
              </c:numCache>
            </c:numRef>
          </c:yVal>
          <c:smooth val="0"/>
        </c:ser>
        <c:dLbls>
          <c:showBubbleSize val="0"/>
          <c:showCatName val="0"/>
          <c:showLeaderLines val="0"/>
          <c:showLegendKey val="0"/>
          <c:showPercent val="0"/>
          <c:showSerName val="0"/>
          <c:showVal val="0"/>
        </c:dLbls>
        <c:axId val="120043392"/>
        <c:axId val="120058240"/>
      </c:scatterChart>
      <c:valAx>
        <c:axId val="120043392"/>
        <c:scaling>
          <c:orientation val="minMax"/>
          <c:max val="1.100000"/>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Concentración de Operaciones </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20058240"/>
        <c:crosses val="autoZero"/>
        <c:crossBetween val="midCat"/>
        <c:majorUnit val="0.100000"/>
      </c:valAx>
      <c:valAx>
        <c:axId val="120058240"/>
        <c:scaling>
          <c:orientation val="minMax"/>
          <c:max val="1.100000"/>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s-MX"/>
                  <a:t>Factores de Riesgo Presentes</a:t>
                </a:r>
                <a:endParaRPr/>
              </a:p>
            </c:rich>
          </c:tx>
          <c:layout/>
          <c:overlay val="0"/>
          <c:spPr bwMode="auto">
            <a:prstGeom prst="rect">
              <a:avLst/>
            </a:prstGeom>
            <a:noFill/>
            <a:ln>
              <a:noFill/>
            </a:ln>
            <a:effectLst/>
          </c:spPr>
        </c:title>
        <c:numFmt formatCode="0" sourceLinked="0"/>
        <c:majorTickMark val="none"/>
        <c:minorTickMark val="none"/>
        <c:tickLblPos val="nextTo"/>
        <c:spPr bwMode="auto">
          <a:prstGeom prst="rect">
            <a:avLst/>
          </a:prstGeom>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crossAx val="120043392"/>
        <c:crosses val="autoZero"/>
        <c:crossBetween val="midCat"/>
        <c:majorUnit val="0.100000"/>
      </c:valAx>
      <c:spPr bwMode="auto">
        <a:prstGeom prst="rect">
          <a:avLst/>
        </a:prstGeom>
        <a:gradFill>
          <a:gsLst>
            <a:gs pos="25000">
              <a:srgbClr val="CCFFCC"/>
            </a:gs>
            <a:gs pos="50000">
              <a:srgbClr val="FFFF99"/>
            </a:gs>
            <a:gs pos="75000">
              <a:schemeClr val="accent2">
                <a:lumMod val="20000"/>
                <a:lumOff val="80000"/>
              </a:schemeClr>
            </a:gs>
            <a:gs pos="100000">
              <a:schemeClr val="accent2">
                <a:lumMod val="40000"/>
                <a:lumOff val="60000"/>
              </a:schemeClr>
            </a:gs>
          </a:gsLst>
          <a:lin ang="18900000" scaled="1"/>
        </a:grad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s-MX"/>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l="0.69999999999999996" r="0.69999999999999996" t="0.75" b="0.75" header="0.29999999999999999" footer="0.29999999999999999"/>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 Id="rId5" Type="http://schemas.openxmlformats.org/officeDocument/2006/relationships/chart" Target="../charts/chart5.xml" /><Relationship Id="rId6"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10</xdr:col>
      <xdr:colOff>42332</xdr:colOff>
      <xdr:row>3</xdr:row>
      <xdr:rowOff>27968</xdr:rowOff>
    </xdr:from>
    <xdr:to>
      <xdr:col>19</xdr:col>
      <xdr:colOff>126999</xdr:colOff>
      <xdr:row>27</xdr:row>
      <xdr:rowOff>158750</xdr:rowOff>
    </xdr:to>
    <xdr:graphicFrame>
      <xdr:nvGraphicFramePr>
        <xdr:cNvPr id="2" name="Gráfico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0</xdr:col>
      <xdr:colOff>0</xdr:colOff>
      <xdr:row>30</xdr:row>
      <xdr:rowOff>107342</xdr:rowOff>
    </xdr:from>
    <xdr:to>
      <xdr:col>8</xdr:col>
      <xdr:colOff>571500</xdr:colOff>
      <xdr:row>54</xdr:row>
      <xdr:rowOff>63500</xdr:rowOff>
    </xdr:to>
    <xdr:graphicFrame>
      <xdr:nvGraphicFramePr>
        <xdr:cNvPr id="3" name="Gráfico 2"/>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10</xdr:col>
      <xdr:colOff>36559</xdr:colOff>
      <xdr:row>30</xdr:row>
      <xdr:rowOff>113600</xdr:rowOff>
    </xdr:from>
    <xdr:to>
      <xdr:col>19</xdr:col>
      <xdr:colOff>121226</xdr:colOff>
      <xdr:row>54</xdr:row>
      <xdr:rowOff>43295</xdr:rowOff>
    </xdr:to>
    <xdr:graphicFrame>
      <xdr:nvGraphicFramePr>
        <xdr:cNvPr id="4" name="Gráfico 3"/>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0</xdr:col>
      <xdr:colOff>0</xdr:colOff>
      <xdr:row>56</xdr:row>
      <xdr:rowOff>80506</xdr:rowOff>
    </xdr:from>
    <xdr:to>
      <xdr:col>8</xdr:col>
      <xdr:colOff>635000</xdr:colOff>
      <xdr:row>83</xdr:row>
      <xdr:rowOff>127000</xdr:rowOff>
    </xdr:to>
    <xdr:graphicFrame>
      <xdr:nvGraphicFramePr>
        <xdr:cNvPr id="5" name="Gráfico 4"/>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twoCell">
    <xdr:from>
      <xdr:col>10</xdr:col>
      <xdr:colOff>40098</xdr:colOff>
      <xdr:row>56</xdr:row>
      <xdr:rowOff>27214</xdr:rowOff>
    </xdr:from>
    <xdr:to>
      <xdr:col>18</xdr:col>
      <xdr:colOff>793750</xdr:colOff>
      <xdr:row>83</xdr:row>
      <xdr:rowOff>158750</xdr:rowOff>
    </xdr:to>
    <xdr:graphicFrame>
      <xdr:nvGraphicFramePr>
        <xdr:cNvPr id="6" name="Gráfico 5"/>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0</xdr:col>
      <xdr:colOff>0</xdr:colOff>
      <xdr:row>3</xdr:row>
      <xdr:rowOff>35718</xdr:rowOff>
    </xdr:from>
    <xdr:to>
      <xdr:col>8</xdr:col>
      <xdr:colOff>635000</xdr:colOff>
      <xdr:row>28</xdr:row>
      <xdr:rowOff>-1</xdr:rowOff>
    </xdr:to>
    <xdr:graphicFrame>
      <xdr:nvGraphicFramePr>
        <xdr:cNvPr id="7" name="Gráfico 6"/>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J:\Operacion\Operacion\1.%20OPERACION%20MEXICO%20TPG\FOREX,%20OPCIONES%20Y%20TRADES%202023\TRADES%20MX%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ECUTIVO"/>
      <sheetName val="REPORTE"/>
      <sheetName val="REPORTE R"/>
      <sheetName val="REPORTE MAIL"/>
      <sheetName val="SPS"/>
      <sheetName val="EQUITY"/>
      <sheetName val="BONDS"/>
      <sheetName val="ACCOUNTS"/>
      <sheetName val="Suit"/>
    </sheetNames>
    <sheetDataSet>
      <sheetData sheetId="0" refreshError="1"/>
      <sheetData sheetId="1" refreshError="1"/>
      <sheetData sheetId="2" refreshError="1"/>
      <sheetData sheetId="3" refreshError="1"/>
      <sheetData sheetId="4"/>
      <sheetData sheetId="5">
        <row r="1">
          <cell r="A1" t="str">
            <v>TICKER</v>
          </cell>
          <cell r="C1" t="str">
            <v>NOMBRE</v>
          </cell>
        </row>
        <row r="2">
          <cell r="A2" t="str">
            <v>AA</v>
          </cell>
          <cell r="C2" t="str">
            <v>ALCOA</v>
          </cell>
        </row>
        <row r="3">
          <cell r="A3" t="str">
            <v>AAPL</v>
          </cell>
          <cell r="C3" t="str">
            <v>APPLE</v>
          </cell>
        </row>
        <row r="4">
          <cell r="A4" t="str">
            <v>ABBV</v>
          </cell>
          <cell r="C4" t="str">
            <v>ABBVIE</v>
          </cell>
        </row>
        <row r="5">
          <cell r="A5" t="str">
            <v>ABT</v>
          </cell>
          <cell r="C5" t="str">
            <v xml:space="preserve">ABBOT LABORATORIES</v>
          </cell>
        </row>
        <row r="6">
          <cell r="A6" t="str">
            <v>ABX</v>
          </cell>
          <cell r="C6" t="str">
            <v xml:space="preserve">BARRICK GOLD CORP</v>
          </cell>
        </row>
        <row r="7">
          <cell r="A7" t="str">
            <v>ACA</v>
          </cell>
          <cell r="C7" t="str">
            <v xml:space="preserve">CREDIT AGRICOLE</v>
          </cell>
        </row>
        <row r="8">
          <cell r="A8" t="str">
            <v>AIG</v>
          </cell>
          <cell r="C8" t="str">
            <v>AIG</v>
          </cell>
        </row>
        <row r="9">
          <cell r="A9" t="str">
            <v>ALLY</v>
          </cell>
          <cell r="C9" t="str">
            <v xml:space="preserve">ALLY FINANCIAL PFD</v>
          </cell>
        </row>
        <row r="10">
          <cell r="A10" t="str">
            <v>AMGN</v>
          </cell>
          <cell r="C10" t="str">
            <v xml:space="preserve">AMGEN INC</v>
          </cell>
        </row>
        <row r="11">
          <cell r="A11" t="str">
            <v>AMX</v>
          </cell>
          <cell r="C11" t="str">
            <v xml:space="preserve">AMERICA MOVIL ADR</v>
          </cell>
        </row>
        <row r="12">
          <cell r="A12" t="str">
            <v>AMXA</v>
          </cell>
          <cell r="C12" t="str">
            <v xml:space="preserve">AMERICA MOVIL A</v>
          </cell>
        </row>
        <row r="13">
          <cell r="A13" t="str">
            <v>AMXVF</v>
          </cell>
          <cell r="C13" t="str">
            <v xml:space="preserve">AMERICA MOVIL L</v>
          </cell>
        </row>
        <row r="14">
          <cell r="A14" t="str">
            <v>AMZN</v>
          </cell>
          <cell r="C14" t="str">
            <v>AMAZON</v>
          </cell>
        </row>
        <row r="15">
          <cell r="A15" t="str">
            <v>ARCC</v>
          </cell>
          <cell r="C15" t="str">
            <v xml:space="preserve">ARES CAPITAL CORP</v>
          </cell>
        </row>
        <row r="16">
          <cell r="A16" t="str">
            <v>ARGAN</v>
          </cell>
          <cell r="C16" t="str">
            <v xml:space="preserve">ARGAN INC</v>
          </cell>
        </row>
        <row r="17">
          <cell r="A17" t="str">
            <v>AUTLANB</v>
          </cell>
          <cell r="C17" t="str">
            <v xml:space="preserve">MINERA AUTLAN</v>
          </cell>
        </row>
        <row r="18">
          <cell r="A18" t="str">
            <v>AXP</v>
          </cell>
          <cell r="C18" t="str">
            <v xml:space="preserve">AMERICAN EXPRESS</v>
          </cell>
        </row>
        <row r="19">
          <cell r="A19" t="str">
            <v>BA</v>
          </cell>
          <cell r="C19" t="str">
            <v>BOEING</v>
          </cell>
        </row>
        <row r="20">
          <cell r="A20" t="str">
            <v>BAC</v>
          </cell>
          <cell r="C20" t="str">
            <v xml:space="preserve">BANK OF AMERICA</v>
          </cell>
        </row>
        <row r="21">
          <cell r="A21" t="str">
            <v>BBRY</v>
          </cell>
          <cell r="C21" t="str">
            <v xml:space="preserve">BLACKBERRY LTD</v>
          </cell>
        </row>
        <row r="22">
          <cell r="A22" t="str">
            <v xml:space="preserve">BBVA </v>
          </cell>
          <cell r="C22" t="str">
            <v xml:space="preserve">BBVA ARGENTINA RIGTH</v>
          </cell>
        </row>
        <row r="23">
          <cell r="A23" t="str">
            <v>BBY</v>
          </cell>
          <cell r="C23" t="str">
            <v xml:space="preserve">BEST BUY</v>
          </cell>
        </row>
        <row r="24">
          <cell r="A24" t="str">
            <v>BEBE</v>
          </cell>
          <cell r="C24" t="str">
            <v xml:space="preserve">BEBE STORES INC COM </v>
          </cell>
        </row>
        <row r="25">
          <cell r="A25" t="str">
            <v>BELG</v>
          </cell>
          <cell r="C25" t="str">
            <v>BELGACOM</v>
          </cell>
        </row>
        <row r="26">
          <cell r="A26" t="str">
            <v>BHI</v>
          </cell>
          <cell r="C26" t="str">
            <v xml:space="preserve">BAKER HUGHES</v>
          </cell>
        </row>
        <row r="27">
          <cell r="A27" t="str">
            <v>BIDU</v>
          </cell>
          <cell r="C27" t="str">
            <v>BAIDU</v>
          </cell>
        </row>
        <row r="28">
          <cell r="A28" t="str">
            <v>BIIB</v>
          </cell>
          <cell r="C28" t="str">
            <v xml:space="preserve">BIOGEN IDEC INC COM</v>
          </cell>
        </row>
        <row r="29">
          <cell r="A29" t="str">
            <v>BIVV</v>
          </cell>
          <cell r="C29" t="str">
            <v xml:space="preserve">BIOVERATIV INC COM</v>
          </cell>
        </row>
        <row r="30">
          <cell r="A30" t="str">
            <v>BLK</v>
          </cell>
          <cell r="C30" t="str">
            <v xml:space="preserve">BLACKROCK INC</v>
          </cell>
        </row>
        <row r="31">
          <cell r="A31" t="str">
            <v>BP</v>
          </cell>
          <cell r="C31" t="str">
            <v xml:space="preserve">BP PLC SPONS ADR</v>
          </cell>
        </row>
        <row r="32">
          <cell r="A32" t="str">
            <v>BMY</v>
          </cell>
          <cell r="C32" t="str">
            <v xml:space="preserve">Bristol-Myers Squibb Company</v>
          </cell>
        </row>
        <row r="33">
          <cell r="A33" t="str">
            <v>BKNG</v>
          </cell>
          <cell r="C33" t="str">
            <v xml:space="preserve">BOOKING PLC</v>
          </cell>
        </row>
        <row r="34">
          <cell r="A34" t="str">
            <v>BRK</v>
          </cell>
          <cell r="C34" t="str">
            <v xml:space="preserve">BERKSHIRE HATHAWAY INC </v>
          </cell>
        </row>
        <row r="35">
          <cell r="A35" t="str">
            <v>C</v>
          </cell>
          <cell r="C35" t="str">
            <v>CITIGROUP</v>
          </cell>
        </row>
        <row r="36">
          <cell r="A36" t="str">
            <v>CAG</v>
          </cell>
          <cell r="C36" t="str">
            <v xml:space="preserve">CONAGRA FOODS</v>
          </cell>
        </row>
        <row r="37">
          <cell r="A37" t="str">
            <v>CAT</v>
          </cell>
          <cell r="C37" t="str">
            <v>CATERPILLAR</v>
          </cell>
        </row>
        <row r="38">
          <cell r="A38" t="str">
            <v>CELG</v>
          </cell>
          <cell r="C38" t="str">
            <v xml:space="preserve">CELGENE CORP</v>
          </cell>
        </row>
        <row r="39">
          <cell r="A39" t="str">
            <v>CEMEXCPO</v>
          </cell>
          <cell r="C39" t="str">
            <v>CEMEX</v>
          </cell>
        </row>
        <row r="40">
          <cell r="A40" t="str">
            <v>CFG</v>
          </cell>
          <cell r="C40" t="str">
            <v xml:space="preserve">CITIZENS FINL GROUP INC COM</v>
          </cell>
        </row>
        <row r="41">
          <cell r="A41" t="str">
            <v>CLX</v>
          </cell>
          <cell r="C41" t="str">
            <v xml:space="preserve">CLOROX COMPANY</v>
          </cell>
        </row>
        <row r="42">
          <cell r="A42" t="str">
            <v>CMO</v>
          </cell>
          <cell r="C42" t="str">
            <v xml:space="preserve">CAPSTATE MORGAGE</v>
          </cell>
        </row>
        <row r="43">
          <cell r="A43" t="str">
            <v>CNL:CA</v>
          </cell>
          <cell r="C43" t="str">
            <v xml:space="preserve">CONTINENTAL GOLD INC</v>
          </cell>
        </row>
        <row r="44">
          <cell r="A44" t="str">
            <v xml:space="preserve">CO FP</v>
          </cell>
          <cell r="C44" t="str">
            <v xml:space="preserve">CASINO GUICHARD</v>
          </cell>
        </row>
        <row r="45">
          <cell r="A45" t="str">
            <v>COH</v>
          </cell>
          <cell r="C45" t="str">
            <v>COACH</v>
          </cell>
        </row>
        <row r="46">
          <cell r="A46" t="str">
            <v>COP</v>
          </cell>
          <cell r="C46" t="str">
            <v>CONOCOPHILLIPS</v>
          </cell>
        </row>
        <row r="47">
          <cell r="A47" t="str">
            <v>COST</v>
          </cell>
          <cell r="C47" t="str">
            <v>COSTCO</v>
          </cell>
        </row>
        <row r="48">
          <cell r="A48" t="str">
            <v>CPA</v>
          </cell>
          <cell r="C48" t="str">
            <v xml:space="preserve">COPA HOLDINGS SA</v>
          </cell>
        </row>
        <row r="49">
          <cell r="A49" t="str">
            <v>CSCO</v>
          </cell>
          <cell r="C49" t="str">
            <v xml:space="preserve">CISCO SYSTEM</v>
          </cell>
        </row>
        <row r="50">
          <cell r="A50" t="str">
            <v>CTVA</v>
          </cell>
          <cell r="C50" t="str">
            <v>CORTEVA</v>
          </cell>
        </row>
        <row r="51">
          <cell r="A51" t="str">
            <v>CVS</v>
          </cell>
          <cell r="C51" t="str">
            <v xml:space="preserve">CVS HEALTH CORP</v>
          </cell>
        </row>
        <row r="52">
          <cell r="A52" t="str">
            <v>CVX</v>
          </cell>
          <cell r="C52" t="str">
            <v>CHEVRON</v>
          </cell>
        </row>
        <row r="53">
          <cell r="A53" t="str">
            <v>CX</v>
          </cell>
          <cell r="C53" t="str">
            <v>CEMEX</v>
          </cell>
        </row>
        <row r="54">
          <cell r="A54" t="str">
            <v>DAI</v>
          </cell>
          <cell r="C54" t="str">
            <v xml:space="preserve">DAIMLER AG</v>
          </cell>
        </row>
        <row r="55">
          <cell r="A55" t="str">
            <v>DD</v>
          </cell>
          <cell r="C55" t="str">
            <v xml:space="preserve">DU PONT</v>
          </cell>
        </row>
        <row r="56">
          <cell r="A56" t="str">
            <v>DE</v>
          </cell>
          <cell r="C56" t="str">
            <v xml:space="preserve">JOHN DEERE</v>
          </cell>
        </row>
        <row r="57">
          <cell r="A57" t="str">
            <v>DIS</v>
          </cell>
          <cell r="C57" t="str">
            <v>DISNEY</v>
          </cell>
        </row>
        <row r="58">
          <cell r="A58" t="str">
            <v>DTE</v>
          </cell>
          <cell r="C58" t="str">
            <v xml:space="preserve">DEUTSCHE TELEKOM</v>
          </cell>
        </row>
        <row r="59">
          <cell r="A59" t="str">
            <v>DWCH</v>
          </cell>
          <cell r="C59" t="str">
            <v xml:space="preserve">DATAWATCH COPR</v>
          </cell>
        </row>
        <row r="60">
          <cell r="A60" t="str">
            <v>DWDP</v>
          </cell>
          <cell r="C60" t="str">
            <v xml:space="preserve">DOWDUPONT INC</v>
          </cell>
        </row>
        <row r="61">
          <cell r="A61" t="str">
            <v>ED</v>
          </cell>
          <cell r="C61" t="str">
            <v xml:space="preserve">CONSOLIDATED EDISON</v>
          </cell>
        </row>
        <row r="62">
          <cell r="A62" t="str">
            <v>ETH</v>
          </cell>
          <cell r="C62" t="str">
            <v xml:space="preserve">ETHAN ALLEN INTERIORS INC</v>
          </cell>
        </row>
        <row r="63">
          <cell r="A63" t="str">
            <v>EXC</v>
          </cell>
          <cell r="C63" t="str">
            <v xml:space="preserve">EXCELON CORP</v>
          </cell>
        </row>
        <row r="64">
          <cell r="A64" t="str">
            <v>EXPE</v>
          </cell>
          <cell r="C64" t="str">
            <v xml:space="preserve">EXPEDIA INC</v>
          </cell>
        </row>
        <row r="65">
          <cell r="A65" t="str">
            <v>F</v>
          </cell>
          <cell r="C65" t="str">
            <v>FORD</v>
          </cell>
        </row>
        <row r="66">
          <cell r="A66" t="str">
            <v>FB</v>
          </cell>
          <cell r="C66" t="str">
            <v xml:space="preserve">FACEBOOK INC</v>
          </cell>
        </row>
        <row r="67">
          <cell r="A67" t="str">
            <v>FDX</v>
          </cell>
          <cell r="C67" t="str">
            <v>FEDEX</v>
          </cell>
        </row>
        <row r="68">
          <cell r="A68" t="str">
            <v>FGD</v>
          </cell>
          <cell r="C68" t="str">
            <v xml:space="preserve">FIRST TR EXCHANGE-TRADED FD II FIRST TR DOW JONES GLOBAL DIVIDENDN INDEX FD</v>
          </cell>
        </row>
        <row r="69">
          <cell r="A69" t="str">
            <v>FINDEP</v>
          </cell>
          <cell r="C69" t="str">
            <v xml:space="preserve">FINANCIERA INDEPENDENCIA</v>
          </cell>
        </row>
        <row r="70">
          <cell r="A70" t="str">
            <v>FONR</v>
          </cell>
          <cell r="C70" t="str">
            <v xml:space="preserve">FONAR CORPORATION</v>
          </cell>
        </row>
        <row r="71">
          <cell r="A71" t="str">
            <v>FP</v>
          </cell>
          <cell r="C71" t="str">
            <v xml:space="preserve">TOTAL SA</v>
          </cell>
        </row>
        <row r="72">
          <cell r="A72" t="str">
            <v>FSLR</v>
          </cell>
          <cell r="C72" t="str">
            <v xml:space="preserve">FIRST SOLAR INC</v>
          </cell>
        </row>
        <row r="73">
          <cell r="A73" t="str">
            <v>FTE</v>
          </cell>
          <cell r="C73" t="str">
            <v xml:space="preserve">FRANCE TELECOM</v>
          </cell>
        </row>
        <row r="74">
          <cell r="A74" t="str">
            <v xml:space="preserve">FTE FP</v>
          </cell>
          <cell r="C74" t="str">
            <v xml:space="preserve">FRANCE TELECOM</v>
          </cell>
        </row>
        <row r="75">
          <cell r="A75" t="str">
            <v>GARS</v>
          </cell>
          <cell r="C75" t="str">
            <v xml:space="preserve">GARRISON CAP INC COM</v>
          </cell>
        </row>
        <row r="76">
          <cell r="A76" t="str">
            <v>GE</v>
          </cell>
          <cell r="C76" t="str">
            <v xml:space="preserve">GENERAL ELECTRIC</v>
          </cell>
        </row>
        <row r="77">
          <cell r="A77" t="str">
            <v>GEO</v>
          </cell>
          <cell r="C77" t="str">
            <v xml:space="preserve">THE GEO GROUP</v>
          </cell>
        </row>
        <row r="78">
          <cell r="A78" t="str">
            <v>GEOB</v>
          </cell>
          <cell r="C78" t="str">
            <v xml:space="preserve">GEO SAB</v>
          </cell>
        </row>
        <row r="79">
          <cell r="A79" t="str">
            <v>GLD</v>
          </cell>
          <cell r="C79" t="str">
            <v xml:space="preserve">SPDR GOLD</v>
          </cell>
        </row>
        <row r="80">
          <cell r="A80" t="str">
            <v>GM</v>
          </cell>
          <cell r="C80" t="str">
            <v xml:space="preserve">GENERAL MOTORS</v>
          </cell>
        </row>
        <row r="81">
          <cell r="A81" t="str">
            <v xml:space="preserve">GM WTS A</v>
          </cell>
          <cell r="C81" t="str">
            <v xml:space="preserve">GM WARRANTS A</v>
          </cell>
        </row>
        <row r="82">
          <cell r="A82" t="str">
            <v xml:space="preserve">GM WTS B</v>
          </cell>
          <cell r="C82" t="str">
            <v xml:space="preserve">GM WARRANTS B</v>
          </cell>
        </row>
        <row r="83">
          <cell r="A83" t="str">
            <v>GMK</v>
          </cell>
          <cell r="C83" t="str">
            <v xml:space="preserve">GRUMA ADR</v>
          </cell>
        </row>
        <row r="84">
          <cell r="A84" t="str">
            <v>GOOG</v>
          </cell>
          <cell r="C84" t="str">
            <v>GOOGLE</v>
          </cell>
        </row>
        <row r="85">
          <cell r="A85" t="str">
            <v>GS</v>
          </cell>
          <cell r="C85" t="str">
            <v xml:space="preserve">GOLDMAN SACHS</v>
          </cell>
        </row>
        <row r="86">
          <cell r="A86" t="str">
            <v>GSK</v>
          </cell>
          <cell r="C86" t="str">
            <v>GLAXOSMITHKLINE</v>
          </cell>
        </row>
        <row r="87">
          <cell r="A87" t="str">
            <v>GSZ</v>
          </cell>
          <cell r="C87" t="str">
            <v xml:space="preserve">GDF SUEZ</v>
          </cell>
        </row>
        <row r="88">
          <cell r="A88" t="str">
            <v>HAL</v>
          </cell>
          <cell r="C88" t="str">
            <v>HALLIBURTON</v>
          </cell>
        </row>
        <row r="89">
          <cell r="A89" t="str">
            <v>HD</v>
          </cell>
          <cell r="C89" t="str">
            <v xml:space="preserve">HOME DEPOT</v>
          </cell>
        </row>
        <row r="90">
          <cell r="A90" t="str">
            <v>HEIA</v>
          </cell>
          <cell r="C90" t="str">
            <v>HEINEKEN</v>
          </cell>
        </row>
        <row r="91">
          <cell r="A91" t="str">
            <v>HNZ</v>
          </cell>
          <cell r="C91" t="str">
            <v>HEINZ</v>
          </cell>
        </row>
        <row r="92">
          <cell r="A92" t="str">
            <v>HOFT</v>
          </cell>
          <cell r="C92" t="str">
            <v xml:space="preserve">HOOKER FURNITURE</v>
          </cell>
        </row>
        <row r="93">
          <cell r="A93" t="str">
            <v>HOGARB</v>
          </cell>
          <cell r="C93" t="str">
            <v xml:space="preserve">CONSORCIO HOGAR</v>
          </cell>
        </row>
        <row r="94">
          <cell r="A94" t="str">
            <v>HPQ</v>
          </cell>
          <cell r="C94" t="str">
            <v>HEWLETT-PACKARD</v>
          </cell>
        </row>
        <row r="95">
          <cell r="A95" t="str">
            <v>HRL</v>
          </cell>
          <cell r="C95" t="str">
            <v xml:space="preserve">HORMEL FOODS CORP</v>
          </cell>
        </row>
        <row r="96">
          <cell r="A96" t="str">
            <v>HTGC</v>
          </cell>
          <cell r="C96" t="str">
            <v xml:space="preserve">HERCULES TECHNOLOGY GROWHT CAPITAL INC</v>
          </cell>
        </row>
        <row r="97">
          <cell r="A97" t="str">
            <v>HUM</v>
          </cell>
          <cell r="C97" t="str">
            <v xml:space="preserve">HUMANA INC</v>
          </cell>
        </row>
        <row r="98">
          <cell r="A98" t="str">
            <v>IBM</v>
          </cell>
          <cell r="C98" t="str">
            <v>IBM</v>
          </cell>
        </row>
        <row r="99">
          <cell r="A99" t="str">
            <v>ICA</v>
          </cell>
          <cell r="C99" t="str">
            <v xml:space="preserve">EMPRESAS ICA ADR</v>
          </cell>
        </row>
        <row r="100">
          <cell r="A100" t="str">
            <v>IDV</v>
          </cell>
          <cell r="C100" t="str">
            <v xml:space="preserve">ISHARES DJ INTL DIVIDEND</v>
          </cell>
        </row>
        <row r="101">
          <cell r="A101" t="str">
            <v>INGR</v>
          </cell>
          <cell r="C101" t="str">
            <v xml:space="preserve">INGREDION INC</v>
          </cell>
        </row>
        <row r="102">
          <cell r="A102" t="str">
            <v>INTC</v>
          </cell>
          <cell r="C102" t="str">
            <v xml:space="preserve">INTEL CORP</v>
          </cell>
        </row>
        <row r="103">
          <cell r="A103" t="str">
            <v>IP</v>
          </cell>
          <cell r="C103" t="str">
            <v xml:space="preserve">INTERNATIONAL PAPER CO</v>
          </cell>
        </row>
        <row r="104">
          <cell r="A104" t="str">
            <v>ITX</v>
          </cell>
          <cell r="C104" t="str">
            <v>INDITEX</v>
          </cell>
        </row>
        <row r="105">
          <cell r="A105" t="str">
            <v>JCP</v>
          </cell>
          <cell r="C105" t="str">
            <v xml:space="preserve">JC PENNEY</v>
          </cell>
        </row>
        <row r="106">
          <cell r="A106" t="str">
            <v>JNJ</v>
          </cell>
          <cell r="C106" t="str">
            <v xml:space="preserve">JOHNSON &amp; JOHNSON</v>
          </cell>
        </row>
        <row r="107">
          <cell r="A107" t="str">
            <v>JPM</v>
          </cell>
          <cell r="C107" t="str">
            <v xml:space="preserve">JP MORGAN CHASE</v>
          </cell>
        </row>
        <row r="108">
          <cell r="A108" t="str">
            <v>KCG</v>
          </cell>
          <cell r="C108" t="str">
            <v xml:space="preserve">KNIGHT CAPITAL</v>
          </cell>
        </row>
        <row r="109">
          <cell r="A109" t="str">
            <v>KKD</v>
          </cell>
          <cell r="C109" t="str">
            <v xml:space="preserve">KRISPY KREME DGHNTS</v>
          </cell>
        </row>
        <row r="110">
          <cell r="A110" t="str">
            <v>KMB</v>
          </cell>
          <cell r="C110" t="str">
            <v xml:space="preserve">KIMBERLY CLARK</v>
          </cell>
        </row>
        <row r="111">
          <cell r="A111" t="str">
            <v>KMP</v>
          </cell>
          <cell r="C111" t="str">
            <v xml:space="preserve">KINDER MORGAN ENERY PARTNERS</v>
          </cell>
        </row>
        <row r="112">
          <cell r="A112" t="str">
            <v>KO</v>
          </cell>
          <cell r="C112" t="str">
            <v xml:space="preserve">COCA COLA</v>
          </cell>
        </row>
        <row r="113">
          <cell r="A113" t="str">
            <v xml:space="preserve">KPN NL</v>
          </cell>
          <cell r="C113" t="str">
            <v>KONINKLIJKE</v>
          </cell>
        </row>
        <row r="114">
          <cell r="A114" t="str">
            <v>KRFT</v>
          </cell>
          <cell r="C114" t="str">
            <v xml:space="preserve">KRAFT FOODS </v>
          </cell>
        </row>
        <row r="115">
          <cell r="A115" t="str">
            <v>KSS</v>
          </cell>
          <cell r="C115" t="str">
            <v xml:space="preserve">KOHLS CORP</v>
          </cell>
        </row>
        <row r="116">
          <cell r="A116" t="str">
            <v>LVS</v>
          </cell>
          <cell r="C116" t="str">
            <v xml:space="preserve">LAS VEGAS SANDS</v>
          </cell>
        </row>
        <row r="117">
          <cell r="A117" t="str">
            <v xml:space="preserve">LVS* </v>
          </cell>
          <cell r="C117" t="str">
            <v xml:space="preserve">LAS VEGAS SANDS</v>
          </cell>
        </row>
        <row r="118">
          <cell r="A118" t="str">
            <v>LZB</v>
          </cell>
          <cell r="C118" t="str">
            <v xml:space="preserve">LA-Z-BOY INC</v>
          </cell>
        </row>
        <row r="119">
          <cell r="A119" t="str">
            <v>MCD</v>
          </cell>
          <cell r="C119" t="str">
            <v>MCDONALDS</v>
          </cell>
        </row>
        <row r="120">
          <cell r="A120" t="str">
            <v>MEGACPO</v>
          </cell>
          <cell r="C120" t="str">
            <v>MEGACABLE</v>
          </cell>
        </row>
        <row r="121">
          <cell r="A121" t="str">
            <v>MET</v>
          </cell>
          <cell r="C121" t="str">
            <v xml:space="preserve">METLIFE INC</v>
          </cell>
        </row>
        <row r="122">
          <cell r="A122" t="str">
            <v>MEXCHEM</v>
          </cell>
          <cell r="C122" t="str">
            <v xml:space="preserve">MEXICHEM SAB DE CV</v>
          </cell>
        </row>
        <row r="123">
          <cell r="A123" t="str">
            <v>MGM</v>
          </cell>
          <cell r="C123" t="str">
            <v>MGM</v>
          </cell>
        </row>
        <row r="124">
          <cell r="A124" t="str">
            <v>MO</v>
          </cell>
          <cell r="C124" t="str">
            <v xml:space="preserve">ALTRIA GROUP</v>
          </cell>
        </row>
        <row r="125">
          <cell r="A125" t="str">
            <v>MON</v>
          </cell>
          <cell r="C125" t="str">
            <v>MONSANTO</v>
          </cell>
        </row>
        <row r="126">
          <cell r="A126" t="str">
            <v>MRCC</v>
          </cell>
          <cell r="C126" t="str">
            <v xml:space="preserve">MONROE CAPITAL CORP</v>
          </cell>
        </row>
        <row r="127">
          <cell r="A127" t="str">
            <v>MRK</v>
          </cell>
          <cell r="C127" t="str">
            <v>MERCK</v>
          </cell>
        </row>
        <row r="128">
          <cell r="A128" t="str">
            <v>MRO</v>
          </cell>
          <cell r="C128" t="str">
            <v xml:space="preserve">MARATHON OIL</v>
          </cell>
        </row>
        <row r="129">
          <cell r="A129" t="str">
            <v>MS</v>
          </cell>
          <cell r="C129" t="str">
            <v xml:space="preserve">MORGAN STANLEY</v>
          </cell>
        </row>
        <row r="130">
          <cell r="A130" t="str">
            <v>MSFT</v>
          </cell>
          <cell r="C130" t="str">
            <v>MICROSOFT</v>
          </cell>
        </row>
        <row r="131">
          <cell r="A131" t="str">
            <v>MTB</v>
          </cell>
          <cell r="C131" t="str">
            <v xml:space="preserve">M AND T BANK CORP</v>
          </cell>
        </row>
        <row r="132">
          <cell r="A132" t="str">
            <v>MTLQU</v>
          </cell>
          <cell r="C132" t="str">
            <v xml:space="preserve">MOTORS LIQUIDATION</v>
          </cell>
        </row>
        <row r="133">
          <cell r="A133" t="str">
            <v>NEM</v>
          </cell>
          <cell r="C133" t="str">
            <v xml:space="preserve">NEWMONT MINING CORP</v>
          </cell>
        </row>
        <row r="134">
          <cell r="A134" t="str">
            <v>NSRGY</v>
          </cell>
          <cell r="C134" t="str">
            <v xml:space="preserve">NESTLE SA SPONSOR ADR</v>
          </cell>
        </row>
        <row r="135">
          <cell r="A135" t="str">
            <v>NSU</v>
          </cell>
          <cell r="C135" t="str">
            <v>NEVSUN</v>
          </cell>
        </row>
        <row r="136">
          <cell r="A136" t="str">
            <v>NVDA</v>
          </cell>
          <cell r="C136" t="str">
            <v>NVIDIA</v>
          </cell>
        </row>
        <row r="137">
          <cell r="A137" t="str">
            <v>OXY</v>
          </cell>
          <cell r="C137" t="str">
            <v xml:space="preserve">OCCIDENTAL PETROLEUM CORPORATION</v>
          </cell>
        </row>
        <row r="138">
          <cell r="A138" t="str">
            <v>PBI</v>
          </cell>
          <cell r="C138" t="str">
            <v xml:space="preserve">PITNEY BOWES</v>
          </cell>
        </row>
        <row r="139">
          <cell r="A139" t="str">
            <v>PE&amp;OLES*</v>
          </cell>
          <cell r="C139" t="str">
            <v xml:space="preserve">INDUSTRIAS PEÑOLES</v>
          </cell>
        </row>
        <row r="140">
          <cell r="A140" t="str">
            <v>PEP</v>
          </cell>
          <cell r="C140" t="str">
            <v xml:space="preserve">PEPSICO INC COM</v>
          </cell>
        </row>
        <row r="141">
          <cell r="A141" t="str">
            <v>PFE</v>
          </cell>
          <cell r="C141" t="str">
            <v>PFIZER</v>
          </cell>
        </row>
        <row r="142">
          <cell r="A142" t="str">
            <v>PG</v>
          </cell>
        </row>
        <row r="143">
          <cell r="A143" t="str">
            <v>PGH</v>
          </cell>
          <cell r="C143" t="str">
            <v xml:space="preserve">PENGROWTH ENERGY </v>
          </cell>
        </row>
        <row r="144">
          <cell r="A144" t="str">
            <v>PHIA</v>
          </cell>
          <cell r="C144" t="str">
            <v xml:space="preserve">ROYAL PHILLPPS</v>
          </cell>
        </row>
        <row r="145">
          <cell r="A145" t="str">
            <v>POCHTECB</v>
          </cell>
          <cell r="C145" t="str">
            <v>POCHTECA</v>
          </cell>
        </row>
        <row r="146">
          <cell r="A146" t="str">
            <v>PRU</v>
          </cell>
          <cell r="C146" t="str">
            <v xml:space="preserve">PRUDENTIAL FINANCIAL INC</v>
          </cell>
        </row>
        <row r="147">
          <cell r="A147" t="str">
            <v>QCOM</v>
          </cell>
          <cell r="C147" t="str">
            <v xml:space="preserve">QUALCOMM INC</v>
          </cell>
        </row>
        <row r="148">
          <cell r="A148" t="str">
            <v>QCOR</v>
          </cell>
          <cell r="C148" t="str">
            <v xml:space="preserve">QUESTCOR PHARMACEUTICAL</v>
          </cell>
        </row>
        <row r="149">
          <cell r="A149" t="str">
            <v>QQQ</v>
          </cell>
          <cell r="C149" t="str">
            <v xml:space="preserve">POWERSHARES - QQQ</v>
          </cell>
        </row>
        <row r="150">
          <cell r="A150" t="str">
            <v>RAI</v>
          </cell>
          <cell r="C150" t="str">
            <v xml:space="preserve">REYNOLDS AMERN INC COM</v>
          </cell>
        </row>
        <row r="151">
          <cell r="A151" t="str">
            <v>RDSA</v>
          </cell>
          <cell r="C151" t="str">
            <v xml:space="preserve">ROYAL DUTCH SHELL PLC </v>
          </cell>
        </row>
        <row r="152">
          <cell r="A152" t="str">
            <v>RDSB.L</v>
          </cell>
          <cell r="C152" t="str">
            <v xml:space="preserve">ROYAL DUTCH SHELL B</v>
          </cell>
        </row>
        <row r="153">
          <cell r="A153" t="str">
            <v>RHHBY</v>
          </cell>
          <cell r="C153" t="str">
            <v xml:space="preserve">ROCHE HLDGS LT SPONSORED ADR</v>
          </cell>
        </row>
        <row r="154">
          <cell r="A154" t="str">
            <v>RL</v>
          </cell>
          <cell r="C154" t="str">
            <v xml:space="preserve">RALPH LAUREN</v>
          </cell>
        </row>
        <row r="155">
          <cell r="A155" t="str">
            <v>RNR</v>
          </cell>
          <cell r="C155" t="str">
            <v xml:space="preserve">RENAISSANCERE HOLDINGS</v>
          </cell>
        </row>
        <row r="156">
          <cell r="A156" t="str">
            <v>SAN</v>
          </cell>
          <cell r="C156" t="str">
            <v xml:space="preserve">SANOFI AVENTIS</v>
          </cell>
        </row>
        <row r="157">
          <cell r="A157" t="str">
            <v xml:space="preserve">SAN US</v>
          </cell>
          <cell r="C157" t="str">
            <v xml:space="preserve">BANCO SANTANDER SA-SPON ADR</v>
          </cell>
        </row>
        <row r="158">
          <cell r="A158" t="str">
            <v>SBUX</v>
          </cell>
          <cell r="C158" t="str">
            <v>STARBUCKS</v>
          </cell>
        </row>
        <row r="159">
          <cell r="A159" t="str">
            <v>SCHW</v>
          </cell>
          <cell r="C159" t="str">
            <v xml:space="preserve">CHARLES SCWAB CORP</v>
          </cell>
        </row>
        <row r="160">
          <cell r="A160" t="str">
            <v>SCHYY</v>
          </cell>
          <cell r="C160" t="str">
            <v xml:space="preserve">SANDS CHINA LTD UNSPONSORED ADR</v>
          </cell>
        </row>
        <row r="161">
          <cell r="A161" t="str">
            <v>SDRL</v>
          </cell>
          <cell r="C161" t="str">
            <v xml:space="preserve">SEADRILL LTD</v>
          </cell>
        </row>
        <row r="162">
          <cell r="A162" t="str">
            <v>SLB</v>
          </cell>
          <cell r="C162" t="str">
            <v>SCHLUMBERGER</v>
          </cell>
        </row>
        <row r="163">
          <cell r="A163" t="str">
            <v>SPLV</v>
          </cell>
          <cell r="C163" t="str">
            <v xml:space="preserve">POWERSHARES S&amp;P</v>
          </cell>
        </row>
        <row r="164">
          <cell r="A164" t="str">
            <v>SPY</v>
          </cell>
          <cell r="C164" t="str">
            <v xml:space="preserve">SPDR S&amp;P 500 ETF</v>
          </cell>
        </row>
        <row r="165">
          <cell r="A165" t="str">
            <v>STWD</v>
          </cell>
          <cell r="C165" t="str">
            <v xml:space="preserve">STARWOOD PPTY</v>
          </cell>
        </row>
        <row r="166">
          <cell r="A166" t="str">
            <v>T</v>
          </cell>
          <cell r="C166" t="str">
            <v>AT&amp;T</v>
          </cell>
        </row>
        <row r="167">
          <cell r="A167" t="str">
            <v xml:space="preserve">T* </v>
          </cell>
          <cell r="C167" t="str">
            <v>AT&amp;T</v>
          </cell>
        </row>
        <row r="168">
          <cell r="A168" t="str">
            <v>TBT</v>
          </cell>
          <cell r="C168" t="str">
            <v xml:space="preserve">PROSHARES ULTRASHORT</v>
          </cell>
        </row>
        <row r="169">
          <cell r="A169" t="str">
            <v>TCAP</v>
          </cell>
          <cell r="C169" t="str">
            <v xml:space="preserve">TRIANGLE CAPITAL CORP</v>
          </cell>
        </row>
        <row r="170">
          <cell r="A170" t="str">
            <v>TCRD</v>
          </cell>
          <cell r="C170" t="str">
            <v xml:space="preserve">THL CREDIT INC</v>
          </cell>
        </row>
        <row r="171">
          <cell r="A171" t="str">
            <v>TGT</v>
          </cell>
          <cell r="C171" t="str">
            <v>TARGET</v>
          </cell>
        </row>
        <row r="172">
          <cell r="A172" t="str">
            <v>TJX</v>
          </cell>
          <cell r="C172" t="str">
            <v xml:space="preserve">TJ MAXX</v>
          </cell>
        </row>
        <row r="173">
          <cell r="A173" t="str">
            <v>TMO</v>
          </cell>
          <cell r="C173" t="str">
            <v xml:space="preserve">THERMO FISHER</v>
          </cell>
        </row>
        <row r="174">
          <cell r="A174" t="str">
            <v>TOT</v>
          </cell>
          <cell r="C174" t="str">
            <v>TOTAL</v>
          </cell>
        </row>
        <row r="175">
          <cell r="A175" t="str">
            <v>TRIP</v>
          </cell>
          <cell r="C175" t="str">
            <v>TRIPADVISOR</v>
          </cell>
        </row>
        <row r="176">
          <cell r="A176" t="str">
            <v>TSLA</v>
          </cell>
          <cell r="C176" t="str">
            <v>TESLA</v>
          </cell>
        </row>
        <row r="177">
          <cell r="A177" t="str">
            <v>TSN</v>
          </cell>
          <cell r="C177" t="str">
            <v xml:space="preserve">TYSON FOODS INC</v>
          </cell>
        </row>
        <row r="178">
          <cell r="A178" t="str">
            <v>TWX</v>
          </cell>
          <cell r="C178" t="str">
            <v xml:space="preserve">TIME WARNER</v>
          </cell>
        </row>
        <row r="179">
          <cell r="A179" t="str">
            <v>TXN</v>
          </cell>
          <cell r="C179" t="str">
            <v xml:space="preserve">TEXAS INSTRUMENTS INCORPORATED</v>
          </cell>
        </row>
        <row r="180">
          <cell r="A180" t="str">
            <v>UBS</v>
          </cell>
          <cell r="C180" t="str">
            <v>UBS</v>
          </cell>
        </row>
        <row r="181">
          <cell r="A181" t="str">
            <v>UNA</v>
          </cell>
          <cell r="C181" t="str">
            <v>UNILEVER</v>
          </cell>
        </row>
        <row r="182">
          <cell r="A182" t="str">
            <v>UPS</v>
          </cell>
          <cell r="C182" t="str">
            <v>UPS</v>
          </cell>
        </row>
        <row r="183">
          <cell r="A183" t="str">
            <v>URBN</v>
          </cell>
          <cell r="C183" t="str">
            <v xml:space="preserve">URBAN OUTFITTERS</v>
          </cell>
        </row>
        <row r="184">
          <cell r="A184" t="str">
            <v>USB</v>
          </cell>
          <cell r="C184" t="str">
            <v xml:space="preserve">US BANCORP</v>
          </cell>
        </row>
        <row r="185">
          <cell r="A185" t="str">
            <v>UTX</v>
          </cell>
          <cell r="C185" t="str">
            <v xml:space="preserve">UNITED TECHNOLOGIES</v>
          </cell>
        </row>
        <row r="186">
          <cell r="A186" t="str">
            <v>UYG</v>
          </cell>
          <cell r="C186" t="str">
            <v xml:space="preserve">PROSHARES ULTRA FINANCIALS</v>
          </cell>
        </row>
        <row r="187">
          <cell r="A187" t="str">
            <v>V</v>
          </cell>
          <cell r="C187" t="str">
            <v xml:space="preserve">VISA INC</v>
          </cell>
        </row>
        <row r="188">
          <cell r="A188" t="str">
            <v>VIV</v>
          </cell>
          <cell r="C188" t="str">
            <v xml:space="preserve">VIVENDI SA</v>
          </cell>
        </row>
        <row r="189">
          <cell r="A189" t="str">
            <v>VNO</v>
          </cell>
          <cell r="C189" t="str">
            <v>VORNADO</v>
          </cell>
        </row>
        <row r="190">
          <cell r="A190" t="str">
            <v>VTR</v>
          </cell>
          <cell r="C190" t="str">
            <v xml:space="preserve">VENTAS INC</v>
          </cell>
        </row>
        <row r="191">
          <cell r="A191" t="str">
            <v>VZ</v>
          </cell>
          <cell r="C191" t="str">
            <v>VERIZON</v>
          </cell>
        </row>
        <row r="192">
          <cell r="A192" t="str">
            <v>WAB</v>
          </cell>
          <cell r="C192" t="str">
            <v xml:space="preserve">WABTEC CORP.</v>
          </cell>
        </row>
        <row r="193">
          <cell r="A193" t="str">
            <v>WALMEXV</v>
          </cell>
          <cell r="C193" t="str">
            <v xml:space="preserve">WALMART DE MEXICO</v>
          </cell>
        </row>
        <row r="194">
          <cell r="A194" t="str">
            <v>WFC</v>
          </cell>
          <cell r="C194" t="str">
            <v xml:space="preserve">WELLS FARGO</v>
          </cell>
        </row>
        <row r="195">
          <cell r="A195" t="str">
            <v>WFM</v>
          </cell>
          <cell r="C195" t="str">
            <v xml:space="preserve">WHOLE FOODS</v>
          </cell>
        </row>
        <row r="196">
          <cell r="A196" t="str">
            <v>WHR</v>
          </cell>
          <cell r="C196" t="str">
            <v>WHIRLPOOL</v>
          </cell>
        </row>
        <row r="197">
          <cell r="A197" t="str">
            <v>WMT</v>
          </cell>
          <cell r="C197" t="str">
            <v>WAL-MART</v>
          </cell>
        </row>
        <row r="198">
          <cell r="A198" t="str">
            <v>WYNN</v>
          </cell>
          <cell r="C198" t="str">
            <v>WYNN</v>
          </cell>
        </row>
        <row r="199">
          <cell r="A199" t="str">
            <v>XOM</v>
          </cell>
          <cell r="C199" t="str">
            <v xml:space="preserve">EXXON MOBIL</v>
          </cell>
        </row>
        <row r="200">
          <cell r="A200" t="str">
            <v>RDS.B</v>
          </cell>
          <cell r="C200" t="str">
            <v xml:space="preserve">ROYAL DUTCH SHELL B</v>
          </cell>
        </row>
        <row r="201">
          <cell r="A201" t="str">
            <v>DOW</v>
          </cell>
          <cell r="C201" t="str">
            <v xml:space="preserve">DOW INC</v>
          </cell>
        </row>
        <row r="202">
          <cell r="A202" t="str">
            <v>SJNK</v>
          </cell>
          <cell r="C202" t="str">
            <v xml:space="preserve">SPDR BLOOMBERG BARCLAYS SHORT TERM HIGH YIELD BOND ETF</v>
          </cell>
        </row>
        <row r="203">
          <cell r="A203" t="str">
            <v>HST</v>
          </cell>
          <cell r="C203" t="str">
            <v xml:space="preserve">HOST HOTELS</v>
          </cell>
        </row>
        <row r="204">
          <cell r="A204" t="str">
            <v>ISVQF</v>
          </cell>
          <cell r="C204" t="str">
            <v xml:space="preserve">ISHARES IV PLC</v>
          </cell>
        </row>
        <row r="205">
          <cell r="A205" t="str">
            <v>CRM</v>
          </cell>
          <cell r="C205" t="str">
            <v>SALESFORCE.COM</v>
          </cell>
        </row>
        <row r="206">
          <cell r="A206" t="str">
            <v>IHYA.LN</v>
          </cell>
          <cell r="C206" t="str">
            <v xml:space="preserve">ISHARES HIGH YIELD CORP BOND UCITS ETF USD</v>
          </cell>
        </row>
        <row r="207">
          <cell r="A207" t="str">
            <v>EMUU.LN</v>
          </cell>
          <cell r="C207" t="str">
            <v xml:space="preserve">ISHARES MSCI EMU USD HEDGED ETF</v>
          </cell>
        </row>
        <row r="208">
          <cell r="A208" t="str">
            <v>CSPX.LN</v>
          </cell>
          <cell r="C208" t="str">
            <v xml:space="preserve">ISHARES CORE S&amp;P 500 UCITS ETF</v>
          </cell>
        </row>
        <row r="209">
          <cell r="A209" t="str">
            <v>KWEB</v>
          </cell>
          <cell r="C209" t="str">
            <v xml:space="preserve">KRANESHARES CSI CHINA INTERNET ETF</v>
          </cell>
        </row>
        <row r="210">
          <cell r="A210" t="str">
            <v>CLOU</v>
          </cell>
          <cell r="C210" t="str">
            <v xml:space="preserve">GLOBAL X CLOUD COMPUTING ETF</v>
          </cell>
        </row>
        <row r="211">
          <cell r="A211" t="str">
            <v>LQDA.LN</v>
          </cell>
          <cell r="C211" t="str">
            <v xml:space="preserve">ISHARES USD CORP BOND UCITS ETF</v>
          </cell>
        </row>
        <row r="212">
          <cell r="A212" t="str">
            <v>BK</v>
          </cell>
          <cell r="C212" t="str">
            <v xml:space="preserve">BANK OF NEW YORK MELLON</v>
          </cell>
        </row>
        <row r="213">
          <cell r="A213" t="str">
            <v>CCL</v>
          </cell>
          <cell r="C213" t="str">
            <v xml:space="preserve">CARNIVAL CORPORATION</v>
          </cell>
        </row>
        <row r="214">
          <cell r="A214" t="str">
            <v>COIN</v>
          </cell>
          <cell r="C214" t="str">
            <v xml:space="preserve">COINBASE GLOBAL INC</v>
          </cell>
        </row>
        <row r="215">
          <cell r="A215" t="str">
            <v>PINS*</v>
          </cell>
          <cell r="C215" t="str">
            <v>PINTEREST</v>
          </cell>
        </row>
        <row r="216">
          <cell r="A216" t="str">
            <v>QUAL</v>
          </cell>
          <cell r="C216" t="str">
            <v xml:space="preserve">ISHARES MSCI USA QUALITY FACTOR ETF</v>
          </cell>
        </row>
        <row r="217">
          <cell r="A217" t="str">
            <v>MTUM</v>
          </cell>
          <cell r="C217" t="str">
            <v xml:space="preserve">ISHARES EDGE MSCI USA MOMENTUM FACTOR ETF</v>
          </cell>
        </row>
        <row r="218">
          <cell r="A218" t="str">
            <v xml:space="preserve">SHV* </v>
          </cell>
          <cell r="C218" t="str">
            <v xml:space="preserve">ISHARES SHORT TREASURY BOND ETF</v>
          </cell>
        </row>
        <row r="219">
          <cell r="A219" t="str">
            <v>LQDA.LN</v>
          </cell>
          <cell r="C219" t="str">
            <v xml:space="preserve">ISHARES USD CORP BOND UCITS ETF</v>
          </cell>
        </row>
        <row r="220">
          <cell r="A220" t="str">
            <v>IHYA.LN</v>
          </cell>
          <cell r="C220" t="str">
            <v xml:space="preserve">ISHARES HIGH YIELD CORP BOND UCITS ETF USD</v>
          </cell>
        </row>
        <row r="221">
          <cell r="A221" t="str">
            <v>EMUU.LN</v>
          </cell>
          <cell r="C221" t="str">
            <v xml:space="preserve">ISHARES MSCI EMU USD HEDGED ETF</v>
          </cell>
        </row>
        <row r="222">
          <cell r="A222" t="str">
            <v>CSPX.LN</v>
          </cell>
          <cell r="C222" t="str">
            <v xml:space="preserve">ISHARES CORE S&amp;P 500 UCITS ETF</v>
          </cell>
        </row>
        <row r="223">
          <cell r="A223" t="str">
            <v>IUHC.LN</v>
          </cell>
          <cell r="C223" t="str">
            <v xml:space="preserve">ISHARES S&amp;P HEALTH CARE</v>
          </cell>
        </row>
        <row r="224">
          <cell r="A224" t="str">
            <v>BTEC.LN</v>
          </cell>
          <cell r="C224" t="str">
            <v xml:space="preserve">ISHARES NSDQ US BIOTECH UCIT</v>
          </cell>
        </row>
        <row r="225">
          <cell r="A225" t="str">
            <v>IUQA.LN</v>
          </cell>
          <cell r="C225" t="str">
            <v xml:space="preserve">ISHARES MSCI US QUALITY UCITS</v>
          </cell>
        </row>
        <row r="226">
          <cell r="A226" t="str">
            <v>IUMO.LN</v>
          </cell>
          <cell r="C226" t="str">
            <v xml:space="preserve">ISHARES EDGE MSCI USA MOMENTUM FACTOR UCITS ETF</v>
          </cell>
        </row>
        <row r="227">
          <cell r="A227" t="str">
            <v>EEDS.LN</v>
          </cell>
          <cell r="C227" t="str">
            <v xml:space="preserve">ISHARES MSCI USA ESG ENHANCED UCITS ETF USD</v>
          </cell>
        </row>
        <row r="228">
          <cell r="A228" t="str">
            <v>R2US.LN</v>
          </cell>
          <cell r="C228" t="str">
            <v xml:space="preserve">SPDR RUSSELL US SMALL CAP UCITS ETF</v>
          </cell>
        </row>
        <row r="229">
          <cell r="A229" t="str">
            <v xml:space="preserve">AMZN* </v>
          </cell>
          <cell r="C229" t="str">
            <v>AMAZON</v>
          </cell>
        </row>
        <row r="230">
          <cell r="A230" t="str">
            <v xml:space="preserve">IBB* </v>
          </cell>
          <cell r="C230" t="str">
            <v xml:space="preserve">ISHARES NASDAQ BIOTECHNOLOGY ETF</v>
          </cell>
        </row>
        <row r="231">
          <cell r="A231" t="str">
            <v xml:space="preserve">MCHI* </v>
          </cell>
          <cell r="C231" t="str">
            <v xml:space="preserve">ISHARES MSCI CHINA ETF</v>
          </cell>
        </row>
        <row r="232">
          <cell r="A232" t="str">
            <v>BIDUN</v>
          </cell>
          <cell r="C232" t="str">
            <v xml:space="preserve">BAIDU INC</v>
          </cell>
        </row>
        <row r="233">
          <cell r="A233" t="str">
            <v xml:space="preserve">MTUM* </v>
          </cell>
          <cell r="C233" t="str">
            <v xml:space="preserve">ISHARES EDGE MSCI USA MOMENTUM FACTOR ETF</v>
          </cell>
        </row>
        <row r="234">
          <cell r="A234" t="str">
            <v xml:space="preserve">QUAL* </v>
          </cell>
          <cell r="C234" t="str">
            <v xml:space="preserve">ISHARES MSCI USA QUALITY FACTOR ETF</v>
          </cell>
        </row>
        <row r="235">
          <cell r="A235" t="str">
            <v>HYG*</v>
          </cell>
          <cell r="C235" t="str">
            <v xml:space="preserve">ISHARES HIGH YIELD CORPORATE BOND ETF</v>
          </cell>
        </row>
        <row r="236">
          <cell r="A236" t="str">
            <v>GFNORTEO</v>
          </cell>
          <cell r="C236" t="str">
            <v xml:space="preserve">GRUPO FINANCIERO BANORTE</v>
          </cell>
        </row>
        <row r="237">
          <cell r="A237" t="str">
            <v>FEMSAUBD</v>
          </cell>
          <cell r="C237" t="str">
            <v xml:space="preserve">FOMENTO ECONOMICO MEXICANO</v>
          </cell>
        </row>
        <row r="238">
          <cell r="A238" t="str">
            <v>GMEXICOB</v>
          </cell>
          <cell r="C238" t="str">
            <v xml:space="preserve">GRUPO MEXICO S.A.B. DE C.V.</v>
          </cell>
        </row>
        <row r="239">
          <cell r="A239" t="str">
            <v xml:space="preserve">PG* </v>
          </cell>
          <cell r="C239" t="str">
            <v xml:space="preserve">PROCTER &amp; GAMBLE</v>
          </cell>
        </row>
        <row r="240">
          <cell r="A240" t="str">
            <v xml:space="preserve">KO* </v>
          </cell>
          <cell r="C240" t="str">
            <v xml:space="preserve">COCA COLA</v>
          </cell>
        </row>
        <row r="241">
          <cell r="A241" t="str">
            <v>MC.PA</v>
          </cell>
          <cell r="C241" t="str">
            <v>LVMH</v>
          </cell>
        </row>
        <row r="242">
          <cell r="A242" t="str">
            <v>OR.PA</v>
          </cell>
          <cell r="C242" t="str">
            <v>LOREAL</v>
          </cell>
        </row>
        <row r="243">
          <cell r="A243" t="str">
            <v>IHYAN</v>
          </cell>
          <cell r="C243" t="str">
            <v xml:space="preserve">ISHARES HY CORP BOND UCITS ETF</v>
          </cell>
        </row>
        <row r="244">
          <cell r="A244" t="str">
            <v xml:space="preserve">CRM* </v>
          </cell>
          <cell r="C244" t="str">
            <v>SALESFORCE.COM</v>
          </cell>
        </row>
        <row r="245">
          <cell r="A245" t="str">
            <v xml:space="preserve">BLK* </v>
          </cell>
          <cell r="C245" t="str">
            <v xml:space="preserve">BLACKROCK INC</v>
          </cell>
        </row>
        <row r="246">
          <cell r="A246" t="str">
            <v xml:space="preserve">MTUM* </v>
          </cell>
          <cell r="C246" t="str">
            <v xml:space="preserve">ISHARES ISHARES MOMENTUM FACTOR</v>
          </cell>
        </row>
        <row r="247">
          <cell r="A247" t="str">
            <v xml:space="preserve">GOOG* </v>
          </cell>
          <cell r="C247" t="str">
            <v>ALPHABET</v>
          </cell>
        </row>
        <row r="248">
          <cell r="A248" t="str">
            <v xml:space="preserve">QUAL* </v>
          </cell>
          <cell r="C248" t="str">
            <v xml:space="preserve">ISHARES QUALITY FACTOR</v>
          </cell>
        </row>
        <row r="249">
          <cell r="A249" t="str">
            <v xml:space="preserve">AAPL* </v>
          </cell>
          <cell r="C249" t="str">
            <v>APPLE</v>
          </cell>
        </row>
        <row r="250">
          <cell r="A250" t="str">
            <v xml:space="preserve">SPY* </v>
          </cell>
          <cell r="C250" t="str">
            <v xml:space="preserve">SPDR S&amp;P 500 ETF</v>
          </cell>
        </row>
        <row r="251">
          <cell r="A251" t="str">
            <v>CFRUY</v>
          </cell>
          <cell r="C251" t="str">
            <v xml:space="preserve">COMPAGNIE FINANCIERE RICHEMONT SA</v>
          </cell>
        </row>
        <row r="252">
          <cell r="A252" t="str">
            <v>BABAN</v>
          </cell>
          <cell r="C252" t="str">
            <v>ALIBABA</v>
          </cell>
        </row>
        <row r="253">
          <cell r="A253" t="str">
            <v xml:space="preserve">IVV* </v>
          </cell>
          <cell r="C253" t="str">
            <v xml:space="preserve">ISHARES CORE S&amp;P 500 ETF</v>
          </cell>
        </row>
        <row r="254">
          <cell r="A254" t="str">
            <v xml:space="preserve">QQQ* </v>
          </cell>
          <cell r="C254" t="str">
            <v xml:space="preserve">INVESCO QQQ TRUST</v>
          </cell>
        </row>
        <row r="255">
          <cell r="A255" t="str">
            <v xml:space="preserve">AAPL* </v>
          </cell>
          <cell r="C255" t="str">
            <v>APPLE</v>
          </cell>
        </row>
        <row r="256">
          <cell r="A256" t="str">
            <v xml:space="preserve">ADBE* </v>
          </cell>
          <cell r="C256" t="str">
            <v>ADOBE</v>
          </cell>
        </row>
        <row r="257">
          <cell r="A257" t="str">
            <v xml:space="preserve">AMZN* </v>
          </cell>
          <cell r="C257" t="str">
            <v>AMAZON</v>
          </cell>
        </row>
        <row r="258">
          <cell r="A258" t="str">
            <v xml:space="preserve">ATVI* </v>
          </cell>
          <cell r="C258" t="str">
            <v>ACTIVISION</v>
          </cell>
        </row>
        <row r="259">
          <cell r="A259" t="str">
            <v xml:space="preserve">AXP* </v>
          </cell>
          <cell r="C259" t="str">
            <v xml:space="preserve">AMERICAN EXPRESS</v>
          </cell>
        </row>
        <row r="260">
          <cell r="A260" t="str">
            <v xml:space="preserve">BAC* </v>
          </cell>
          <cell r="C260" t="str">
            <v xml:space="preserve">BANK OF AMERICA</v>
          </cell>
        </row>
        <row r="261">
          <cell r="A261" t="str">
            <v xml:space="preserve">BIMBO A</v>
          </cell>
          <cell r="C261" t="str">
            <v>BIMBO</v>
          </cell>
        </row>
        <row r="262">
          <cell r="A262" t="str">
            <v xml:space="preserve">DIS* </v>
          </cell>
          <cell r="C262" t="str">
            <v>DISNEY</v>
          </cell>
        </row>
        <row r="263">
          <cell r="A263" t="str">
            <v>META*</v>
          </cell>
          <cell r="C263" t="str">
            <v>FACEBOOK</v>
          </cell>
        </row>
        <row r="264">
          <cell r="A264" t="str">
            <v xml:space="preserve">FB* </v>
          </cell>
          <cell r="C264" t="str">
            <v>FACEBOOK</v>
          </cell>
        </row>
        <row r="265">
          <cell r="A265" t="str">
            <v xml:space="preserve">GAP B</v>
          </cell>
          <cell r="C265" t="str">
            <v xml:space="preserve">GRUPO AEROPORTUARIO DEL PACIFICO</v>
          </cell>
        </row>
        <row r="266">
          <cell r="A266" t="str">
            <v xml:space="preserve">GOOGL* </v>
          </cell>
          <cell r="C266" t="str">
            <v xml:space="preserve">GOOGLE A</v>
          </cell>
        </row>
        <row r="267">
          <cell r="A267" t="str">
            <v xml:space="preserve">MSFT* </v>
          </cell>
          <cell r="C267" t="str">
            <v>MICROSOFT</v>
          </cell>
        </row>
        <row r="268">
          <cell r="A268" t="str">
            <v xml:space="preserve">PG* </v>
          </cell>
          <cell r="C268" t="str">
            <v xml:space="preserve">PROCTER &amp; GAMBLE</v>
          </cell>
        </row>
        <row r="269">
          <cell r="A269" t="str">
            <v xml:space="preserve">QCOM* </v>
          </cell>
          <cell r="C269" t="str">
            <v>QUALCOMM</v>
          </cell>
        </row>
        <row r="270">
          <cell r="A270" t="str">
            <v xml:space="preserve">UNIFIN A</v>
          </cell>
          <cell r="C270" t="str">
            <v xml:space="preserve">UNIFIN FINANCIERA</v>
          </cell>
        </row>
        <row r="271">
          <cell r="A271" t="str">
            <v>LVMUY</v>
          </cell>
          <cell r="C271" t="str">
            <v xml:space="preserve">LOUIS VUITTON MOËT HENNESSY</v>
          </cell>
        </row>
        <row r="272">
          <cell r="A272" t="str">
            <v xml:space="preserve">EWL* </v>
          </cell>
          <cell r="C272" t="str">
            <v xml:space="preserve">ISHARES MSCI SWITZERLAND ETF</v>
          </cell>
        </row>
        <row r="273">
          <cell r="A273" t="str">
            <v>AT1N</v>
          </cell>
          <cell r="C273" t="str">
            <v xml:space="preserve">INVESCO AT1 CAPITAL BOND UCITS ETF</v>
          </cell>
        </row>
        <row r="274">
          <cell r="A274" t="str">
            <v>CNDXN</v>
          </cell>
          <cell r="C274" t="str">
            <v xml:space="preserve">ISHARES NASDAQ 100 UCTIS ETF</v>
          </cell>
        </row>
        <row r="275">
          <cell r="A275" t="str">
            <v>CSPXN</v>
          </cell>
          <cell r="C275" t="str">
            <v xml:space="preserve">ISHARES CORE S&amp;P 500 UCITS ETF</v>
          </cell>
        </row>
        <row r="276">
          <cell r="A276" t="str">
            <v>IUFSN</v>
          </cell>
          <cell r="C276" t="str">
            <v xml:space="preserve">ISHARES S&amp;P 500 FINANCIALS SECTOR UCITS ETF</v>
          </cell>
        </row>
        <row r="277">
          <cell r="A277" t="str">
            <v>IUMON</v>
          </cell>
          <cell r="C277" t="str">
            <v xml:space="preserve">ISHARES EDGE USA MOMENTUM FACTOR UCITS ETF</v>
          </cell>
        </row>
        <row r="278">
          <cell r="A278" t="str">
            <v>IUQAN</v>
          </cell>
          <cell r="C278" t="str">
            <v xml:space="preserve">ISHARES EDGE USA QUALITY UCITS ETF</v>
          </cell>
        </row>
        <row r="279">
          <cell r="A279" t="str">
            <v xml:space="preserve">PFF* </v>
          </cell>
          <cell r="C279" t="str">
            <v xml:space="preserve">ISHARES PREFERRED AND INCOME SECURITIES ETF</v>
          </cell>
        </row>
        <row r="280">
          <cell r="A280" t="str">
            <v>M5TRAC</v>
          </cell>
          <cell r="C280" t="str">
            <v xml:space="preserve">ISHARES S&amp;P VALMET MEXICO M5TRAC</v>
          </cell>
        </row>
        <row r="281">
          <cell r="A281" t="str">
            <v xml:space="preserve">NTECT F5</v>
          </cell>
          <cell r="C281" t="str">
            <v xml:space="preserve">FONDO BANORTE NTECT F5</v>
          </cell>
        </row>
        <row r="282">
          <cell r="A282" t="str">
            <v xml:space="preserve">NTETR F5</v>
          </cell>
          <cell r="C282" t="str">
            <v xml:space="preserve">FONDO BANORTE NTETR F5</v>
          </cell>
        </row>
        <row r="283">
          <cell r="A283" t="str">
            <v>LRLCY</v>
          </cell>
          <cell r="C283" t="str">
            <v xml:space="preserve">LOREAL SA ADR</v>
          </cell>
        </row>
        <row r="284">
          <cell r="A284" t="str">
            <v xml:space="preserve">WMT* </v>
          </cell>
          <cell r="C284" t="str">
            <v xml:space="preserve">WALMART SIC</v>
          </cell>
        </row>
        <row r="285">
          <cell r="A285" t="str">
            <v>NESNN</v>
          </cell>
          <cell r="C285" t="str">
            <v>NESTLE</v>
          </cell>
        </row>
        <row r="286">
          <cell r="A286" t="str">
            <v>PRACN</v>
          </cell>
          <cell r="C286" t="str">
            <v xml:space="preserve">INVESCO MARKETS II PREFERRED SHARES UCITS ETF SIC</v>
          </cell>
        </row>
        <row r="287">
          <cell r="A287" t="str">
            <v>LQDAN</v>
          </cell>
          <cell r="C287" t="str">
            <v xml:space="preserve">ISHARES USD CORP BOND UCITS ETF SIC</v>
          </cell>
        </row>
        <row r="288">
          <cell r="A288" t="str">
            <v>PRAC.LN</v>
          </cell>
          <cell r="C288" t="str">
            <v xml:space="preserve">INVESCO PREFERRED SHARES UCITS ETF ACC</v>
          </cell>
        </row>
        <row r="289">
          <cell r="A289" t="str">
            <v>SQ*</v>
          </cell>
          <cell r="C289" t="str">
            <v xml:space="preserve">BLOCK INC</v>
          </cell>
        </row>
        <row r="290">
          <cell r="A290" t="str">
            <v>AT1.LN</v>
          </cell>
          <cell r="C290" t="str">
            <v xml:space="preserve">INVESCO AT1 CAPITAL BOND UCITS ETF</v>
          </cell>
        </row>
        <row r="291">
          <cell r="A291" t="str">
            <v>HYG</v>
          </cell>
          <cell r="C291" t="str">
            <v xml:space="preserve">ISHARES HIGH YIELD CORPORATE BOND ETF</v>
          </cell>
        </row>
        <row r="292">
          <cell r="A292" t="str">
            <v>PFF</v>
          </cell>
          <cell r="C292" t="str">
            <v xml:space="preserve">ISHARES PREFERRED AND INCOME SECURITIES ETF</v>
          </cell>
        </row>
        <row r="293">
          <cell r="A293" t="str">
            <v>XLV</v>
          </cell>
          <cell r="C293" t="str">
            <v xml:space="preserve">HEALTHCARE SELECT SECTOR SPDR FUND ETF</v>
          </cell>
        </row>
        <row r="294">
          <cell r="A294" t="str">
            <v>XLF</v>
          </cell>
          <cell r="C294" t="str">
            <v xml:space="preserve">FINANCIAL SELECT SECTOR SPDR FUND ETF</v>
          </cell>
        </row>
        <row r="295">
          <cell r="A295" t="str">
            <v>IB1MXXN</v>
          </cell>
          <cell r="C295" t="str">
            <v xml:space="preserve">ISHARES TREASURY BOND 0-1 YEAR UCITS ETF</v>
          </cell>
        </row>
        <row r="296">
          <cell r="A296" t="str">
            <v>GENTERA*</v>
          </cell>
          <cell r="C296" t="str">
            <v xml:space="preserve">GENTERA SAB DE CV</v>
          </cell>
        </row>
        <row r="297">
          <cell r="A297" t="str">
            <v xml:space="preserve">BRKB* </v>
          </cell>
          <cell r="C297" t="str">
            <v xml:space="preserve">BERKSHIRE HATHAWAY INC CLASSB SIC</v>
          </cell>
        </row>
        <row r="298">
          <cell r="A298" t="str">
            <v>IUFS.LN</v>
          </cell>
          <cell r="C298" t="str">
            <v xml:space="preserve">ISHARES FINANCIAL SECTOR UCITS ETF</v>
          </cell>
        </row>
        <row r="299">
          <cell r="A299" t="str">
            <v xml:space="preserve">V* </v>
          </cell>
          <cell r="C299" t="str">
            <v xml:space="preserve">VISA INC</v>
          </cell>
        </row>
        <row r="300">
          <cell r="A300" t="str">
            <v xml:space="preserve">PINS* </v>
          </cell>
          <cell r="C300" t="str">
            <v>PINTEREST</v>
          </cell>
        </row>
        <row r="301">
          <cell r="A301" t="str">
            <v xml:space="preserve">PIN*  </v>
          </cell>
          <cell r="C301" t="str">
            <v xml:space="preserve">INVESCO INDIA</v>
          </cell>
        </row>
        <row r="302">
          <cell r="A302" t="str">
            <v xml:space="preserve">PYPL* </v>
          </cell>
          <cell r="C302" t="str">
            <v xml:space="preserve">PAYPAL HOLDINGS</v>
          </cell>
        </row>
        <row r="303">
          <cell r="A303" t="str">
            <v>VOW3N</v>
          </cell>
          <cell r="C303" t="str">
            <v xml:space="preserve">VOLKSWAGEN AG</v>
          </cell>
        </row>
        <row r="304">
          <cell r="A304" t="str">
            <v>SPMV.LN</v>
          </cell>
          <cell r="C304" t="str">
            <v xml:space="preserve">ISHARES EDGE S&amp;P 500 MIN VOL UCITS ETF</v>
          </cell>
        </row>
        <row r="305">
          <cell r="A305" t="str">
            <v>ABNB*</v>
          </cell>
          <cell r="C305" t="str">
            <v xml:space="preserve">AIRBNB INC.</v>
          </cell>
        </row>
        <row r="306">
          <cell r="A306" t="str">
            <v xml:space="preserve">NVDA* </v>
          </cell>
          <cell r="C306" t="str">
            <v xml:space="preserve">NVIDIA CORP</v>
          </cell>
        </row>
        <row r="307">
          <cell r="A307" t="str">
            <v>ABB</v>
          </cell>
          <cell r="C307" t="str">
            <v xml:space="preserve">ABB LTD</v>
          </cell>
        </row>
        <row r="308">
          <cell r="A308" t="str">
            <v>FTCHN</v>
          </cell>
          <cell r="C308" t="str">
            <v xml:space="preserve">FARFETCH LIMITED</v>
          </cell>
        </row>
        <row r="309">
          <cell r="A309" t="str">
            <v>CCL1N</v>
          </cell>
          <cell r="C309" t="str">
            <v xml:space="preserve">CARNIVAL CORPORATION</v>
          </cell>
        </row>
        <row r="310">
          <cell r="A310" t="str">
            <v xml:space="preserve">XLF* </v>
          </cell>
          <cell r="C310" t="str">
            <v xml:space="preserve">FINANCIAL SELECT SECTOR SPDR FUND ETF</v>
          </cell>
        </row>
        <row r="311">
          <cell r="A311" t="str">
            <v xml:space="preserve">SBUX* </v>
          </cell>
          <cell r="C311" t="str">
            <v>STARBUCKS</v>
          </cell>
        </row>
        <row r="312">
          <cell r="A312" t="str">
            <v>OXY.WS</v>
          </cell>
          <cell r="C312" t="str">
            <v xml:space="preserve">OCCIDENTAL PETROLEUM CORPORATION WARRANTS</v>
          </cell>
        </row>
        <row r="313">
          <cell r="A313" t="str">
            <v>NKE</v>
          </cell>
          <cell r="C313" t="str">
            <v xml:space="preserve">NIKE INC</v>
          </cell>
        </row>
        <row r="314">
          <cell r="A314" t="str">
            <v>USMV*</v>
          </cell>
          <cell r="C314" t="str">
            <v xml:space="preserve">I SHARES MSCI USA MIN VOL FACTOR ETF</v>
          </cell>
        </row>
        <row r="315">
          <cell r="A315" t="str">
            <v xml:space="preserve">DIA* </v>
          </cell>
          <cell r="C315" t="str">
            <v xml:space="preserve">SPDR DOW JONES INDUSTRIAL AVERAGE ETF TRUST</v>
          </cell>
        </row>
        <row r="316">
          <cell r="A316" t="str">
            <v>DG</v>
          </cell>
          <cell r="C316" t="str">
            <v xml:space="preserve">DOLLAR GENERAL CORPORATION</v>
          </cell>
        </row>
        <row r="317">
          <cell r="A317" t="str">
            <v>INVEXCOBF</v>
          </cell>
          <cell r="C317" t="str">
            <v>INVEXCOBF</v>
          </cell>
        </row>
        <row r="318">
          <cell r="A318" t="str">
            <v>FINE1F</v>
          </cell>
          <cell r="C318" t="str">
            <v>FINE1F</v>
          </cell>
        </row>
        <row r="319">
          <cell r="A319" t="str">
            <v>WBN</v>
          </cell>
          <cell r="C319" t="str">
            <v xml:space="preserve">WEIBO CORPORATION</v>
          </cell>
        </row>
        <row r="320">
          <cell r="A320" t="str">
            <v xml:space="preserve">PARA* </v>
          </cell>
          <cell r="C320" t="str">
            <v xml:space="preserve">PARAMOUNT GLOBAL</v>
          </cell>
        </row>
        <row r="321">
          <cell r="A321" t="str">
            <v xml:space="preserve">CEMEX CPO</v>
          </cell>
          <cell r="C321" t="str">
            <v xml:space="preserve">CEMEX SAB DE CV</v>
          </cell>
        </row>
        <row r="322">
          <cell r="A322" t="str">
            <v xml:space="preserve">EWP* </v>
          </cell>
          <cell r="C322" t="str">
            <v xml:space="preserve">ISHARES MSCI SPAIN ETF</v>
          </cell>
        </row>
        <row r="323">
          <cell r="A323" t="str">
            <v xml:space="preserve">XRT* </v>
          </cell>
          <cell r="C323" t="str">
            <v xml:space="preserve">SPDR S&amp;P RETAIL ETF</v>
          </cell>
        </row>
        <row r="324">
          <cell r="A324" t="str">
            <v xml:space="preserve">XPH* </v>
          </cell>
          <cell r="C324" t="str">
            <v xml:space="preserve">SPDR S&amp;P PHARMACEUTICALS ETF</v>
          </cell>
        </row>
        <row r="325">
          <cell r="A325" t="str">
            <v xml:space="preserve">NEMAK A</v>
          </cell>
          <cell r="C325" t="str">
            <v>NEMAK</v>
          </cell>
        </row>
        <row r="326">
          <cell r="A326" t="str">
            <v>XLC*</v>
          </cell>
          <cell r="C326" t="str">
            <v xml:space="preserve">SPDR COMMUNICATION SERVICES SECTOR</v>
          </cell>
        </row>
        <row r="327">
          <cell r="A327" t="str">
            <v>FTNT*</v>
          </cell>
          <cell r="C327" t="str">
            <v xml:space="preserve">FORTINET INC</v>
          </cell>
        </row>
        <row r="328">
          <cell r="A328" t="str">
            <v xml:space="preserve">SCOTIAG F1</v>
          </cell>
          <cell r="C328" t="str">
            <v xml:space="preserve">SCOTIAG F1</v>
          </cell>
        </row>
        <row r="329">
          <cell r="A329" t="str">
            <v xml:space="preserve">SCOTIA1 CU1</v>
          </cell>
          <cell r="C329" t="str">
            <v xml:space="preserve">SCOTIA1 CU1</v>
          </cell>
        </row>
        <row r="330">
          <cell r="A330" t="str">
            <v xml:space="preserve">SCOTIAG F2</v>
          </cell>
          <cell r="C330" t="str">
            <v xml:space="preserve">SCOTIAG F2</v>
          </cell>
        </row>
        <row r="331">
          <cell r="A331" t="str">
            <v>BX</v>
          </cell>
          <cell r="C331" t="str">
            <v xml:space="preserve">THE BLACKSTONE GROUP</v>
          </cell>
        </row>
        <row r="332">
          <cell r="A332" t="str">
            <v>FXE*</v>
          </cell>
          <cell r="C332" t="str">
            <v xml:space="preserve">INVESCO CURRENCY SHARES EURO TRUST</v>
          </cell>
        </row>
        <row r="333">
          <cell r="A333" t="str">
            <v>ACLLY</v>
          </cell>
          <cell r="C333" t="str">
            <v xml:space="preserve">ACCELLERON INDUSTRIES</v>
          </cell>
        </row>
        <row r="334">
          <cell r="A334" t="str">
            <v xml:space="preserve">MCD* </v>
          </cell>
          <cell r="C334" t="str">
            <v>MCDONALDS</v>
          </cell>
        </row>
        <row r="335">
          <cell r="A335" t="str">
            <v xml:space="preserve">RBT* </v>
          </cell>
          <cell r="C335" t="str">
            <v xml:space="preserve">RUBICON TECHNOLOGIES</v>
          </cell>
        </row>
        <row r="336">
          <cell r="A336" t="str">
            <v>LIVEPOLC1</v>
          </cell>
          <cell r="C336" t="str">
            <v xml:space="preserve">EL PUERTO DE LIVERPOOL SAB DE CV</v>
          </cell>
        </row>
        <row r="363">
          <cell r="C363">
            <v>1</v>
          </cell>
        </row>
      </sheetData>
      <sheetData sheetId="6">
        <row r="1">
          <cell r="A1" t="str">
            <v>ISIN</v>
          </cell>
          <cell r="B1" t="str">
            <v>EMISION</v>
          </cell>
        </row>
        <row r="2">
          <cell r="A2" t="str">
            <v>US002920AC09</v>
          </cell>
          <cell r="B2" t="str">
            <v xml:space="preserve">ABBEY NATL 7.95 26/10/2029</v>
          </cell>
        </row>
        <row r="3">
          <cell r="A3" t="str">
            <v>XS0526882054</v>
          </cell>
          <cell r="B3" t="str">
            <v xml:space="preserve">ABBEY NATL 1.65 29/07/2013</v>
          </cell>
        </row>
        <row r="4">
          <cell r="A4" t="str">
            <v>US002824AT72</v>
          </cell>
          <cell r="B4" t="str">
            <v xml:space="preserve">ABBOT 5.875 15/05/2016</v>
          </cell>
        </row>
        <row r="5">
          <cell r="A5" t="str">
            <v>XS0300154878</v>
          </cell>
          <cell r="B5" t="str">
            <v xml:space="preserve">ABERDEEN 7.90 29/05/2049</v>
          </cell>
        </row>
        <row r="6">
          <cell r="A6" t="str">
            <v>US02687QBW78</v>
          </cell>
          <cell r="B6" t="str">
            <v xml:space="preserve">AIG 5.45 18/05/2017</v>
          </cell>
        </row>
        <row r="7">
          <cell r="A7" t="str">
            <v>US013104AH74</v>
          </cell>
          <cell r="B7" t="str">
            <v xml:space="preserve">ALBERTSONS 8.7 5/01/2030</v>
          </cell>
        </row>
        <row r="8">
          <cell r="A8" t="str">
            <v>US013716AV76</v>
          </cell>
          <cell r="B8" t="str">
            <v xml:space="preserve">ALCAN 5 01/06/2015</v>
          </cell>
        </row>
        <row r="9">
          <cell r="A9" t="str">
            <v>XS0564563921</v>
          </cell>
          <cell r="B9" t="str">
            <v xml:space="preserve">ALCATEL LUCENT 8.50 15/01/2016</v>
          </cell>
        </row>
        <row r="10">
          <cell r="A10" t="str">
            <v>US013817AH49</v>
          </cell>
          <cell r="B10" t="str">
            <v xml:space="preserve">ALCOA INC. 5.375 15/01/2013</v>
          </cell>
        </row>
        <row r="11">
          <cell r="A11" t="str">
            <v>US013817AK77</v>
          </cell>
          <cell r="B11" t="str">
            <v xml:space="preserve">ALCOA 5.95 01/02/2037</v>
          </cell>
        </row>
        <row r="12">
          <cell r="A12" t="str">
            <v>US013817AL50</v>
          </cell>
          <cell r="B12" t="str">
            <v xml:space="preserve">ALCOA 5.55 01/02/2017</v>
          </cell>
        </row>
        <row r="13">
          <cell r="A13" t="str">
            <v>US013817AP64</v>
          </cell>
          <cell r="B13" t="str">
            <v xml:space="preserve">ALCOA 5.72 23/02/2019</v>
          </cell>
        </row>
        <row r="14">
          <cell r="A14" t="str">
            <v>US013817AU59</v>
          </cell>
          <cell r="B14" t="str">
            <v xml:space="preserve">ALCOA 6.15 15/08/2020</v>
          </cell>
        </row>
        <row r="15">
          <cell r="A15" t="str">
            <v>US013817AV33</v>
          </cell>
          <cell r="B15" t="str">
            <v xml:space="preserve">ALCOA 5.4 15/04/2021</v>
          </cell>
        </row>
        <row r="16">
          <cell r="A16" t="str">
            <v>US013817AW16</v>
          </cell>
          <cell r="B16" t="str">
            <v xml:space="preserve">ALCOA 5.125 01/10/2024</v>
          </cell>
        </row>
        <row r="17">
          <cell r="A17" t="str">
            <v>US018804AL88</v>
          </cell>
          <cell r="B17" t="str">
            <v xml:space="preserve">ALLIANT TECH 6.75 01/04/2016</v>
          </cell>
        </row>
        <row r="18">
          <cell r="A18" t="str">
            <v>XS0148887564</v>
          </cell>
          <cell r="B18" t="str">
            <v xml:space="preserve">ALLIANZ FINANCE II BV 6.125 31/05/2022</v>
          </cell>
        </row>
        <row r="19">
          <cell r="A19" t="str">
            <v>XS0857872500</v>
          </cell>
          <cell r="B19" t="str">
            <v xml:space="preserve">ALLIANZ 5.5 26/09/2049</v>
          </cell>
        </row>
        <row r="20">
          <cell r="A20" t="str">
            <v>US36186CBY84</v>
          </cell>
          <cell r="B20" t="str">
            <v xml:space="preserve">ALLY 8 01/11/2031</v>
          </cell>
        </row>
        <row r="21">
          <cell r="A21" t="str">
            <v>US370425SL58</v>
          </cell>
          <cell r="B21" t="str">
            <v xml:space="preserve">ALLY 6.750 01/12//2014</v>
          </cell>
        </row>
        <row r="22">
          <cell r="A22" t="str">
            <v>US87264AAM71</v>
          </cell>
          <cell r="B22" t="str">
            <v xml:space="preserve">T MOBILE USA INC 6.00 01/03/2023</v>
          </cell>
        </row>
        <row r="23">
          <cell r="A23" t="str">
            <v>FR0010801761</v>
          </cell>
          <cell r="B23" t="str">
            <v xml:space="preserve">ALSTOM 4.00 23/09/2014</v>
          </cell>
        </row>
        <row r="24">
          <cell r="A24" t="str">
            <v>US02364WAF23</v>
          </cell>
          <cell r="B24" t="str">
            <v xml:space="preserve">AMERICA MOVIL SA 5.5 01/03/2014</v>
          </cell>
        </row>
        <row r="25">
          <cell r="A25" t="str">
            <v>US02364WAH88</v>
          </cell>
          <cell r="B25" t="str">
            <v xml:space="preserve">AMERICA MOVIL SA 5.75 15/01/2015</v>
          </cell>
        </row>
        <row r="26">
          <cell r="A26" t="str">
            <v>US02364WAP05</v>
          </cell>
          <cell r="B26" t="str">
            <v xml:space="preserve">AMERICA MOVIL 6.125 15/11/2037</v>
          </cell>
        </row>
        <row r="27">
          <cell r="A27" t="str">
            <v>US02364WBD65</v>
          </cell>
          <cell r="B27" t="str">
            <v xml:space="preserve">AMERICA MOVIL 3.125 16/07/2022</v>
          </cell>
        </row>
        <row r="28">
          <cell r="A28" t="str">
            <v>XS1075314911</v>
          </cell>
          <cell r="B28" t="str">
            <v xml:space="preserve">AMERICA MOVIL 7.125 12/09/2024</v>
          </cell>
        </row>
        <row r="29">
          <cell r="A29" t="str">
            <v>US025816AQ27</v>
          </cell>
          <cell r="B29" t="str">
            <v xml:space="preserve">AMERICAN EXPRESS 4.875 07/15/2013</v>
          </cell>
        </row>
        <row r="30">
          <cell r="A30" t="str">
            <v>US025816AW94</v>
          </cell>
          <cell r="B30" t="str">
            <v xml:space="preserve">AMERICAN EXPRESS 5.50 12/09/2016</v>
          </cell>
        </row>
        <row r="31">
          <cell r="A31" t="str">
            <v>US0258M0CZ01</v>
          </cell>
          <cell r="B31" t="str">
            <v xml:space="preserve">AMERICAN EXPRESS 5.125 25/08/2014</v>
          </cell>
        </row>
        <row r="32">
          <cell r="A32" t="str">
            <v>US025816BL21</v>
          </cell>
          <cell r="B32" t="str">
            <v xml:space="preserve">AMERICAN EXPRESS 4.90  15/03/2049</v>
          </cell>
        </row>
        <row r="33">
          <cell r="A33" t="str">
            <v>US035229CP67</v>
          </cell>
          <cell r="B33" t="str">
            <v xml:space="preserve">ANHEUSER BUSCH COS INC 4.375 15/01/2013</v>
          </cell>
        </row>
        <row r="34">
          <cell r="A34" t="str">
            <v>XS0450880496</v>
          </cell>
          <cell r="B34" t="str">
            <v xml:space="preserve">ANZ BANKING 5.125 10/09/2019</v>
          </cell>
        </row>
        <row r="35">
          <cell r="A35" t="str">
            <v>US03938LAZ76</v>
          </cell>
          <cell r="B35" t="str">
            <v xml:space="preserve">ARCELORMITTAL 6.125 06/01/2025</v>
          </cell>
        </row>
        <row r="36">
          <cell r="A36" t="str">
            <v>US03938LAQ77</v>
          </cell>
          <cell r="B36" t="str">
            <v xml:space="preserve">ARCELORMITTAL 5.25 05/08/2020</v>
          </cell>
        </row>
        <row r="37">
          <cell r="A37" t="str">
            <v>US039483AY87</v>
          </cell>
          <cell r="B37" t="str">
            <v xml:space="preserve">ARCHER DANIELS 5.45 15/03/2018</v>
          </cell>
        </row>
        <row r="38">
          <cell r="A38" t="str">
            <v>SIN</v>
          </cell>
          <cell r="B38" t="str">
            <v xml:space="preserve">ARGENTINA 0 19/09/2015</v>
          </cell>
        </row>
        <row r="39">
          <cell r="A39" t="str">
            <v>US040114AH34</v>
          </cell>
          <cell r="B39" t="str">
            <v xml:space="preserve">ARGENTINA 8.375 20/12/2003</v>
          </cell>
        </row>
        <row r="40">
          <cell r="A40" t="str">
            <v>US040114AV28</v>
          </cell>
          <cell r="B40" t="str">
            <v xml:space="preserve">ARGENTINA 9.75 19/09/2027</v>
          </cell>
        </row>
        <row r="41">
          <cell r="A41" t="str">
            <v>US040114GG96</v>
          </cell>
          <cell r="B41" t="str">
            <v xml:space="preserve">ARGENTINA 12.25 19/06/2018</v>
          </cell>
        </row>
        <row r="42">
          <cell r="A42" t="str">
            <v>US040114GK09</v>
          </cell>
          <cell r="B42" t="str">
            <v xml:space="preserve">ARGENTINA STEP-UP 31/12/2038</v>
          </cell>
        </row>
        <row r="43">
          <cell r="A43" t="str">
            <v>US040114GM64</v>
          </cell>
          <cell r="B43" t="str">
            <v xml:space="preserve">ARGENTINA PIB FLOT 2035</v>
          </cell>
        </row>
        <row r="44">
          <cell r="A44" t="str">
            <v>XS0043119147</v>
          </cell>
          <cell r="B44" t="str">
            <v xml:space="preserve">ARGENTINA 6 31/03/2023</v>
          </cell>
        </row>
        <row r="45">
          <cell r="A45" t="str">
            <v>XS0043120236</v>
          </cell>
          <cell r="B45" t="str">
            <v xml:space="preserve">ARGENTINA 0 31/03/2005</v>
          </cell>
        </row>
        <row r="46">
          <cell r="A46" t="str">
            <v>XS0209139244</v>
          </cell>
          <cell r="B46" t="str">
            <v xml:space="preserve">ARGENTINA 1.9852 15/12/2035</v>
          </cell>
        </row>
        <row r="47">
          <cell r="A47" t="str">
            <v>XS0501194756</v>
          </cell>
          <cell r="B47" t="str">
            <v xml:space="preserve">ARGENTINA  8.28  31/12/2033</v>
          </cell>
        </row>
        <row r="48">
          <cell r="A48" t="str">
            <v>XS0501194756</v>
          </cell>
          <cell r="B48" t="str">
            <v xml:space="preserve">ARGENTINA 8.28 31/12/2033</v>
          </cell>
        </row>
        <row r="49">
          <cell r="A49" t="str">
            <v>XS0501195134</v>
          </cell>
          <cell r="B49" t="str">
            <v xml:space="preserve">ARGENTINA 7.82 31/12/2033</v>
          </cell>
        </row>
        <row r="50">
          <cell r="A50" t="str">
            <v>XS0501195480</v>
          </cell>
          <cell r="B50" t="str">
            <v xml:space="preserve">ARGENTINA 8.75 02/06/2017</v>
          </cell>
        </row>
        <row r="51">
          <cell r="A51" t="str">
            <v>XS0501195647</v>
          </cell>
          <cell r="B51" t="str">
            <v xml:space="preserve">ARGENTINA 2.50 31/12/2038</v>
          </cell>
        </row>
        <row r="52">
          <cell r="A52" t="str">
            <v>XS0501195993</v>
          </cell>
          <cell r="B52" t="str">
            <v xml:space="preserve">ARGENTINA 2.26 31/12/2038</v>
          </cell>
        </row>
        <row r="53">
          <cell r="A53" t="str">
            <v>XS0501197262</v>
          </cell>
          <cell r="B53" t="str">
            <v xml:space="preserve">ARGENTINA 12/15/2035</v>
          </cell>
        </row>
        <row r="54">
          <cell r="A54" t="str">
            <v>US046353AB45</v>
          </cell>
          <cell r="B54" t="str">
            <v xml:space="preserve">ASTRAZENECA 5.90 15/09/2017</v>
          </cell>
        </row>
        <row r="55">
          <cell r="A55" t="str">
            <v>XS0321640301</v>
          </cell>
          <cell r="B55" t="str">
            <v xml:space="preserve">ASTRAZENECA 5.125 15/01/2015</v>
          </cell>
        </row>
        <row r="56">
          <cell r="A56" t="str">
            <v>US00206RBD35</v>
          </cell>
          <cell r="B56" t="str">
            <v xml:space="preserve">AT&amp;T 3.00 02/15/2022</v>
          </cell>
        </row>
        <row r="57">
          <cell r="A57" t="str">
            <v>US00206RAF91</v>
          </cell>
          <cell r="B57" t="str">
            <v xml:space="preserve">ATT 4.95 15/01/2013</v>
          </cell>
        </row>
        <row r="58">
          <cell r="A58" t="str">
            <v>US00206RAQ56</v>
          </cell>
          <cell r="B58" t="str">
            <v xml:space="preserve">ATT 4.85 15/02/2014</v>
          </cell>
        </row>
        <row r="59">
          <cell r="A59" t="str">
            <v>US00206RAX08</v>
          </cell>
          <cell r="B59" t="str">
            <v xml:space="preserve">ATT 4.45 15/05/2021</v>
          </cell>
        </row>
        <row r="60">
          <cell r="A60" t="str">
            <v>US78387GAL77</v>
          </cell>
          <cell r="B60" t="str">
            <v xml:space="preserve">AT T 5.625 15/06/2016</v>
          </cell>
        </row>
        <row r="61">
          <cell r="A61" t="str">
            <v>XS0356044643</v>
          </cell>
          <cell r="B61" t="str">
            <v xml:space="preserve">ATT 6.125 02/04/2015</v>
          </cell>
        </row>
        <row r="62">
          <cell r="A62" t="str">
            <v>AT0000386198</v>
          </cell>
          <cell r="B62" t="str">
            <v xml:space="preserve">AUSTRIA REP OF 3.50 15/07/2015</v>
          </cell>
        </row>
        <row r="63">
          <cell r="A63" t="str">
            <v>XS0130738213</v>
          </cell>
          <cell r="B63" t="str">
            <v xml:space="preserve">AXA SA DE CV 6 18/06/2013</v>
          </cell>
        </row>
        <row r="64">
          <cell r="A64" t="str">
            <v>US05461YAB20</v>
          </cell>
          <cell r="B64" t="str">
            <v xml:space="preserve">AXTEL 11 15/12/2013</v>
          </cell>
        </row>
        <row r="65">
          <cell r="A65" t="str">
            <v>USP06064AA01</v>
          </cell>
          <cell r="B65" t="str">
            <v xml:space="preserve">AXTEL 7.625 01/02/2017</v>
          </cell>
        </row>
        <row r="66">
          <cell r="A66" t="str">
            <v>USP06064AB83</v>
          </cell>
          <cell r="B66" t="str">
            <v xml:space="preserve">AXTEL 9.00 22/09/2019</v>
          </cell>
        </row>
        <row r="67">
          <cell r="A67" t="str">
            <v>USP0606PAD70</v>
          </cell>
          <cell r="B67" t="str">
            <v xml:space="preserve">AXTEL 7.00 31/01/2020</v>
          </cell>
        </row>
        <row r="68">
          <cell r="A68" t="str">
            <v>US06738EAB11</v>
          </cell>
          <cell r="B68" t="str">
            <v xml:space="preserve">BARCLAYS 6.625 15/09/2049</v>
          </cell>
        </row>
        <row r="69">
          <cell r="A69" t="str">
            <v>USU05632AB70</v>
          </cell>
          <cell r="B69" t="str">
            <v xml:space="preserve">BAE SYSTEMS 5.20 15/08/2015</v>
          </cell>
        </row>
        <row r="70">
          <cell r="A70" t="str">
            <v>USP07785AD38</v>
          </cell>
          <cell r="B70" t="str">
            <v xml:space="preserve">BANCO BMG 9.95 05/11/2019</v>
          </cell>
        </row>
        <row r="71">
          <cell r="A71" t="str">
            <v>NA</v>
          </cell>
          <cell r="B71" t="str">
            <v xml:space="preserve">BANK HAPOALIM 3P06-39</v>
          </cell>
        </row>
        <row r="72">
          <cell r="A72" t="str">
            <v>US05518UAA51</v>
          </cell>
          <cell r="B72" t="str">
            <v xml:space="preserve">BANK OF AMERICA 4.00 15/12/2049</v>
          </cell>
        </row>
        <row r="73">
          <cell r="A73" t="str">
            <v>US05518VAA35</v>
          </cell>
          <cell r="B73" t="str">
            <v xml:space="preserve">BANK OF AMERICA 4.00 29/09/2049</v>
          </cell>
        </row>
        <row r="74">
          <cell r="A74" t="str">
            <v>US060505AU81</v>
          </cell>
          <cell r="B74" t="str">
            <v xml:space="preserve">BANK OF AMERICA 5.125 15/11/2014</v>
          </cell>
        </row>
        <row r="75">
          <cell r="A75" t="str">
            <v>US060505DA90</v>
          </cell>
          <cell r="B75" t="str">
            <v xml:space="preserve">BANK OF AMERICA 5.42 15/03/2017</v>
          </cell>
        </row>
        <row r="76">
          <cell r="A76" t="str">
            <v>US060505DR26</v>
          </cell>
          <cell r="B76" t="str">
            <v xml:space="preserve">BANK OF AMERICA 8.00 29/12/2049</v>
          </cell>
        </row>
        <row r="77">
          <cell r="A77" t="str">
            <v>US060505DT81</v>
          </cell>
          <cell r="B77" t="str">
            <v xml:space="preserve">BANK OF AMERICA 8.125 15/11/2049</v>
          </cell>
        </row>
        <row r="78">
          <cell r="A78" t="str">
            <v>US06050XNM10</v>
          </cell>
          <cell r="B78" t="str">
            <v xml:space="preserve">BANK OF AMER CRP 5 15/12/2013</v>
          </cell>
        </row>
        <row r="79">
          <cell r="A79" t="str">
            <v>US06050XNS89</v>
          </cell>
          <cell r="B79" t="str">
            <v xml:space="preserve">BANK OF AMER CRP 5.00 15/12/2013</v>
          </cell>
        </row>
        <row r="80">
          <cell r="A80" t="str">
            <v>US06051GDX43</v>
          </cell>
          <cell r="B80" t="str">
            <v xml:space="preserve">BANK OF AMERICA 5.65 01/05/2018</v>
          </cell>
        </row>
        <row r="81">
          <cell r="A81" t="str">
            <v>US06051GEB14</v>
          </cell>
          <cell r="B81" t="str">
            <v xml:space="preserve">BANK OF AMERICA 4.50 01/04/2015</v>
          </cell>
        </row>
        <row r="82">
          <cell r="A82" t="str">
            <v>CA063671XX44</v>
          </cell>
          <cell r="B82" t="str">
            <v xml:space="preserve">BANK OF MONTREAL 5.18 10/06/2015</v>
          </cell>
        </row>
        <row r="83">
          <cell r="A83" t="str">
            <v>USP14517AB56</v>
          </cell>
          <cell r="B83" t="str">
            <v xml:space="preserve">BANCO NACIONAL COM EXT</v>
          </cell>
        </row>
        <row r="84">
          <cell r="A84" t="str">
            <v>USP1392BAX03</v>
          </cell>
          <cell r="B84" t="str">
            <v xml:space="preserve">BANCO MERC NORTE VAR 17/02/2014</v>
          </cell>
        </row>
        <row r="85">
          <cell r="A85" t="str">
            <v>USP1393WAA38</v>
          </cell>
          <cell r="B85" t="str">
            <v xml:space="preserve">BANCO MERCANTIL DEL NORTE 6.862 13/10/2021</v>
          </cell>
        </row>
        <row r="86">
          <cell r="A86" t="str">
            <v>USP14008AC36</v>
          </cell>
          <cell r="B86" t="str">
            <v xml:space="preserve">BANCO MERCANTIL DEL NORTE 5.75 10/04/2031</v>
          </cell>
        </row>
        <row r="87">
          <cell r="A87" t="str">
            <v>USP1393WAB11</v>
          </cell>
          <cell r="B87" t="str">
            <v xml:space="preserve">BANCO MERCANTIL DEL NORTE 6.135 13/10/2016</v>
          </cell>
        </row>
        <row r="88">
          <cell r="A88" t="str">
            <v>US06738C8284</v>
          </cell>
          <cell r="B88" t="str">
            <v xml:space="preserve">BARCLAYS BK PLC 6.278 15/12/2049</v>
          </cell>
        </row>
        <row r="89">
          <cell r="A89" t="str">
            <v>US06739FFS56</v>
          </cell>
          <cell r="B89" t="str">
            <v xml:space="preserve">BARCLAYS 6.75 22/05/2019</v>
          </cell>
        </row>
        <row r="90">
          <cell r="A90" t="str">
            <v>US06739GAE98</v>
          </cell>
          <cell r="B90" t="str">
            <v xml:space="preserve">BARCLAYS BK PLC 6.05 04/12/2017</v>
          </cell>
        </row>
        <row r="91">
          <cell r="A91" t="str">
            <v>US06740L8C27</v>
          </cell>
          <cell r="B91" t="str">
            <v xml:space="preserve">BARCLAYS 7.625 21/11/2022</v>
          </cell>
        </row>
        <row r="92">
          <cell r="A92" t="str">
            <v>XS0222208539</v>
          </cell>
          <cell r="B92" t="str">
            <v xml:space="preserve">BARCLAYS 6.00% PERPETUAL</v>
          </cell>
        </row>
        <row r="93">
          <cell r="A93" t="str">
            <v>XS0255605239</v>
          </cell>
          <cell r="B93" t="str">
            <v xml:space="preserve">BAYER AG 5.625 23/05/2018</v>
          </cell>
        </row>
        <row r="94">
          <cell r="A94" t="str">
            <v>XS0255605825</v>
          </cell>
          <cell r="B94" t="str">
            <v xml:space="preserve">BAYER 4.50 23/05/2013</v>
          </cell>
        </row>
        <row r="95">
          <cell r="A95" t="str">
            <v>US05530RAB42</v>
          </cell>
          <cell r="B95" t="str">
            <v xml:space="preserve">BBVA INTL 5.919 18/04/2049</v>
          </cell>
        </row>
        <row r="96">
          <cell r="A96" t="str">
            <v>USG09077AB73</v>
          </cell>
          <cell r="B96" t="str">
            <v xml:space="preserve">BBVA 6.008 17/05/2022</v>
          </cell>
        </row>
        <row r="97">
          <cell r="A97" t="str">
            <v>XS0457228137</v>
          </cell>
          <cell r="B97" t="str">
            <v xml:space="preserve">BBVA INTL 8.50 21/10/2049</v>
          </cell>
        </row>
        <row r="98">
          <cell r="A98" t="str">
            <v>XS0457234291</v>
          </cell>
          <cell r="B98" t="str">
            <v xml:space="preserve">BBVA INTL 9.10 21/10/2049</v>
          </cell>
        </row>
        <row r="99">
          <cell r="A99" t="str">
            <v>XS0926832907</v>
          </cell>
          <cell r="B99" t="str">
            <v xml:space="preserve">BBVA 9.00 09/05/2049</v>
          </cell>
        </row>
        <row r="100">
          <cell r="A100" t="str">
            <v>PENDIENTE</v>
          </cell>
          <cell r="B100" t="str">
            <v xml:space="preserve">JBACOMER   8-12</v>
          </cell>
        </row>
        <row r="101">
          <cell r="A101" t="str">
            <v>PENDIENTE</v>
          </cell>
          <cell r="B101" t="str">
            <v xml:space="preserve">JBACOMER 11-1</v>
          </cell>
        </row>
        <row r="102">
          <cell r="A102" t="str">
            <v>PENDIENTE</v>
          </cell>
          <cell r="B102" t="str">
            <v xml:space="preserve">JBACOMER 8-12</v>
          </cell>
        </row>
        <row r="103">
          <cell r="A103" t="str">
            <v>USG09077AA90</v>
          </cell>
          <cell r="B103" t="str">
            <v xml:space="preserve">BBVA BANCOMER 5.3795 22/07/15</v>
          </cell>
        </row>
        <row r="104">
          <cell r="A104" t="str">
            <v>US05946KAF84</v>
          </cell>
          <cell r="B104" t="str">
            <v xml:space="preserve">BBVA 6.125 PERP</v>
          </cell>
        </row>
        <row r="105">
          <cell r="A105" t="str">
            <v>USP1R23DAA49</v>
          </cell>
          <cell r="B105" t="str">
            <v xml:space="preserve">BBVA BANCOMER 7.25 22/04/2020</v>
          </cell>
        </row>
        <row r="106">
          <cell r="A106" t="str">
            <v>XS0300999744</v>
          </cell>
          <cell r="B106" t="str">
            <v xml:space="preserve">BBVA BANCOMER 4.799 17/05/2017</v>
          </cell>
        </row>
        <row r="107">
          <cell r="A107" t="str">
            <v>BE0000307166</v>
          </cell>
          <cell r="B107" t="str">
            <v xml:space="preserve">BELGIUM 3.25 28/09/2016</v>
          </cell>
        </row>
        <row r="108">
          <cell r="A108" t="str">
            <v>US086516AL50</v>
          </cell>
          <cell r="B108" t="str">
            <v xml:space="preserve">BEST BUY 5.50 15/03/2021</v>
          </cell>
        </row>
        <row r="109">
          <cell r="A109" t="str">
            <v>US055451AF50</v>
          </cell>
          <cell r="B109" t="str">
            <v xml:space="preserve">BHP BILLITON 5.4 29/03/2017</v>
          </cell>
        </row>
        <row r="110">
          <cell r="A110" t="str">
            <v>XS0288320798</v>
          </cell>
          <cell r="B110" t="str">
            <v xml:space="preserve">BHP BILLITON FIN 4.375 26/02/2014</v>
          </cell>
        </row>
        <row r="111">
          <cell r="A111" t="str">
            <v>US055451AB47</v>
          </cell>
          <cell r="B111" t="str">
            <v xml:space="preserve">BHP FINANCE 5.250 15/12/2015</v>
          </cell>
        </row>
        <row r="112">
          <cell r="A112" t="str">
            <v>FR0010239319</v>
          </cell>
          <cell r="B112" t="str">
            <v xml:space="preserve">BNP PARIBAS 4.875 29/10/2049</v>
          </cell>
        </row>
        <row r="113">
          <cell r="A113" t="str">
            <v>PENDIENTE</v>
          </cell>
          <cell r="B113" t="str">
            <v xml:space="preserve">BNP PARIBAS 3PO5-34 8.00 30/03/2030</v>
          </cell>
        </row>
        <row r="114">
          <cell r="A114" t="str">
            <v>US05567LT315</v>
          </cell>
          <cell r="B114" t="str">
            <v xml:space="preserve">BNP PARIBAS 5.00 15/01/2021</v>
          </cell>
        </row>
        <row r="115">
          <cell r="A115" t="str">
            <v>US05574LPT97</v>
          </cell>
          <cell r="B115" t="str">
            <v xml:space="preserve">BNP PARIBAS 2.70 20/08/2018</v>
          </cell>
        </row>
        <row r="116">
          <cell r="A116" t="str">
            <v>USF1058YHV32</v>
          </cell>
          <cell r="B116" t="str">
            <v xml:space="preserve">BNP PARIBAS 5.186 29/06/2049</v>
          </cell>
        </row>
        <row r="117">
          <cell r="A117" t="str">
            <v>USF1058YHX97</v>
          </cell>
          <cell r="B117" t="str">
            <v xml:space="preserve">BNP PARIBAS 7.195 29/06/2049</v>
          </cell>
        </row>
        <row r="118">
          <cell r="A118" t="str">
            <v>USF1R15XK367</v>
          </cell>
          <cell r="B118" t="str">
            <v xml:space="preserve">BNP PARIBAS 7.375 PERPETUAL</v>
          </cell>
        </row>
        <row r="119">
          <cell r="A119" t="str">
            <v>USC10602AY36</v>
          </cell>
          <cell r="B119" t="str">
            <v xml:space="preserve">BOMBARDIER 6 15/10/2022 REGS</v>
          </cell>
        </row>
        <row r="120">
          <cell r="A120" t="str">
            <v>US097751AL51</v>
          </cell>
          <cell r="B120" t="str">
            <v xml:space="preserve">BOMBARDIER 7.45 01/05/2034</v>
          </cell>
        </row>
        <row r="121">
          <cell r="A121" t="str">
            <v>US097751BM26</v>
          </cell>
          <cell r="B121" t="str">
            <v xml:space="preserve">BOMBARDIER 7.5 03/15/2025</v>
          </cell>
        </row>
        <row r="122">
          <cell r="A122" t="str">
            <v>US097751AM35</v>
          </cell>
          <cell r="B122" t="str">
            <v xml:space="preserve">BOMBARDIER 8.00 15/11/2014</v>
          </cell>
        </row>
        <row r="123">
          <cell r="A123" t="str">
            <v>US097751AS05</v>
          </cell>
          <cell r="B123" t="str">
            <v xml:space="preserve">BOMBARDIER  7.50  15/03/2018</v>
          </cell>
        </row>
        <row r="124">
          <cell r="A124" t="str">
            <v>US097751AV34</v>
          </cell>
          <cell r="B124" t="str">
            <v xml:space="preserve">BOMBARDIER  7.75  15/03/2020</v>
          </cell>
        </row>
        <row r="125">
          <cell r="A125" t="str">
            <v>US097751AY72</v>
          </cell>
          <cell r="B125" t="str">
            <v xml:space="preserve">BOMBARDIER 5.75 15/03/2022</v>
          </cell>
        </row>
        <row r="126">
          <cell r="A126" t="str">
            <v>USC10602AJ68</v>
          </cell>
          <cell r="B126" t="str">
            <v xml:space="preserve">BOMBARDIER 7.45 01/05/2034</v>
          </cell>
        </row>
        <row r="127">
          <cell r="A127" t="str">
            <v>USC10602AN70</v>
          </cell>
          <cell r="B127" t="str">
            <v xml:space="preserve">BOMBARDIER.   7.50 15/03/2018</v>
          </cell>
        </row>
        <row r="128">
          <cell r="A128" t="str">
            <v>USC10602AP29</v>
          </cell>
          <cell r="B128" t="str">
            <v xml:space="preserve">BOMBARDIER 7.75 15/03/2020</v>
          </cell>
        </row>
        <row r="129">
          <cell r="A129" t="str">
            <v>XS0273988393</v>
          </cell>
          <cell r="B129" t="str">
            <v xml:space="preserve">BOMBARDIER 7.25 15/11/2016</v>
          </cell>
        </row>
        <row r="130">
          <cell r="A130" t="str">
            <v>USC10602AW79</v>
          </cell>
          <cell r="B130" t="str">
            <v xml:space="preserve">BOMBARDIER 6.125 15/01/2023</v>
          </cell>
        </row>
        <row r="131">
          <cell r="A131" t="str">
            <v>US10138MAF23</v>
          </cell>
          <cell r="B131" t="str">
            <v xml:space="preserve">BOTTLING GROUP PBG 5 15/11/2013</v>
          </cell>
        </row>
        <row r="132">
          <cell r="A132" t="str">
            <v>USP18533AD48</v>
          </cell>
          <cell r="B132" t="str">
            <v xml:space="preserve">BRASKEM 9.75 17/06/2049</v>
          </cell>
        </row>
        <row r="133">
          <cell r="A133" t="str">
            <v>USP18533AK80</v>
          </cell>
          <cell r="B133" t="str">
            <v xml:space="preserve">BRASKEM 8.00 26/01/2017</v>
          </cell>
        </row>
        <row r="134">
          <cell r="A134" t="str">
            <v>US105756AE07</v>
          </cell>
          <cell r="B134" t="str">
            <v xml:space="preserve">BRAZIL GLOBAL BD 10.125 15/05/2027</v>
          </cell>
        </row>
        <row r="135">
          <cell r="A135" t="str">
            <v>US105756AR10</v>
          </cell>
          <cell r="B135" t="str">
            <v xml:space="preserve">BRAZIL GLOBAL BD 8.875 15/04/2024</v>
          </cell>
        </row>
        <row r="136">
          <cell r="A136" t="str">
            <v>US105756AX87</v>
          </cell>
          <cell r="B136" t="str">
            <v xml:space="preserve">BRAZIL REP OF 10.25 17/06/2013</v>
          </cell>
        </row>
        <row r="137">
          <cell r="A137" t="str">
            <v>US105756BE97</v>
          </cell>
          <cell r="B137" t="str">
            <v xml:space="preserve">BRAZIL REP OF 8.875 14/10/2019</v>
          </cell>
        </row>
        <row r="138">
          <cell r="A138" t="str">
            <v>US105756BG46</v>
          </cell>
          <cell r="B138" t="str">
            <v xml:space="preserve">BRASIL 7.875 07/03/15</v>
          </cell>
        </row>
        <row r="139">
          <cell r="A139" t="str">
            <v>XS0049985533</v>
          </cell>
          <cell r="B139" t="str">
            <v xml:space="preserve">BRAZIL PAR Z L 6 15/04/2024</v>
          </cell>
        </row>
        <row r="140">
          <cell r="A140" t="str">
            <v>XS0211229637</v>
          </cell>
          <cell r="B140" t="str">
            <v xml:space="preserve">BRAZIL REP.OF 7.375 03/02/15</v>
          </cell>
        </row>
        <row r="141">
          <cell r="A141" t="str">
            <v>US110122AR90</v>
          </cell>
          <cell r="B141" t="str">
            <v xml:space="preserve">BRISTOL-MYER SQB 5.45 01/05/2018</v>
          </cell>
        </row>
        <row r="142">
          <cell r="A142" t="str">
            <v>XS0166711266</v>
          </cell>
          <cell r="B142" t="str">
            <v xml:space="preserve">PROVINCE OF BRITISH COL 5.50 24/04/2013</v>
          </cell>
        </row>
        <row r="143">
          <cell r="A143" t="str">
            <v>US11102AAA97</v>
          </cell>
          <cell r="B143" t="str">
            <v xml:space="preserve">BRITISH TELECOM 5.95 15/01/2018</v>
          </cell>
        </row>
        <row r="144">
          <cell r="A144" t="str">
            <v>XS0123682758</v>
          </cell>
          <cell r="B144" t="str">
            <v xml:space="preserve">BRITISH TELECOM 8.50 07/12/2016</v>
          </cell>
        </row>
        <row r="145">
          <cell r="A145" t="str">
            <v>XS0306772939</v>
          </cell>
          <cell r="B145" t="str">
            <v xml:space="preserve">BRITISH TELECOM 6.625 23/06/2017</v>
          </cell>
        </row>
        <row r="146">
          <cell r="A146" t="str">
            <v>USP1923GAE90</v>
          </cell>
          <cell r="B146" t="str">
            <v xml:space="preserve">CABLEMAS 9.375 15/11/2015</v>
          </cell>
        </row>
        <row r="147">
          <cell r="A147" t="str">
            <v>USU12283AB03</v>
          </cell>
          <cell r="B147" t="str">
            <v xml:space="preserve">CADBURY SCHW 5.125 01/10/2013</v>
          </cell>
        </row>
        <row r="148">
          <cell r="A148" t="str">
            <v>XS1863415201</v>
          </cell>
          <cell r="B148" t="str">
            <v xml:space="preserve">CAPFIN 9.00 14/09/2023</v>
          </cell>
        </row>
        <row r="149">
          <cell r="A149" t="str">
            <v>US14040HAR66</v>
          </cell>
          <cell r="B149" t="str">
            <v xml:space="preserve">CAPITAL ONE 6.75 09/15/17</v>
          </cell>
        </row>
        <row r="150">
          <cell r="A150" t="str">
            <v>US141784DK15</v>
          </cell>
          <cell r="B150" t="str">
            <v xml:space="preserve">CARGILL 7.35 06/03/2019</v>
          </cell>
        </row>
        <row r="151">
          <cell r="A151" t="str">
            <v>XS0252760607</v>
          </cell>
          <cell r="B151" t="str">
            <v xml:space="preserve">CARGILL 4.3750 04/29/2013</v>
          </cell>
        </row>
        <row r="152">
          <cell r="A152" t="str">
            <v>XS0302816672</v>
          </cell>
          <cell r="B152" t="str">
            <v xml:space="preserve">CARGILL 4.875 29/05/2017</v>
          </cell>
        </row>
        <row r="153">
          <cell r="A153" t="str">
            <v>XS0430699008</v>
          </cell>
          <cell r="B153" t="str">
            <v xml:space="preserve">CARLSBERG 7.25 28/11/2016</v>
          </cell>
        </row>
        <row r="154">
          <cell r="A154" t="str">
            <v>US14911RAJ86</v>
          </cell>
          <cell r="B154" t="str">
            <v xml:space="preserve">CATERPILLAR 4.625 01/06/2015</v>
          </cell>
        </row>
        <row r="155">
          <cell r="A155" t="str">
            <v>US14912L3K50</v>
          </cell>
          <cell r="B155" t="str">
            <v xml:space="preserve">CATERPILLAR 5.85 01/09/2017</v>
          </cell>
        </row>
        <row r="156">
          <cell r="A156" t="str">
            <v>US14912L3U33</v>
          </cell>
          <cell r="B156" t="str">
            <v xml:space="preserve">CATERPILLAR 5.45 15/04/2018</v>
          </cell>
        </row>
        <row r="157">
          <cell r="A157" t="str">
            <v>US14912L4E81</v>
          </cell>
          <cell r="B157" t="str">
            <v xml:space="preserve">CATERPILLAR 7.15 15/02/2019</v>
          </cell>
        </row>
        <row r="158">
          <cell r="A158" t="str">
            <v>US925524AU41</v>
          </cell>
          <cell r="B158" t="str">
            <v xml:space="preserve">CBS 4.625 15/05/2018</v>
          </cell>
        </row>
        <row r="159">
          <cell r="A159" t="str">
            <v>USE28087AA77</v>
          </cell>
          <cell r="B159" t="str">
            <v xml:space="preserve">CEMEX 9.25 12/05/2020</v>
          </cell>
        </row>
        <row r="160">
          <cell r="A160" t="str">
            <v>USE28087AC34</v>
          </cell>
          <cell r="B160" t="str">
            <v xml:space="preserve">CEMEX 9.875 30/04/2019</v>
          </cell>
        </row>
        <row r="161">
          <cell r="A161" t="str">
            <v>USE28087AC34</v>
          </cell>
          <cell r="B161" t="str">
            <v xml:space="preserve">CEMEX 9.875 30/04/2019 II</v>
          </cell>
        </row>
        <row r="162">
          <cell r="A162" t="str">
            <v>USG2024RAA98</v>
          </cell>
          <cell r="B162" t="str">
            <v xml:space="preserve">CEMEX 6.64 31/12/2049 PERPETUO</v>
          </cell>
        </row>
        <row r="163">
          <cell r="A163" t="str">
            <v>USG23491AA40</v>
          </cell>
          <cell r="B163" t="str">
            <v xml:space="preserve">CEMEX 6.722 31/12/2049</v>
          </cell>
        </row>
        <row r="164">
          <cell r="A164" t="str">
            <v>USG4490RAA08</v>
          </cell>
          <cell r="B164" t="str">
            <v xml:space="preserve">CEMEX  6.196 VAR PERPETUO</v>
          </cell>
        </row>
        <row r="165">
          <cell r="A165" t="str">
            <v>USU12763AA37</v>
          </cell>
          <cell r="B165" t="str">
            <v xml:space="preserve">CEMEX 9.50 14/12/2016</v>
          </cell>
        </row>
        <row r="166">
          <cell r="A166" t="str">
            <v>USU12771AA60</v>
          </cell>
          <cell r="B166" t="str">
            <v xml:space="preserve">CEMEX INTL CAP 9.66 29/11/2049</v>
          </cell>
        </row>
        <row r="167">
          <cell r="A167" t="str">
            <v>XS0289333048</v>
          </cell>
          <cell r="B167" t="str">
            <v xml:space="preserve">CEMEX 4.75 05/03/2014</v>
          </cell>
        </row>
        <row r="168">
          <cell r="A168" t="str">
            <v>XS0300179198</v>
          </cell>
          <cell r="B168" t="str">
            <v xml:space="preserve">CEMEX EUR CAP 6.277 PERPETUO</v>
          </cell>
        </row>
        <row r="169">
          <cell r="A169" t="str">
            <v>XS0752095686</v>
          </cell>
          <cell r="B169" t="str">
            <v xml:space="preserve">CEMEX 9.875 30/04/2019 EUR</v>
          </cell>
        </row>
        <row r="170">
          <cell r="A170" t="str">
            <v>MXBIGO000GB9</v>
          </cell>
          <cell r="B170" t="str">
            <v xml:space="preserve">CETES 0 03/20/14</v>
          </cell>
        </row>
        <row r="171">
          <cell r="A171" t="str">
            <v>XS0170386998</v>
          </cell>
          <cell r="B171" t="str">
            <v xml:space="preserve">CIBA 4.875 20/06/2018</v>
          </cell>
        </row>
        <row r="172">
          <cell r="A172" t="str">
            <v>USP3142LAN93</v>
          </cell>
          <cell r="B172" t="str">
            <v xml:space="preserve">CIE 14/06/15 8.875</v>
          </cell>
        </row>
        <row r="173">
          <cell r="A173" t="str">
            <v>US172967GD72</v>
          </cell>
          <cell r="B173" t="str">
            <v xml:space="preserve">CITIGROUP INC 5.95 PERPETUO</v>
          </cell>
        </row>
        <row r="174">
          <cell r="A174" t="str">
            <v>US17275RAC60</v>
          </cell>
          <cell r="B174" t="str">
            <v xml:space="preserve">CISCO SYSTEMS 5.5 22/02/2016</v>
          </cell>
        </row>
        <row r="175">
          <cell r="A175" t="str">
            <v>US17275RAH57</v>
          </cell>
          <cell r="B175" t="str">
            <v xml:space="preserve">CISCO 4.45 15/01/2020</v>
          </cell>
        </row>
        <row r="176">
          <cell r="A176" t="str">
            <v>XS0612337500</v>
          </cell>
          <cell r="B176" t="str">
            <v xml:space="preserve">CITIC PACIFIC 7.875 15/04/2049</v>
          </cell>
        </row>
        <row r="177">
          <cell r="A177" t="str">
            <v>US172967BW09</v>
          </cell>
          <cell r="B177" t="str">
            <v xml:space="preserve">CITIGROUP 4.875 07/05/2015</v>
          </cell>
        </row>
        <row r="178">
          <cell r="A178" t="str">
            <v>US172967CK51</v>
          </cell>
          <cell r="B178" t="str">
            <v xml:space="preserve">CITIGROUP INC 5.125 05/05/2014</v>
          </cell>
        </row>
        <row r="179">
          <cell r="A179" t="str">
            <v>US172967CQ22</v>
          </cell>
          <cell r="B179" t="str">
            <v xml:space="preserve">CITIGROUP INC 5 15/09/2014</v>
          </cell>
        </row>
        <row r="180">
          <cell r="A180" t="str">
            <v>US17307XAL55</v>
          </cell>
          <cell r="B180" t="str">
            <v xml:space="preserve">CITIGROUP GLOBAL 5.00 15/11/2013</v>
          </cell>
        </row>
        <row r="181">
          <cell r="A181" t="str">
            <v>US17307XAQ43</v>
          </cell>
          <cell r="B181" t="str">
            <v xml:space="preserve">CITIGROUP GLOBAL 5 15/11/2013</v>
          </cell>
        </row>
        <row r="182">
          <cell r="A182" t="str">
            <v>USU1900PAA85</v>
          </cell>
          <cell r="B182" t="str">
            <v xml:space="preserve">CME GROUP 4.40 15/03/2018</v>
          </cell>
        </row>
        <row r="183">
          <cell r="A183" t="str">
            <v>PENDIENTE</v>
          </cell>
          <cell r="B183" t="str">
            <v xml:space="preserve">COLOMBIA REP OF 8.25 22/12/2014</v>
          </cell>
        </row>
        <row r="184">
          <cell r="A184" t="str">
            <v>US20030NAJ00</v>
          </cell>
          <cell r="B184" t="str">
            <v xml:space="preserve">COMCAST 5.85 15/11/2015</v>
          </cell>
        </row>
        <row r="185">
          <cell r="A185" t="str">
            <v>US21238AAF49</v>
          </cell>
          <cell r="B185" t="str">
            <v xml:space="preserve">COMERCIAL MEXICANA 01/06/2015 6.625</v>
          </cell>
        </row>
        <row r="186">
          <cell r="A186" t="str">
            <v>USJ21238AAJ60</v>
          </cell>
          <cell r="B186" t="str">
            <v xml:space="preserve">COMERCIAL MEXICANA 7.00 30/06/2018</v>
          </cell>
        </row>
        <row r="187">
          <cell r="A187" t="str">
            <v>US2027A1DJ35</v>
          </cell>
          <cell r="B187" t="str">
            <v xml:space="preserve">COMMONWEALTH BANK AUST 5.00 15/10/2019</v>
          </cell>
        </row>
        <row r="188">
          <cell r="A188" t="str">
            <v>XS0451044605</v>
          </cell>
          <cell r="B188" t="str">
            <v xml:space="preserve">COMMONWEALTH BANK AUSTRALIA 3.00 20/09/2013</v>
          </cell>
        </row>
        <row r="189">
          <cell r="A189" t="str">
            <v>US20825TAA51</v>
          </cell>
          <cell r="B189" t="str">
            <v xml:space="preserve">CONOCOPHILLIPS 5.625 15/10/2016</v>
          </cell>
        </row>
        <row r="190">
          <cell r="A190" t="str">
            <v>XS0339948183</v>
          </cell>
          <cell r="B190" t="str">
            <v xml:space="preserve">CONSORCIO HOLDINGS 12.00 17/01/2014</v>
          </cell>
        </row>
        <row r="191">
          <cell r="A191" t="str">
            <v>XS0367806147</v>
          </cell>
          <cell r="B191" t="str">
            <v xml:space="preserve">CONSORCIO HOLDINGS 12.00 05/06/2014</v>
          </cell>
        </row>
        <row r="192">
          <cell r="A192" t="str">
            <v>XS0367806147</v>
          </cell>
          <cell r="B192" t="str">
            <v xml:space="preserve">CONSORCIO HOLDINGS II 12.00 05/06/2014</v>
          </cell>
        </row>
        <row r="193">
          <cell r="A193" t="str">
            <v>US210371AK69</v>
          </cell>
          <cell r="B193" t="str">
            <v xml:space="preserve">CONSTELLATION ENERGY 4.55 15/06/2015</v>
          </cell>
        </row>
        <row r="194">
          <cell r="A194" t="str">
            <v>USG24419AA47</v>
          </cell>
          <cell r="B194" t="str">
            <v xml:space="preserve">COSAN 7.00 01/02/2017</v>
          </cell>
        </row>
        <row r="195">
          <cell r="A195" t="str">
            <v>USP31573AB77</v>
          </cell>
          <cell r="B195" t="str">
            <v xml:space="preserve">COSAN 8.25 11/02/2049</v>
          </cell>
        </row>
        <row r="196">
          <cell r="A196" t="str">
            <v>XS0556373347</v>
          </cell>
          <cell r="B196" t="str">
            <v xml:space="preserve">COSAN 8.25 05/11/2049</v>
          </cell>
        </row>
        <row r="197">
          <cell r="A197" t="str">
            <v>FR0010161026</v>
          </cell>
          <cell r="B197" t="str">
            <v xml:space="preserve">CREDIT AGRICOLE 9.75 26/06/2050</v>
          </cell>
        </row>
        <row r="198">
          <cell r="A198" t="str">
            <v>FR0010772244</v>
          </cell>
          <cell r="B198" t="str">
            <v xml:space="preserve">CREDIT AGRICOLE 9.75 26/06/2049</v>
          </cell>
        </row>
        <row r="199">
          <cell r="A199" t="str">
            <v>USF22797FJ25</v>
          </cell>
          <cell r="B199" t="str">
            <v xml:space="preserve">CREDIT AGRICOLE 6.637 31/05/2049</v>
          </cell>
        </row>
        <row r="200">
          <cell r="A200" t="str">
            <v>XS0343877451</v>
          </cell>
          <cell r="B200" t="str">
            <v xml:space="preserve">CREDIT AGRICOLE 5.971 01/02/2018</v>
          </cell>
        </row>
        <row r="201">
          <cell r="A201" t="str">
            <v>XS0550466469</v>
          </cell>
          <cell r="B201" t="str">
            <v xml:space="preserve">CREDIT AGRICOLE 3.90 19/04/2021</v>
          </cell>
        </row>
        <row r="202">
          <cell r="A202" t="str">
            <v>USF22797RT78</v>
          </cell>
          <cell r="B202" t="str">
            <v xml:space="preserve">CREDIT AGRICOLE 7.875 23/01/2049</v>
          </cell>
        </row>
        <row r="203">
          <cell r="A203" t="str">
            <v>US22533E2A60</v>
          </cell>
          <cell r="B203" t="str">
            <v xml:space="preserve">CREDIT AGRICOLE 3 10/01/2017</v>
          </cell>
        </row>
        <row r="204">
          <cell r="A204" t="str">
            <v>XS0928224608</v>
          </cell>
          <cell r="B204" t="str">
            <v xml:space="preserve">CA STRUCTURED 7.50 16/10/2023</v>
          </cell>
        </row>
        <row r="205">
          <cell r="A205" t="str">
            <v>CH0037972392</v>
          </cell>
          <cell r="B205" t="str">
            <v xml:space="preserve">CREDIT SUISSE 4.875 14/03/2018</v>
          </cell>
        </row>
        <row r="206">
          <cell r="A206" t="str">
            <v>US22541LAR42</v>
          </cell>
          <cell r="B206" t="str">
            <v xml:space="preserve">CRED SUIS FB USA 4.875 15/01/2015</v>
          </cell>
        </row>
        <row r="207">
          <cell r="A207" t="str">
            <v>US22541LBK89</v>
          </cell>
          <cell r="B207" t="str">
            <v xml:space="preserve">CREDIT SUISSE 5.125 15/08/2015</v>
          </cell>
        </row>
        <row r="208">
          <cell r="A208" t="str">
            <v>US225448AA76</v>
          </cell>
          <cell r="B208" t="str">
            <v xml:space="preserve">CREDIT SUISSE 5.86 15/05/2049</v>
          </cell>
        </row>
        <row r="209">
          <cell r="A209" t="str">
            <v>XS0371612762</v>
          </cell>
          <cell r="B209" t="str">
            <v xml:space="preserve">CREDIT SUISSE 8.25  27/06/2049 CLAUDIUS</v>
          </cell>
        </row>
        <row r="210">
          <cell r="A210" t="str">
            <v>USG25842AA66</v>
          </cell>
          <cell r="B210" t="str">
            <v xml:space="preserve">CSN ISLANDS 10.50 15/01/2015</v>
          </cell>
        </row>
        <row r="211">
          <cell r="A211" t="str">
            <v>USG25847AA53</v>
          </cell>
          <cell r="B211" t="str">
            <v xml:space="preserve">CSN 9.50 14/07/2049</v>
          </cell>
        </row>
        <row r="212">
          <cell r="A212" t="str">
            <v>USG2584XAA84</v>
          </cell>
          <cell r="B212" t="str">
            <v xml:space="preserve">CSN ISLANDS VIII  9.75 16/12/2013</v>
          </cell>
        </row>
        <row r="213">
          <cell r="A213" t="str">
            <v>USG2585XAA75</v>
          </cell>
          <cell r="B213" t="str">
            <v xml:space="preserve">CSN 7.00 23/09/2049</v>
          </cell>
        </row>
        <row r="214">
          <cell r="A214" t="str">
            <v>USL21779AA88</v>
          </cell>
          <cell r="B214" t="str">
            <v xml:space="preserve">CSN 6.50% 21/07/2020</v>
          </cell>
        </row>
        <row r="215">
          <cell r="A215" t="str">
            <v>USG2583XAA93</v>
          </cell>
          <cell r="B215" t="str">
            <v xml:space="preserve">CSN 6.875 21/09/2019</v>
          </cell>
        </row>
        <row r="216">
          <cell r="A216" t="str">
            <v>FR0010612713</v>
          </cell>
          <cell r="B216" t="str">
            <v xml:space="preserve">DANONE 5.50 06/05/2015</v>
          </cell>
        </row>
        <row r="217">
          <cell r="A217" t="str">
            <v>US247025AE93</v>
          </cell>
          <cell r="B217" t="str">
            <v xml:space="preserve">DELL 7.1 15/04/2028</v>
          </cell>
        </row>
        <row r="218">
          <cell r="A218" t="str">
            <v>US24702RAF82</v>
          </cell>
          <cell r="B218" t="str">
            <v xml:space="preserve">DELL 6.50 15/04/2038</v>
          </cell>
        </row>
        <row r="219">
          <cell r="A219" t="str">
            <v>DE000A1ALVC5</v>
          </cell>
          <cell r="B219" t="str">
            <v xml:space="preserve">DEUTSCHE BK CAP FUND 9.50 29/03/2049</v>
          </cell>
        </row>
        <row r="220">
          <cell r="A220" t="str">
            <v>US25152CMN38</v>
          </cell>
          <cell r="B220" t="str">
            <v xml:space="preserve">DEUTSCHE BANK 6.00 01/09/2017</v>
          </cell>
        </row>
        <row r="221">
          <cell r="A221" t="str">
            <v>US25154A1088</v>
          </cell>
          <cell r="B221" t="str">
            <v xml:space="preserve">DEUTSCHE BANK 7.60 20/11/2049</v>
          </cell>
        </row>
        <row r="222">
          <cell r="A222" t="str">
            <v>USU2492RAA69</v>
          </cell>
          <cell r="B222" t="str">
            <v xml:space="preserve">DEUTSCHE BK CAP FDNG TST 5.628 19/01/2049</v>
          </cell>
        </row>
        <row r="223">
          <cell r="A223" t="str">
            <v>US25156OAF09</v>
          </cell>
          <cell r="B223" t="str">
            <v xml:space="preserve">DEUTSCHE TELEKOM 5.25 22/07/2013</v>
          </cell>
        </row>
        <row r="224">
          <cell r="A224" t="str">
            <v>US25156PAF09</v>
          </cell>
          <cell r="B224" t="str">
            <v xml:space="preserve">DEUTSCHE TEL FIN DT 5.25 22/07/2013</v>
          </cell>
        </row>
        <row r="225">
          <cell r="A225" t="str">
            <v>US25156PAN33</v>
          </cell>
          <cell r="B225" t="str">
            <v xml:space="preserve">DEUTSCHE TELEKOM 6.00 08/07/2019</v>
          </cell>
        </row>
        <row r="226">
          <cell r="A226" t="str">
            <v>XS0230363805</v>
          </cell>
          <cell r="B226" t="str">
            <v xml:space="preserve">DEUTSCHE TELEKOM 4.875 23/09/14</v>
          </cell>
        </row>
        <row r="227">
          <cell r="A227" t="str">
            <v>XS0503603267</v>
          </cell>
          <cell r="B227" t="str">
            <v xml:space="preserve">DEUTSCHE TELEKOM INT 4.875 22/04/2025</v>
          </cell>
        </row>
        <row r="228">
          <cell r="A228" t="str">
            <v>DE0001135291</v>
          </cell>
          <cell r="B228" t="str">
            <v xml:space="preserve">DEUTSCHLAND REP 3.50 04/01/2016</v>
          </cell>
        </row>
        <row r="229">
          <cell r="A229" t="str">
            <v>US25244SAC52</v>
          </cell>
          <cell r="B229" t="str">
            <v xml:space="preserve">DIAGEO 5.30 28/10/2015</v>
          </cell>
        </row>
        <row r="230">
          <cell r="A230" t="str">
            <v>US25244SAF83</v>
          </cell>
          <cell r="B230" t="str">
            <v xml:space="preserve">DIAGEO 3.25 15/01/2015</v>
          </cell>
        </row>
        <row r="231">
          <cell r="A231" t="str">
            <v>US27876GBE70</v>
          </cell>
          <cell r="B231" t="str">
            <v xml:space="preserve">DISH 7.125 01/02/2016</v>
          </cell>
        </row>
        <row r="232">
          <cell r="A232" t="str">
            <v>US260543BV48</v>
          </cell>
          <cell r="B232" t="str">
            <v xml:space="preserve">DOW CHEMICAL 5.70 15/05/2018</v>
          </cell>
        </row>
        <row r="233">
          <cell r="A233" t="str">
            <v>US260543BW21</v>
          </cell>
          <cell r="B233" t="str">
            <v xml:space="preserve">DOW CHEMICAL 7.60 15/05/2014</v>
          </cell>
        </row>
        <row r="234">
          <cell r="A234" t="str">
            <v>US260543BX04</v>
          </cell>
          <cell r="B234" t="str">
            <v xml:space="preserve">DOW CHEMICAL 8.55 15/05/2019</v>
          </cell>
        </row>
        <row r="235">
          <cell r="A235" t="str">
            <v>US260543CH45</v>
          </cell>
          <cell r="B235" t="str">
            <v xml:space="preserve">DOW CHEMICAL 3.00 15/11/2022</v>
          </cell>
        </row>
        <row r="236">
          <cell r="A236" t="str">
            <v>US263534BN84</v>
          </cell>
          <cell r="B236" t="str">
            <v xml:space="preserve">DUPONT 4.875 30/04/2014</v>
          </cell>
        </row>
        <row r="237">
          <cell r="A237" t="str">
            <v>US263534BN84</v>
          </cell>
          <cell r="B237" t="str">
            <v xml:space="preserve">EI DUPONT</v>
          </cell>
        </row>
        <row r="238">
          <cell r="A238" t="str">
            <v>US263534BX66</v>
          </cell>
          <cell r="B238" t="str">
            <v xml:space="preserve">DUPONT EI NEMOUR 4.75 15/03/2015</v>
          </cell>
        </row>
        <row r="239">
          <cell r="A239" t="str">
            <v>US263534BZ15</v>
          </cell>
          <cell r="B239" t="str">
            <v xml:space="preserve">DU PONT 4.625 15/01/2020</v>
          </cell>
        </row>
        <row r="240">
          <cell r="A240" t="str">
            <v>XS0518084016</v>
          </cell>
          <cell r="B240" t="str">
            <v xml:space="preserve">DYNAMICA 13.00 30/06/2014</v>
          </cell>
        </row>
        <row r="241">
          <cell r="A241" t="str">
            <v>US268789AA24</v>
          </cell>
          <cell r="B241" t="str">
            <v xml:space="preserve">E.ON INTL 5.8 30/04/2018</v>
          </cell>
        </row>
        <row r="242">
          <cell r="A242" t="str">
            <v>XS0327443460</v>
          </cell>
          <cell r="B242" t="str">
            <v xml:space="preserve">E.ON INTL 6.0 30/10/2019</v>
          </cell>
        </row>
        <row r="243">
          <cell r="A243" t="str">
            <v>XS0445463887</v>
          </cell>
          <cell r="B243" t="str">
            <v xml:space="preserve">EADS 4.625 12/08/2016</v>
          </cell>
        </row>
        <row r="244">
          <cell r="A244" t="str">
            <v>US277461BD00</v>
          </cell>
          <cell r="B244" t="str">
            <v xml:space="preserve">EASTMAN KODAK CO 7.25 15/11/2013</v>
          </cell>
        </row>
        <row r="245">
          <cell r="A245" t="str">
            <v>US27927WAD48</v>
          </cell>
          <cell r="B245" t="str">
            <v xml:space="preserve">REP OF ECUADOR 5 15/08/2030</v>
          </cell>
        </row>
        <row r="246">
          <cell r="A246" t="str">
            <v>USF2893TAF33</v>
          </cell>
          <cell r="B246" t="str">
            <v xml:space="preserve">EDF 5.25 29/01/2049</v>
          </cell>
        </row>
        <row r="247">
          <cell r="A247" t="str">
            <v>XS0655700762</v>
          </cell>
          <cell r="B247" t="str">
            <v xml:space="preserve">ELEKTRA 7.25 06/08/2018</v>
          </cell>
        </row>
        <row r="248">
          <cell r="A248" t="str">
            <v>US29268BAB71</v>
          </cell>
          <cell r="B248" t="str">
            <v xml:space="preserve">ENEL FINANCE INT 6.25 15/09/2017</v>
          </cell>
        </row>
        <row r="249">
          <cell r="A249" t="str">
            <v>USL2967VCY94</v>
          </cell>
          <cell r="B249" t="str">
            <v xml:space="preserve">ENEL 6.25 15/09/2017</v>
          </cell>
        </row>
        <row r="250">
          <cell r="A250" t="str">
            <v>USL2967VEC56</v>
          </cell>
          <cell r="B250" t="str">
            <v xml:space="preserve">ENEL 5.125 07/10/2019</v>
          </cell>
        </row>
        <row r="251">
          <cell r="A251" t="str">
            <v>XS0452187916</v>
          </cell>
          <cell r="B251" t="str">
            <v xml:space="preserve">ENEL 5.00 14/09/2022</v>
          </cell>
        </row>
        <row r="252">
          <cell r="A252" t="str">
            <v>US298785DD52</v>
          </cell>
          <cell r="B252" t="str">
            <v xml:space="preserve">EUROPEAN INVT BANK 4.625 15/05/2014</v>
          </cell>
        </row>
        <row r="253">
          <cell r="A253" t="str">
            <v>USP7700WCF51</v>
          </cell>
          <cell r="B253" t="str">
            <v xml:space="preserve">FAMSA 11.00 20/07/2015</v>
          </cell>
        </row>
        <row r="254">
          <cell r="A254" t="str">
            <v>USP7700WCG35</v>
          </cell>
          <cell r="B254" t="str">
            <v xml:space="preserve">FAMSA 7.25 6/1/2020 </v>
          </cell>
        </row>
        <row r="255">
          <cell r="A255" t="str">
            <v>PENDIENTE</v>
          </cell>
          <cell r="B255" t="str">
            <v xml:space="preserve">FANNIE MAE  STEP CPN 26/12/2018</v>
          </cell>
        </row>
        <row r="256">
          <cell r="A256" t="str">
            <v>US3136F4BF01</v>
          </cell>
          <cell r="B256" t="str">
            <v xml:space="preserve">FANNIE MAE  STEP CPN 22/08/2018</v>
          </cell>
        </row>
        <row r="257">
          <cell r="A257" t="str">
            <v>US3136F4M358</v>
          </cell>
          <cell r="B257" t="str">
            <v xml:space="preserve">FANNIE MAE 4.125 26/12/2018</v>
          </cell>
        </row>
        <row r="258">
          <cell r="A258" t="str">
            <v>US3136F4ZR82</v>
          </cell>
          <cell r="B258" t="str">
            <v xml:space="preserve">FANNIE MAE 5.625 26/12/2018</v>
          </cell>
        </row>
        <row r="259">
          <cell r="A259" t="str">
            <v>US345370CR99</v>
          </cell>
          <cell r="B259" t="str">
            <v xml:space="preserve">FORD 4.346 12/08/2026</v>
          </cell>
        </row>
        <row r="260">
          <cell r="A260" t="str">
            <v>US345370BM12</v>
          </cell>
          <cell r="B260" t="str">
            <v xml:space="preserve">FORD  7.75 15/06/2043</v>
          </cell>
        </row>
        <row r="261">
          <cell r="A261" t="str">
            <v>US345370BR09</v>
          </cell>
          <cell r="B261" t="str">
            <v xml:space="preserve">FORD 7.40 01/11/2046</v>
          </cell>
        </row>
        <row r="262">
          <cell r="A262" t="str">
            <v>US345370CA64</v>
          </cell>
          <cell r="B262" t="str">
            <v xml:space="preserve">FORD 7.45 16/07/2031</v>
          </cell>
        </row>
        <row r="263">
          <cell r="A263" t="str">
            <v>US34539CLJ98</v>
          </cell>
          <cell r="B263" t="str">
            <v xml:space="preserve">FORD MOTOR CRED 6.55 20/12/2013</v>
          </cell>
        </row>
        <row r="264">
          <cell r="A264" t="str">
            <v>US34539CLP58</v>
          </cell>
          <cell r="B264" t="str">
            <v xml:space="preserve">FORD MOTOR CRED 6.5 20/12/2013</v>
          </cell>
        </row>
        <row r="265">
          <cell r="A265" t="str">
            <v>US34539CLU44</v>
          </cell>
          <cell r="B265" t="str">
            <v xml:space="preserve">FORD MOTOR CRED 6.250 20/12/2013</v>
          </cell>
        </row>
        <row r="266">
          <cell r="A266" t="str">
            <v>US34539CLZ31</v>
          </cell>
          <cell r="B266" t="str">
            <v xml:space="preserve">FORD MOTOR CRED 6.25 20/12/2013</v>
          </cell>
        </row>
        <row r="267">
          <cell r="A267" t="str">
            <v>XS0243150967</v>
          </cell>
          <cell r="B267" t="str">
            <v xml:space="preserve">FORTUNE BRANDS 4 30/01/2013</v>
          </cell>
        </row>
        <row r="268">
          <cell r="A268" t="str">
            <v>XS0399412443</v>
          </cell>
          <cell r="B268" t="str">
            <v xml:space="preserve">FRANCE TELECOM 8.125 20/11/2028</v>
          </cell>
        </row>
        <row r="269">
          <cell r="A269" t="str">
            <v>NA</v>
          </cell>
          <cell r="B269" t="str">
            <v xml:space="preserve">FREDDIE MAC 4.00 16/09/13</v>
          </cell>
        </row>
        <row r="270">
          <cell r="A270" t="str">
            <v>US35671DAR61</v>
          </cell>
          <cell r="B270" t="str">
            <v xml:space="preserve">FREEPORT 8.25 01/04/2015</v>
          </cell>
        </row>
        <row r="271">
          <cell r="A271" t="str">
            <v>USP59695AC39</v>
          </cell>
          <cell r="B271" t="str">
            <v xml:space="preserve">FRIBOI 10.50 04/08/2016</v>
          </cell>
        </row>
        <row r="272">
          <cell r="A272" t="str">
            <v>FR0010680041</v>
          </cell>
          <cell r="B272" t="str">
            <v xml:space="preserve">GDF SUEZ 7.0 30/10/2028</v>
          </cell>
        </row>
        <row r="273">
          <cell r="A273" t="str">
            <v>CA36158ZAY21</v>
          </cell>
          <cell r="B273" t="str">
            <v xml:space="preserve">GE CAPITAL CANADA 4.55 17/01/2017</v>
          </cell>
        </row>
        <row r="274">
          <cell r="A274" t="str">
            <v>US36962G3H54</v>
          </cell>
          <cell r="B274" t="str">
            <v xml:space="preserve">GE CAPITAL 5.625 15/09/2017</v>
          </cell>
        </row>
        <row r="275">
          <cell r="A275" t="str">
            <v>US36962G4D32</v>
          </cell>
          <cell r="B275" t="str">
            <v xml:space="preserve">GE CAPITAL 6.00 07/08/2019</v>
          </cell>
        </row>
        <row r="276">
          <cell r="A276" t="str">
            <v>US36962G4J02</v>
          </cell>
          <cell r="B276" t="str">
            <v xml:space="preserve">GE CAPITAL 5.50 08/01/2020</v>
          </cell>
        </row>
        <row r="277">
          <cell r="A277" t="str">
            <v>US36962GK864</v>
          </cell>
          <cell r="B277" t="str">
            <v xml:space="preserve">GE CAPITAL 4.75 15/09/2014</v>
          </cell>
        </row>
        <row r="278">
          <cell r="A278" t="str">
            <v>US81413PAG00</v>
          </cell>
          <cell r="B278" t="str">
            <v xml:space="preserve">GE CAP 7.70 15/06/2028</v>
          </cell>
        </row>
        <row r="279">
          <cell r="A279" t="str">
            <v>XS0191374817</v>
          </cell>
          <cell r="B279" t="str">
            <v xml:space="preserve">GE CAPITAL 5.625 12/12/2014</v>
          </cell>
        </row>
        <row r="280">
          <cell r="A280" t="str">
            <v>XS0229561831</v>
          </cell>
          <cell r="B280" t="str">
            <v xml:space="preserve">GE CAPITAL 4.875 18/09/2037</v>
          </cell>
        </row>
        <row r="281">
          <cell r="A281" t="str">
            <v>XS0453908377</v>
          </cell>
          <cell r="B281" t="str">
            <v xml:space="preserve">GE CAPITAL  5.375 23/01/2020</v>
          </cell>
        </row>
        <row r="282">
          <cell r="A282" t="str">
            <v>XS0453908377</v>
          </cell>
          <cell r="B282" t="str">
            <v xml:space="preserve">GE CAPITAL 5.375 23/01/2020</v>
          </cell>
        </row>
        <row r="283">
          <cell r="A283" t="str">
            <v>US369604AY90</v>
          </cell>
          <cell r="B283" t="str">
            <v xml:space="preserve">GE COMPANY 5 01/02/2013</v>
          </cell>
        </row>
        <row r="284">
          <cell r="A284" t="str">
            <v>US36962G2G80</v>
          </cell>
          <cell r="B284" t="str">
            <v xml:space="preserve">GEN ELEC CAP CRP 5.40 15/02/2017</v>
          </cell>
        </row>
        <row r="285">
          <cell r="A285" t="str">
            <v>US36962G3U65</v>
          </cell>
          <cell r="B285" t="str">
            <v xml:space="preserve">GEN ELEC CAP CRP 5.625 01/05/2018</v>
          </cell>
        </row>
        <row r="286">
          <cell r="A286" t="str">
            <v>US36962G4R28</v>
          </cell>
          <cell r="B286" t="str">
            <v xml:space="preserve">GENERAL ELECTRIC 4.375  16/09/2020</v>
          </cell>
        </row>
        <row r="287">
          <cell r="A287" t="str">
            <v>US36962G5J92</v>
          </cell>
          <cell r="B287" t="str">
            <v xml:space="preserve">GENERAL ELECTRIC 4.65 17/10/2021</v>
          </cell>
        </row>
        <row r="288">
          <cell r="A288" t="str">
            <v>US370442AJ44</v>
          </cell>
          <cell r="B288" t="str">
            <v xml:space="preserve">GM 8.80 01/03/2021</v>
          </cell>
        </row>
        <row r="289">
          <cell r="A289" t="str">
            <v>US370442BS34</v>
          </cell>
          <cell r="B289" t="str">
            <v xml:space="preserve">GM 7.125 15/07/2013</v>
          </cell>
        </row>
        <row r="290">
          <cell r="A290" t="str">
            <v>US370442BT17</v>
          </cell>
          <cell r="B290" t="str">
            <v xml:space="preserve">GM 8.375 15/07/2033</v>
          </cell>
        </row>
        <row r="291">
          <cell r="A291" t="str">
            <v>XS0171942757</v>
          </cell>
          <cell r="B291" t="str">
            <v xml:space="preserve">GM 7.25 03/07/13</v>
          </cell>
        </row>
        <row r="292">
          <cell r="A292" t="str">
            <v>XS0171943649</v>
          </cell>
          <cell r="B292" t="str">
            <v xml:space="preserve">GM 8.375 05/07/33</v>
          </cell>
        </row>
        <row r="293">
          <cell r="A293" t="str">
            <v>USP3142CDA47</v>
          </cell>
          <cell r="B293" t="str">
            <v xml:space="preserve">GEO 9.25 30/06/2020</v>
          </cell>
        </row>
        <row r="294">
          <cell r="A294" t="str">
            <v>USP3142CDD85</v>
          </cell>
          <cell r="B294" t="str">
            <v xml:space="preserve">GEO 8.875 27/03/2022</v>
          </cell>
        </row>
        <row r="295">
          <cell r="A295" t="str">
            <v>USP4952LAA46</v>
          </cell>
          <cell r="B295" t="str">
            <v xml:space="preserve">GIGANTE 8.75 13/04/16</v>
          </cell>
        </row>
        <row r="296">
          <cell r="A296" t="str">
            <v>US377372AA59</v>
          </cell>
          <cell r="B296" t="str">
            <v xml:space="preserve">GLAXOSMITHLINE CAP INC 4.375 15/04/2014</v>
          </cell>
        </row>
        <row r="297">
          <cell r="A297" t="str">
            <v>XS0335134705</v>
          </cell>
          <cell r="B297" t="str">
            <v xml:space="preserve">GLAXOSMITHKLINE 5.625 13/12/2017</v>
          </cell>
        </row>
        <row r="298">
          <cell r="A298" t="str">
            <v>XS0149844291</v>
          </cell>
          <cell r="B298" t="str">
            <v xml:space="preserve">GLOBIMEX 8.75 30/10/2022</v>
          </cell>
        </row>
        <row r="299">
          <cell r="A299" t="str">
            <v>USP47773AJ81</v>
          </cell>
          <cell r="B299" t="str">
            <v xml:space="preserve">GLOBO 7.25 26/04/2022</v>
          </cell>
        </row>
        <row r="300">
          <cell r="A300" t="str">
            <v>XS0130301111</v>
          </cell>
          <cell r="B300" t="str">
            <v xml:space="preserve">GLOBO COMUN PAR 9.75 07/06/2004</v>
          </cell>
        </row>
        <row r="301">
          <cell r="A301" t="str">
            <v>XS0251389457</v>
          </cell>
          <cell r="B301" t="str">
            <v xml:space="preserve">GLOBO PAR 9.375  20/04/2049</v>
          </cell>
        </row>
        <row r="302">
          <cell r="A302" t="str">
            <v>37042G2M7060</v>
          </cell>
          <cell r="B302" t="str">
            <v xml:space="preserve">GMAC 7.25 15/04/18 SMARTNOTES</v>
          </cell>
        </row>
        <row r="303">
          <cell r="A303" t="str">
            <v>3704A0BY7060</v>
          </cell>
          <cell r="B303" t="str">
            <v xml:space="preserve">GMAC 6.80 15/10/18</v>
          </cell>
        </row>
        <row r="304">
          <cell r="A304" t="str">
            <v>US38148BAD01</v>
          </cell>
          <cell r="B304" t="str">
            <v xml:space="preserve">GOLDMAN SACHS 5 PERP</v>
          </cell>
        </row>
        <row r="305">
          <cell r="A305" t="str">
            <v>US38141GCM42</v>
          </cell>
          <cell r="B305" t="str">
            <v xml:space="preserve">GOLDMAN SACHS 5.5 15/11/2014</v>
          </cell>
        </row>
        <row r="306">
          <cell r="A306" t="str">
            <v>US38141GCU67</v>
          </cell>
          <cell r="B306" t="str">
            <v xml:space="preserve">GOLDMAN SACHS 6.125 15/02/2033</v>
          </cell>
        </row>
        <row r="307">
          <cell r="A307" t="str">
            <v>US38141GEA85</v>
          </cell>
          <cell r="B307" t="str">
            <v xml:space="preserve">GOLDMAN SACHS 5.125 15/01/2015</v>
          </cell>
        </row>
        <row r="308">
          <cell r="A308" t="str">
            <v>US38141GEU40</v>
          </cell>
          <cell r="B308" t="str">
            <v xml:space="preserve">GOLDMAN SACHS 5.625 15/01/2017</v>
          </cell>
        </row>
        <row r="309">
          <cell r="A309" t="str">
            <v>US38141GGQ10</v>
          </cell>
          <cell r="B309" t="str">
            <v xml:space="preserve">GOLDMAN SACHS 5.25 27/07/2021</v>
          </cell>
        </row>
        <row r="310">
          <cell r="A310" t="str">
            <v>US381427AA15</v>
          </cell>
          <cell r="B310" t="str">
            <v xml:space="preserve">GOLDMAN SACHS CAP 4.00 01/06/2043</v>
          </cell>
        </row>
        <row r="311">
          <cell r="A311" t="str">
            <v>US38143UAB70</v>
          </cell>
          <cell r="B311" t="str">
            <v xml:space="preserve">GOLDMAN SACHS 5.15 15/01/2014</v>
          </cell>
        </row>
        <row r="312">
          <cell r="A312" t="str">
            <v>US38144LAB62</v>
          </cell>
          <cell r="B312" t="str">
            <v xml:space="preserve">GOLDMAN SACHS 6.25 01/09/2017</v>
          </cell>
        </row>
        <row r="313">
          <cell r="A313" t="str">
            <v>XS0167154680</v>
          </cell>
          <cell r="B313" t="str">
            <v xml:space="preserve">GOLDMAN SACHS 5.125 24/04/2013</v>
          </cell>
        </row>
        <row r="314">
          <cell r="A314" t="str">
            <v>XS0184927761</v>
          </cell>
          <cell r="B314" t="str">
            <v xml:space="preserve">GOLDMAN SACHS 4.75 28/01/14</v>
          </cell>
        </row>
        <row r="315">
          <cell r="A315" t="str">
            <v>XS0212249014</v>
          </cell>
          <cell r="B315" t="str">
            <v xml:space="preserve">GOLDMAN SACHS 5.25 15/12/15</v>
          </cell>
        </row>
        <row r="316">
          <cell r="A316" t="str">
            <v>US382550AD35</v>
          </cell>
          <cell r="B316" t="str">
            <v xml:space="preserve">GOODYEAR 7.00 15/03/2028</v>
          </cell>
        </row>
        <row r="317">
          <cell r="A317" t="str">
            <v>USP4948KAC91</v>
          </cell>
          <cell r="B317" t="str">
            <v xml:space="preserve">GRUMA SA DE CV 7.75 03/12/2049</v>
          </cell>
        </row>
        <row r="318">
          <cell r="A318" t="str">
            <v>US40049WAC29</v>
          </cell>
          <cell r="B318" t="str">
            <v xml:space="preserve">GRUPO IUSACELL 10 15/07/2004</v>
          </cell>
        </row>
        <row r="319">
          <cell r="A319" t="str">
            <v>US40050BAB62</v>
          </cell>
          <cell r="B319" t="str">
            <v xml:space="preserve">GRUPO IUSACELL 10.00 31/12/2013</v>
          </cell>
        </row>
        <row r="320">
          <cell r="A320" t="str">
            <v>US40050BAC46</v>
          </cell>
          <cell r="B320" t="str">
            <v xml:space="preserve">GRUPO IUSACELL 9.0 30/06/2017</v>
          </cell>
        </row>
        <row r="321">
          <cell r="A321" t="str">
            <v>US40090AAC80</v>
          </cell>
          <cell r="B321" t="str">
            <v xml:space="preserve">GRUPO IUSACELL 9.0 30/06/17</v>
          </cell>
        </row>
        <row r="322">
          <cell r="A322" t="str">
            <v>USP4954BAA46</v>
          </cell>
          <cell r="B322" t="str">
            <v xml:space="preserve">GRUPO KUO 9.75 17/10/2017</v>
          </cell>
        </row>
        <row r="323">
          <cell r="A323" t="str">
            <v>USP4983GAL43</v>
          </cell>
          <cell r="B323" t="str">
            <v xml:space="preserve">GRUPO POSADAS 9.25 15/01/2015</v>
          </cell>
        </row>
        <row r="324">
          <cell r="A324" t="str">
            <v>USP4983GAQ30</v>
          </cell>
          <cell r="B324" t="str">
            <v xml:space="preserve">GRUPO POSADAS 7.875 30/06/2022</v>
          </cell>
        </row>
        <row r="325">
          <cell r="A325" t="str">
            <v>USP4983GAM26</v>
          </cell>
          <cell r="B325" t="str">
            <v xml:space="preserve">POSADAS 7.875 30/11/2017</v>
          </cell>
        </row>
        <row r="326">
          <cell r="A326" t="str">
            <v>USP68166AA81</v>
          </cell>
          <cell r="B326" t="str">
            <v xml:space="preserve">GRUPO SENDA 10.50 03/10/2015</v>
          </cell>
        </row>
        <row r="327">
          <cell r="A327" t="str">
            <v>US40049JAV98</v>
          </cell>
          <cell r="B327" t="str">
            <v xml:space="preserve">GRUPO TELEVISA 6.625 18/03/25</v>
          </cell>
        </row>
        <row r="328">
          <cell r="A328" t="str">
            <v>US40049JAX54</v>
          </cell>
          <cell r="B328" t="str">
            <v xml:space="preserve">GRUPO TELEVISA 6.00 15/05/2018</v>
          </cell>
        </row>
        <row r="329">
          <cell r="A329" t="str">
            <v>US40049JAZ03</v>
          </cell>
          <cell r="B329" t="str">
            <v xml:space="preserve">TELEVISA  6.625 15/01/2040</v>
          </cell>
        </row>
        <row r="330">
          <cell r="A330" t="str">
            <v>USY29011AC07</v>
          </cell>
          <cell r="B330" t="str">
            <v xml:space="preserve">GS CALTEX 5.50 15/10/2015</v>
          </cell>
        </row>
        <row r="331">
          <cell r="A331" t="str">
            <v>USY29011BB15</v>
          </cell>
          <cell r="B331" t="str">
            <v xml:space="preserve">GS CALTEX 7.25 02/07/2013</v>
          </cell>
        </row>
        <row r="332">
          <cell r="A332" t="str">
            <v>USY2R016BY00</v>
          </cell>
          <cell r="B332" t="str">
            <v xml:space="preserve">GS CALTEX CORP 3.25 01/10/2018</v>
          </cell>
        </row>
        <row r="333">
          <cell r="A333" t="str">
            <v>N/A</v>
          </cell>
          <cell r="B333" t="str">
            <v xml:space="preserve">GWTC FLR 10</v>
          </cell>
        </row>
        <row r="334">
          <cell r="A334" t="str">
            <v>SIN</v>
          </cell>
          <cell r="B334" t="str">
            <v xml:space="preserve">GWTC FLR 01/01/2014</v>
          </cell>
        </row>
        <row r="335">
          <cell r="A335" t="str">
            <v>XS0362326760</v>
          </cell>
          <cell r="B335" t="str">
            <v xml:space="preserve">HAPOALIM SP08-3T CALLABLE RANGE ACCRUAL NOTE</v>
          </cell>
        </row>
        <row r="336">
          <cell r="A336" t="str">
            <v>XS0420115411</v>
          </cell>
          <cell r="B336" t="str">
            <v xml:space="preserve">HAPOALIM INTL 5.345 01/04/2019</v>
          </cell>
        </row>
        <row r="337">
          <cell r="A337" t="str">
            <v>XS0416081296</v>
          </cell>
          <cell r="B337" t="str">
            <v xml:space="preserve">HEINEKEN 7.25 10/03/2015</v>
          </cell>
        </row>
        <row r="338">
          <cell r="A338" t="str">
            <v>US42307TAG31</v>
          </cell>
          <cell r="B338" t="str">
            <v xml:space="preserve">HEINZ 6.75 15/03/2032</v>
          </cell>
        </row>
        <row r="339">
          <cell r="A339" t="str">
            <v>US427866AP33</v>
          </cell>
          <cell r="B339" t="str">
            <v xml:space="preserve">HERSHEY 5.45 01/09/2016</v>
          </cell>
        </row>
        <row r="340">
          <cell r="A340" t="str">
            <v>US428236AS23</v>
          </cell>
          <cell r="B340" t="str">
            <v xml:space="preserve">HEWLETT PACKARD 5.50 01/03/2018</v>
          </cell>
        </row>
        <row r="341">
          <cell r="A341" t="str">
            <v>US428236BQ57</v>
          </cell>
          <cell r="B341" t="str">
            <v xml:space="preserve">HEWLETT-PACKARD 4.375 15/09/2021</v>
          </cell>
        </row>
        <row r="342">
          <cell r="A342" t="str">
            <v>US428236BR31</v>
          </cell>
          <cell r="B342" t="str">
            <v xml:space="preserve">HEWLETT-PACKARD 6 15/09/2041</v>
          </cell>
        </row>
        <row r="343">
          <cell r="A343" t="str">
            <v>US428040CN71</v>
          </cell>
          <cell r="B343" t="str">
            <v xml:space="preserve">HTZ 6.25% 10/15/22</v>
          </cell>
        </row>
        <row r="344">
          <cell r="A344" t="str">
            <v>US428236BV43</v>
          </cell>
          <cell r="B344" t="str">
            <v xml:space="preserve">HEWLETT-PACKARD 4.65 09/12/2021</v>
          </cell>
        </row>
        <row r="345">
          <cell r="A345" t="str">
            <v>MX91CA000090</v>
          </cell>
          <cell r="B345" t="str">
            <v xml:space="preserve">HIPOTECARIA SU CASITA 5.80 28/06/2018</v>
          </cell>
        </row>
        <row r="346">
          <cell r="A346" t="str">
            <v>USP5159KCP95</v>
          </cell>
          <cell r="B346" t="str">
            <v xml:space="preserve">HIPOTECARIA SU CASITA 8.50 10/04/2016</v>
          </cell>
        </row>
        <row r="347">
          <cell r="A347" t="str">
            <v>USP5R37ZCJ91</v>
          </cell>
          <cell r="B347" t="str">
            <v xml:space="preserve">HIPOTECARIA SU CASITA 7.50 29/06/2018</v>
          </cell>
        </row>
        <row r="348">
          <cell r="A348" t="str">
            <v>XS0455643394</v>
          </cell>
          <cell r="B348" t="str">
            <v xml:space="preserve">HOLCIM FINANCE 6.00 30/12/2019</v>
          </cell>
        </row>
        <row r="349">
          <cell r="A349" t="str">
            <v>US437076AP79</v>
          </cell>
          <cell r="B349" t="str">
            <v xml:space="preserve">HOME DEPOT 5.4 01/03/2016</v>
          </cell>
        </row>
        <row r="350">
          <cell r="A350" t="str">
            <v>US437076AS19</v>
          </cell>
          <cell r="B350" t="str">
            <v xml:space="preserve">HOME DEPOT 5.875 16/12/2036</v>
          </cell>
        </row>
        <row r="351">
          <cell r="A351" t="str">
            <v>US25030WAB63</v>
          </cell>
          <cell r="B351" t="str">
            <v xml:space="preserve">HOMEX 7.50 28/09/15</v>
          </cell>
        </row>
        <row r="352">
          <cell r="A352" t="str">
            <v>USP35053AA86</v>
          </cell>
          <cell r="B352" t="str">
            <v xml:space="preserve">HOMEX 9.50 11/12/2019</v>
          </cell>
        </row>
        <row r="353">
          <cell r="A353" t="str">
            <v>GB0005902332</v>
          </cell>
          <cell r="B353" t="str">
            <v xml:space="preserve">HSBC BANK FRN 29/06/2049</v>
          </cell>
        </row>
        <row r="354">
          <cell r="A354" t="str">
            <v>GB0005903413</v>
          </cell>
          <cell r="B354" t="str">
            <v xml:space="preserve">HSBC BANK FRN 1.2875 29/06/2049</v>
          </cell>
        </row>
        <row r="355">
          <cell r="A355" t="str">
            <v>US40429CCR16</v>
          </cell>
          <cell r="B355" t="str">
            <v xml:space="preserve">HSBC 5.25 15/04/2015</v>
          </cell>
        </row>
        <row r="356">
          <cell r="A356" t="str">
            <v>US40429CFN74</v>
          </cell>
          <cell r="B356" t="str">
            <v xml:space="preserve">HSBC FINANCE 5.50 19/01/2016</v>
          </cell>
        </row>
        <row r="357">
          <cell r="A357" t="str">
            <v>US40429Q2003</v>
          </cell>
          <cell r="B357" t="str">
            <v xml:space="preserve">HSBC 4.61 27/06/2049</v>
          </cell>
        </row>
        <row r="358">
          <cell r="A358" t="str">
            <v>US44181EZN11</v>
          </cell>
          <cell r="B358" t="str">
            <v xml:space="preserve">HOUSEHOLD FIN CO HSBC FLOAT 10/11/2013</v>
          </cell>
        </row>
        <row r="359">
          <cell r="A359" t="str">
            <v>XS0824429442</v>
          </cell>
          <cell r="B359" t="str">
            <v xml:space="preserve">HSBC STR 7.40 12/09/2022</v>
          </cell>
        </row>
        <row r="360">
          <cell r="A360" t="str">
            <v>XS0854713178</v>
          </cell>
          <cell r="B360" t="str">
            <v xml:space="preserve">HSBC STRUCTURED 7.75 22/11/2024</v>
          </cell>
        </row>
        <row r="361">
          <cell r="A361" t="str">
            <v xml:space="preserve">XS0904591129 </v>
          </cell>
          <cell r="B361" t="str">
            <v xml:space="preserve">HSBC STR 9.00 21/03/2028</v>
          </cell>
        </row>
        <row r="362">
          <cell r="A362" t="str">
            <v>XS0904622536</v>
          </cell>
          <cell r="B362" t="str">
            <v xml:space="preserve">HSBC STR 7.00 21/03/2028</v>
          </cell>
        </row>
        <row r="363">
          <cell r="A363" t="str">
            <v>XS0942868240</v>
          </cell>
          <cell r="B363" t="str">
            <v xml:space="preserve">HSBC STR 7.50 18/06/2025</v>
          </cell>
        </row>
        <row r="364">
          <cell r="A364" t="str">
            <v>XS0985196962</v>
          </cell>
          <cell r="B364" t="str">
            <v xml:space="preserve">HSBC - ENERGY PHOENIX 10.00 31/10/2013</v>
          </cell>
        </row>
        <row r="365">
          <cell r="A365" t="str">
            <v>XS0993947810</v>
          </cell>
          <cell r="B365" t="str">
            <v xml:space="preserve">AMERICAN PHOENIX 10.00 22/11/2016</v>
          </cell>
        </row>
        <row r="366">
          <cell r="A366" t="str">
            <v>US444859AV47</v>
          </cell>
          <cell r="B366" t="str">
            <v xml:space="preserve">HUMANA 6.45 01/06/2016</v>
          </cell>
        </row>
        <row r="367">
          <cell r="A367" t="str">
            <v>XS0410370919</v>
          </cell>
          <cell r="B367" t="str">
            <v xml:space="preserve">IBERDROLA 7.375 29/01/2024</v>
          </cell>
        </row>
        <row r="368">
          <cell r="A368" t="str">
            <v>US459200GJ41</v>
          </cell>
          <cell r="B368" t="str">
            <v xml:space="preserve">IBM 5.70 14/09/2017</v>
          </cell>
        </row>
        <row r="369">
          <cell r="A369" t="str">
            <v>XS0397540294</v>
          </cell>
          <cell r="B369" t="str">
            <v xml:space="preserve">IBM CORP 6.625 30/01/2014</v>
          </cell>
        </row>
        <row r="370">
          <cell r="A370" t="str">
            <v>US29246DAA28</v>
          </cell>
          <cell r="B370" t="str">
            <v xml:space="preserve">ICA 8.90 04/02/2021</v>
          </cell>
        </row>
        <row r="371">
          <cell r="A371" t="str">
            <v>USP37149AN42</v>
          </cell>
          <cell r="B371" t="str">
            <v xml:space="preserve">ICA 8.90 04/02/2021</v>
          </cell>
        </row>
        <row r="372">
          <cell r="A372" t="str">
            <v>US449909AL48</v>
          </cell>
          <cell r="B372" t="str">
            <v xml:space="preserve">ICI WILMINGTON 5.625 01/12/2013</v>
          </cell>
        </row>
        <row r="373">
          <cell r="A373" t="str">
            <v>XS0456541506</v>
          </cell>
          <cell r="B373" t="str">
            <v xml:space="preserve">INTESA SAN PAOLO 8.375 14/10/2049</v>
          </cell>
        </row>
        <row r="374">
          <cell r="A374" t="str">
            <v>XS0545782020</v>
          </cell>
          <cell r="B374" t="str">
            <v xml:space="preserve">INTESA SANPAOLO 9.5 01/06/2049</v>
          </cell>
        </row>
        <row r="375">
          <cell r="A375" t="str">
            <v>US456837AE31</v>
          </cell>
          <cell r="B375" t="str">
            <v xml:space="preserve">ING GROUP NV 6.00 PERPETUAL</v>
          </cell>
        </row>
        <row r="376">
          <cell r="A376" t="str">
            <v>US465410BQ08</v>
          </cell>
          <cell r="B376" t="str">
            <v xml:space="preserve">ITALIA 4.75 25/01/2016</v>
          </cell>
        </row>
        <row r="377">
          <cell r="A377" t="str">
            <v>XS0133144898</v>
          </cell>
          <cell r="B377" t="str">
            <v xml:space="preserve">ITALY 5.75 25/07/16</v>
          </cell>
        </row>
        <row r="378">
          <cell r="A378" t="str">
            <v>USP59974AA66</v>
          </cell>
          <cell r="B378" t="str">
            <v xml:space="preserve">IXE 9.75 26/02/2049</v>
          </cell>
        </row>
        <row r="379">
          <cell r="A379" t="str">
            <v>XS0247673295</v>
          </cell>
          <cell r="B379" t="str">
            <v xml:space="preserve">JAPAN BANK 5.250 23/03/2016</v>
          </cell>
        </row>
        <row r="380">
          <cell r="A380" t="str">
            <v>USG50027AE42</v>
          </cell>
          <cell r="B380" t="str">
            <v xml:space="preserve">JAGUAR LAND ROVER 5.625 02/01/2023</v>
          </cell>
        </row>
        <row r="381">
          <cell r="A381" t="str">
            <v>USG11010AA62</v>
          </cell>
          <cell r="B381" t="str">
            <v xml:space="preserve">JBS 8.25 29/01/2018</v>
          </cell>
        </row>
        <row r="382">
          <cell r="A382" t="str">
            <v>USU0901CAD21</v>
          </cell>
          <cell r="B382" t="str">
            <v xml:space="preserve">JBS 8.25 01/02/2020</v>
          </cell>
        </row>
        <row r="383">
          <cell r="A383" t="str">
            <v>US708130AD14</v>
          </cell>
          <cell r="B383" t="str">
            <v xml:space="preserve">JC PENNEY 5.65 01/06/2020</v>
          </cell>
        </row>
        <row r="384">
          <cell r="A384" t="str">
            <v>CA24422ZCP59</v>
          </cell>
          <cell r="B384" t="str">
            <v xml:space="preserve">JOHN DEERE 5.45 16/09/2015</v>
          </cell>
        </row>
        <row r="385">
          <cell r="A385" t="str">
            <v>XS0410058746</v>
          </cell>
          <cell r="B385" t="str">
            <v xml:space="preserve">JOHN DEERE 7.50 24/01/2014</v>
          </cell>
        </row>
        <row r="386">
          <cell r="A386" t="str">
            <v>US07385TAJ51</v>
          </cell>
          <cell r="B386" t="str">
            <v xml:space="preserve">JP MORGAN 5.7 15/11/2014</v>
          </cell>
        </row>
        <row r="387">
          <cell r="A387" t="str">
            <v>US073902KF49</v>
          </cell>
          <cell r="B387" t="str">
            <v xml:space="preserve">JP MORGAN 5.30 30/10/2015</v>
          </cell>
        </row>
        <row r="388">
          <cell r="A388" t="str">
            <v>US46625HAT77</v>
          </cell>
          <cell r="B388" t="str">
            <v xml:space="preserve">JP MORGAN 5.75 02/01/2013</v>
          </cell>
        </row>
        <row r="389">
          <cell r="A389" t="str">
            <v>US46625HDF47</v>
          </cell>
          <cell r="B389" t="str">
            <v xml:space="preserve">JP MORGAN 5.15 01/10/2015</v>
          </cell>
        </row>
        <row r="390">
          <cell r="A390" t="str">
            <v>US46627BAA98</v>
          </cell>
          <cell r="B390" t="str">
            <v xml:space="preserve">JP MORGAN CHASE 5 15/11/2013</v>
          </cell>
        </row>
        <row r="391">
          <cell r="A391" t="str">
            <v>US48124BAC90</v>
          </cell>
          <cell r="B391" t="str">
            <v xml:space="preserve">JP MORGAN 5.15 PERPETUO</v>
          </cell>
        </row>
        <row r="392">
          <cell r="A392" t="str">
            <v>US48121CYK60</v>
          </cell>
          <cell r="B392" t="str">
            <v xml:space="preserve">JP MORGAN 6 10/01/17</v>
          </cell>
        </row>
        <row r="393">
          <cell r="A393" t="str">
            <v>US46625HHA14</v>
          </cell>
          <cell r="B393" t="str">
            <v xml:space="preserve">JP MORGAN 7.9 PERP</v>
          </cell>
        </row>
        <row r="394">
          <cell r="A394" t="str">
            <v>USP4953VAJ28</v>
          </cell>
          <cell r="B394" t="str">
            <v xml:space="preserve">KALTEX 8.875 04/11/2022</v>
          </cell>
        </row>
        <row r="395">
          <cell r="A395" t="str">
            <v>XS0214452582</v>
          </cell>
          <cell r="B395" t="str">
            <v xml:space="preserve">KBC IFIMA NV 3PO5-40T 7.00 30/03/2020</v>
          </cell>
        </row>
        <row r="396">
          <cell r="A396" t="str">
            <v>US487836BD94</v>
          </cell>
          <cell r="B396" t="str">
            <v xml:space="preserve">KELLOGG 4.00 15/12/2020</v>
          </cell>
        </row>
        <row r="397">
          <cell r="A397" t="str">
            <v>XS0448952001</v>
          </cell>
          <cell r="B397" t="str">
            <v xml:space="preserve">KOREA NATL HOUS 4.875 10/09/2014</v>
          </cell>
        </row>
        <row r="398">
          <cell r="A398" t="str">
            <v>US50075NAQ79</v>
          </cell>
          <cell r="B398" t="str">
            <v xml:space="preserve">KRAFT FOODS 6.00 11/02/2013</v>
          </cell>
        </row>
        <row r="399">
          <cell r="A399" t="str">
            <v>US50075NAS36</v>
          </cell>
          <cell r="B399" t="str">
            <v xml:space="preserve">KRAFT FOODS 6.50 11/08/2017</v>
          </cell>
        </row>
        <row r="400">
          <cell r="A400" t="str">
            <v>XS0353181190</v>
          </cell>
          <cell r="B400" t="str">
            <v xml:space="preserve">KRAFT FOODS 6.25 20/03/2015</v>
          </cell>
        </row>
        <row r="401">
          <cell r="A401" t="str">
            <v>US505861AB03</v>
          </cell>
          <cell r="B401" t="str">
            <v xml:space="preserve">LAFARGE S.A 6.50 15/07/2016 USD</v>
          </cell>
        </row>
        <row r="402">
          <cell r="A402" t="str">
            <v>US505861AC85</v>
          </cell>
          <cell r="B402" t="str">
            <v xml:space="preserve">LAFARGE 7.125 15/07/2036</v>
          </cell>
        </row>
        <row r="403">
          <cell r="A403" t="str">
            <v>XS0196630270</v>
          </cell>
          <cell r="B403" t="str">
            <v xml:space="preserve">LAFARGE S.A. 5.00 16/07/2014 EUR</v>
          </cell>
        </row>
        <row r="404">
          <cell r="A404" t="str">
            <v>XS0307005545</v>
          </cell>
          <cell r="B404" t="str">
            <v xml:space="preserve">LAFARGE 5.375 26/06/2017</v>
          </cell>
        </row>
        <row r="405">
          <cell r="A405" t="str">
            <v>US501797AR52</v>
          </cell>
          <cell r="B405" t="str">
            <v xml:space="preserve">LB 7.50% 06/15/29</v>
          </cell>
        </row>
        <row r="406">
          <cell r="A406" t="str">
            <v>US52736RAQ56</v>
          </cell>
          <cell r="B406" t="str">
            <v xml:space="preserve">LEVI STRAUSS 9.75 15/01/2015</v>
          </cell>
        </row>
        <row r="407">
          <cell r="A407" t="str">
            <v>US52736RBB78</v>
          </cell>
          <cell r="B407" t="str">
            <v xml:space="preserve">LEVIS 7.625 15/05/2020</v>
          </cell>
        </row>
        <row r="408">
          <cell r="A408" t="str">
            <v>US4041A3AH52</v>
          </cell>
          <cell r="B408" t="str">
            <v xml:space="preserve">LLOYDS 6.75 21/05/2018</v>
          </cell>
        </row>
        <row r="409">
          <cell r="A409" t="str">
            <v>USG57058AA01</v>
          </cell>
          <cell r="B409" t="str">
            <v xml:space="preserve">LUPATECH 9.875 10/07/2049</v>
          </cell>
        </row>
        <row r="410">
          <cell r="A410" t="str">
            <v>USP30982AA34</v>
          </cell>
          <cell r="B410" t="str">
            <v xml:space="preserve">MABE 15/12/2015 6.50</v>
          </cell>
        </row>
        <row r="411">
          <cell r="A411" t="str">
            <v>USP3100SAA26</v>
          </cell>
          <cell r="B411" t="str">
            <v xml:space="preserve">MABE 7.875 28/10/2019</v>
          </cell>
        </row>
        <row r="412">
          <cell r="A412" t="str">
            <v>XS0562354422</v>
          </cell>
          <cell r="B412" t="str">
            <v xml:space="preserve">MACQUARIE 8.375 02/12/2049</v>
          </cell>
        </row>
        <row r="413">
          <cell r="A413" t="str">
            <v>US577778BS12</v>
          </cell>
          <cell r="B413" t="str">
            <v xml:space="preserve">MACYS 5.75 15/07/2014</v>
          </cell>
        </row>
        <row r="414">
          <cell r="A414" t="str">
            <v>USG5814RAA61</v>
          </cell>
          <cell r="B414" t="str">
            <v xml:space="preserve">MARFRIG 9.625 16/11/2016</v>
          </cell>
        </row>
        <row r="415">
          <cell r="A415" t="str">
            <v>USN54468AA65</v>
          </cell>
          <cell r="B415" t="str">
            <v xml:space="preserve">MARFRIG 8.375 09/05/2018</v>
          </cell>
        </row>
        <row r="416">
          <cell r="A416" t="str">
            <v>US57773AAJ16</v>
          </cell>
          <cell r="B416" t="str">
            <v xml:space="preserve">MAXTEL 11.00 15/12/2014</v>
          </cell>
        </row>
        <row r="417">
          <cell r="A417" t="str">
            <v>XS0106888331</v>
          </cell>
          <cell r="B417" t="str">
            <v xml:space="preserve">MCDONALDS 6.375 03/02/2020</v>
          </cell>
        </row>
        <row r="418">
          <cell r="A418" t="str">
            <v>US589331AH03</v>
          </cell>
          <cell r="B418" t="str">
            <v xml:space="preserve">MERCK 4.375 15/02/13</v>
          </cell>
        </row>
        <row r="419">
          <cell r="A419" t="str">
            <v>US589331AT41</v>
          </cell>
          <cell r="B419" t="str">
            <v xml:space="preserve">MERCK 2.40 15/09/2022</v>
          </cell>
        </row>
        <row r="420">
          <cell r="A420" t="str">
            <v>XS0275719135</v>
          </cell>
          <cell r="B420" t="str">
            <v xml:space="preserve">MERRILL LYNCH 5.50 22/11/2021</v>
          </cell>
        </row>
        <row r="421">
          <cell r="A421" t="str">
            <v>US59156RAN89</v>
          </cell>
          <cell r="B421" t="str">
            <v xml:space="preserve">METLIFE 5.00 15/06/2015</v>
          </cell>
        </row>
        <row r="422">
          <cell r="A422" t="str">
            <v>USP57908AB45</v>
          </cell>
          <cell r="B422" t="str">
            <v xml:space="preserve">MEXICHEM 8.75 06/11/2019</v>
          </cell>
        </row>
        <row r="423">
          <cell r="A423" t="str">
            <v>MXLDGO0000Z6</v>
          </cell>
          <cell r="B423" t="str">
            <v xml:space="preserve">BONDES 7.67 27/03/2013</v>
          </cell>
        </row>
        <row r="424">
          <cell r="A424" t="str">
            <v>US593048BA88</v>
          </cell>
          <cell r="B424" t="str">
            <v xml:space="preserve">MEXICAN UTD STS 11.375 15/09/2016</v>
          </cell>
        </row>
        <row r="425">
          <cell r="A425" t="str">
            <v>US593048BN00</v>
          </cell>
          <cell r="B425" t="str">
            <v xml:space="preserve">MEXICAN UTD STS 8.125 30/12/2019</v>
          </cell>
        </row>
        <row r="426">
          <cell r="A426" t="str">
            <v>US91086QAG38</v>
          </cell>
          <cell r="B426" t="str">
            <v xml:space="preserve">MEXICAN UTD STS 8.30 15/08/2031</v>
          </cell>
        </row>
        <row r="427">
          <cell r="A427" t="str">
            <v>US91086QAK40</v>
          </cell>
          <cell r="B427" t="str">
            <v xml:space="preserve">MEXICAN UTD STS 6.375 16/01/2013</v>
          </cell>
        </row>
        <row r="428">
          <cell r="A428" t="str">
            <v>US91086QAL23</v>
          </cell>
          <cell r="B428" t="str">
            <v xml:space="preserve">MEXICAN UTD STS 6.625 03/03/2015</v>
          </cell>
        </row>
        <row r="429">
          <cell r="A429" t="str">
            <v>US91086QAQ10</v>
          </cell>
          <cell r="B429" t="str">
            <v xml:space="preserve">MEXICAN UTD 5.875 15/01/2014</v>
          </cell>
        </row>
        <row r="430">
          <cell r="A430" t="str">
            <v>US91086QAQ10</v>
          </cell>
          <cell r="B430" t="str">
            <v xml:space="preserve">MEXICAN UTD STS 5.875 15/01/2014</v>
          </cell>
        </row>
        <row r="431">
          <cell r="A431" t="str">
            <v>US91086QAU22</v>
          </cell>
          <cell r="B431" t="str">
            <v xml:space="preserve">MEXICAN 5.625 15/01/2017</v>
          </cell>
        </row>
        <row r="432">
          <cell r="A432" t="str">
            <v>XS0206170390</v>
          </cell>
          <cell r="B432" t="str">
            <v xml:space="preserve">UMS 5.50 17/02/2020</v>
          </cell>
        </row>
        <row r="433">
          <cell r="A433" t="str">
            <v>XS0222076449</v>
          </cell>
          <cell r="B433" t="str">
            <v xml:space="preserve">UMS 4.25 16/06/2015</v>
          </cell>
        </row>
        <row r="434">
          <cell r="A434" t="str">
            <v>US552953AR22</v>
          </cell>
          <cell r="B434" t="str">
            <v xml:space="preserve">MGM MIRAGE 6.625 15/07/2015</v>
          </cell>
        </row>
        <row r="435">
          <cell r="A435" t="str">
            <v>US552953BB60</v>
          </cell>
          <cell r="B435" t="str">
            <v xml:space="preserve">MGM 7.625 15/01/2017</v>
          </cell>
        </row>
        <row r="436">
          <cell r="A436" t="str">
            <v>US552953BX80</v>
          </cell>
          <cell r="B436" t="str">
            <v xml:space="preserve">MGM 7.75 15/03/2022</v>
          </cell>
        </row>
        <row r="437">
          <cell r="A437" t="str">
            <v>US594918AB00</v>
          </cell>
          <cell r="B437" t="str">
            <v xml:space="preserve">MICROSOFT 2.95 01/06/2014</v>
          </cell>
        </row>
        <row r="438">
          <cell r="A438" t="str">
            <v>US594918AL81</v>
          </cell>
          <cell r="B438" t="str">
            <v xml:space="preserve">MICROSOFT 4.00 8/02/2021</v>
          </cell>
        </row>
        <row r="439">
          <cell r="A439" t="str">
            <v>USG6175TAB10</v>
          </cell>
          <cell r="B439" t="str">
            <v xml:space="preserve">MIZUHO 5.79 15/04/2014</v>
          </cell>
        </row>
        <row r="440">
          <cell r="A440" t="str">
            <v>US6174467P85</v>
          </cell>
          <cell r="B440" t="str">
            <v xml:space="preserve">MORGAN STANLEY 5.50 24/07/2020</v>
          </cell>
        </row>
        <row r="441">
          <cell r="A441" t="str">
            <v>US61747WAF68</v>
          </cell>
          <cell r="B441" t="str">
            <v xml:space="preserve">MORGAN STANLEY 5.75 25/01/2021</v>
          </cell>
        </row>
        <row r="442">
          <cell r="A442" t="str">
            <v>US61747YCJ29</v>
          </cell>
          <cell r="B442" t="str">
            <v xml:space="preserve">MORGAN STANLEY 5.625 23/09/2019</v>
          </cell>
        </row>
        <row r="443">
          <cell r="A443" t="str">
            <v>US61747YCL74</v>
          </cell>
          <cell r="B443" t="str">
            <v xml:space="preserve">MORGAN STANLEY 4.10 26/01/2015</v>
          </cell>
        </row>
        <row r="444">
          <cell r="A444" t="str">
            <v>US6174467X10</v>
          </cell>
          <cell r="B444" t="str">
            <v xml:space="preserve">MORGAN STANLEY 5.00 24/11/2025</v>
          </cell>
        </row>
        <row r="445">
          <cell r="A445" t="str">
            <v>US61748AAE64</v>
          </cell>
          <cell r="B445" t="str">
            <v xml:space="preserve">MORGAN STANLEY 4.75 01/04/2014</v>
          </cell>
        </row>
        <row r="446">
          <cell r="A446" t="str">
            <v>US620076AZ29</v>
          </cell>
          <cell r="B446" t="str">
            <v xml:space="preserve">MOTOROLA 6.00 15/11/2017</v>
          </cell>
        </row>
        <row r="447">
          <cell r="A447" t="str">
            <v>XS0608392550</v>
          </cell>
          <cell r="B447" t="str">
            <v xml:space="preserve">MUNICH RE 6.00 26/05/2041</v>
          </cell>
        </row>
        <row r="448">
          <cell r="A448" t="str">
            <v>XS0459207121</v>
          </cell>
          <cell r="B448" t="str">
            <v xml:space="preserve">NAFTOGAZ 9.50 30/09/2014</v>
          </cell>
        </row>
        <row r="449">
          <cell r="A449" t="str">
            <v>US636274AC63</v>
          </cell>
          <cell r="B449" t="str">
            <v xml:space="preserve">NATIONAL GRID 6.30 01/08/2016</v>
          </cell>
        </row>
        <row r="450">
          <cell r="A450" t="str">
            <v>US640204AH65</v>
          </cell>
          <cell r="B450" t="str">
            <v xml:space="preserve">NEIMAN MARCUS 10.375 15/10/2015</v>
          </cell>
        </row>
        <row r="451">
          <cell r="A451" t="str">
            <v>US654902AB18</v>
          </cell>
          <cell r="B451" t="str">
            <v xml:space="preserve">NOKIA 5.375 15/05/2019</v>
          </cell>
        </row>
        <row r="452">
          <cell r="A452" t="str">
            <v>XS0411735482</v>
          </cell>
          <cell r="B452" t="str">
            <v xml:space="preserve">NOKIA 6.75 04/02/2019</v>
          </cell>
        </row>
        <row r="453">
          <cell r="A453" t="str">
            <v>US66989GAA85</v>
          </cell>
          <cell r="B453" t="str">
            <v xml:space="preserve">NOVARTIS 5.125 10/02/2019</v>
          </cell>
        </row>
        <row r="454">
          <cell r="A454" t="str">
            <v>US629377AX02</v>
          </cell>
          <cell r="B454" t="str">
            <v xml:space="preserve">NRG 7.375 15/01/2017</v>
          </cell>
        </row>
        <row r="455">
          <cell r="A455" t="str">
            <v>US629377BK71</v>
          </cell>
          <cell r="B455" t="str">
            <v xml:space="preserve">NRG ENERGY 8.25 01/09/2020</v>
          </cell>
        </row>
        <row r="456">
          <cell r="A456" t="str">
            <v>CA683234YX06</v>
          </cell>
          <cell r="B456" t="str">
            <v xml:space="preserve">PROVINCE OF ONTARIO 4.30 08/03/2017</v>
          </cell>
        </row>
        <row r="457">
          <cell r="A457" t="str">
            <v>US683234YU64</v>
          </cell>
          <cell r="B457" t="str">
            <v xml:space="preserve">PROVINCE OF ONTARIO 4.95 28/11/2016</v>
          </cell>
        </row>
        <row r="458">
          <cell r="A458" t="str">
            <v>XS0166551803</v>
          </cell>
          <cell r="B458" t="str">
            <v xml:space="preserve">PROVINCE OF ONTARIO 5.50 17/04/2013</v>
          </cell>
        </row>
        <row r="459">
          <cell r="A459" t="str">
            <v>XS0209922714</v>
          </cell>
          <cell r="B459" t="str">
            <v xml:space="preserve">PACIFIC LIFE 5.125 20/01/15</v>
          </cell>
        </row>
        <row r="460">
          <cell r="A460" t="str">
            <v>US694308GD32</v>
          </cell>
          <cell r="B460" t="str">
            <v xml:space="preserve">PACIFIC GAS 4.8 01/03/2014</v>
          </cell>
        </row>
        <row r="461">
          <cell r="A461" t="str">
            <v>US704549AJ38</v>
          </cell>
          <cell r="B461" t="str">
            <v xml:space="preserve">PEABODY ENERGY 6.00 15/11/2018</v>
          </cell>
        </row>
        <row r="462">
          <cell r="A462" t="str">
            <v>US71656MBJ71</v>
          </cell>
          <cell r="B462" t="str">
            <v xml:space="preserve">PEMEX 6.375 04/02/2041</v>
          </cell>
        </row>
        <row r="463">
          <cell r="A463" t="str">
            <v>US706451BF73</v>
          </cell>
          <cell r="B463" t="str">
            <v xml:space="preserve">PEMEX 5.75 15/12/2015</v>
          </cell>
        </row>
        <row r="464">
          <cell r="A464" t="str">
            <v>US71654QCB68</v>
          </cell>
          <cell r="B464" t="str">
            <v xml:space="preserve">PEMEX 6.875 08/04/2026</v>
          </cell>
        </row>
        <row r="465">
          <cell r="A465" t="str">
            <v>US706451BG56</v>
          </cell>
          <cell r="B465" t="str">
            <v xml:space="preserve">PEMEX 6.625 15/06/2035</v>
          </cell>
        </row>
        <row r="466">
          <cell r="A466" t="str">
            <v>US706451BR12</v>
          </cell>
          <cell r="B466" t="str">
            <v xml:space="preserve">PEMEX MASTER 6.625 15/06/2038</v>
          </cell>
        </row>
        <row r="467">
          <cell r="A467" t="str">
            <v>US706451BS94</v>
          </cell>
          <cell r="B467" t="str">
            <v xml:space="preserve">PEMEX MASTER TR 5.75 01/03/2018</v>
          </cell>
        </row>
        <row r="468">
          <cell r="A468" t="str">
            <v>US70645KAM18</v>
          </cell>
          <cell r="B468" t="str">
            <v xml:space="preserve">PEMEX MASTER TR 7.375 15/12/2014</v>
          </cell>
        </row>
        <row r="469">
          <cell r="A469" t="str">
            <v>US71654QAP72</v>
          </cell>
          <cell r="B469" t="str">
            <v xml:space="preserve">PETRO MEXICANOS 9.25 30/03/2018</v>
          </cell>
        </row>
        <row r="470">
          <cell r="A470" t="str">
            <v>US71654QAW24</v>
          </cell>
          <cell r="B470" t="str">
            <v xml:space="preserve">PEMEX 6.00 05/03/2020</v>
          </cell>
        </row>
        <row r="471">
          <cell r="A471" t="str">
            <v>US71654QBE17</v>
          </cell>
          <cell r="B471" t="str">
            <v xml:space="preserve">PEMEX 5.50 27/06/2044</v>
          </cell>
        </row>
        <row r="472">
          <cell r="A472" t="str">
            <v>US71656MAD11</v>
          </cell>
          <cell r="B472" t="str">
            <v xml:space="preserve">PEMEX 5.50 21/01/2021</v>
          </cell>
        </row>
        <row r="473">
          <cell r="A473" t="str">
            <v>US71656MAF68</v>
          </cell>
          <cell r="B473" t="str">
            <v xml:space="preserve">PEMEX 6.625 28/09/2049</v>
          </cell>
        </row>
        <row r="474">
          <cell r="A474" t="str">
            <v>US7165QAU67</v>
          </cell>
          <cell r="B474" t="str">
            <v xml:space="preserve">PEMEX 8.00 03/05/2019</v>
          </cell>
        </row>
        <row r="475">
          <cell r="A475" t="str">
            <v>XS0201926663</v>
          </cell>
          <cell r="B475" t="str">
            <v xml:space="preserve">PEMEX MASTER TR 7.75 28/09/2049</v>
          </cell>
        </row>
        <row r="476">
          <cell r="A476" t="str">
            <v>XS0213101073</v>
          </cell>
          <cell r="B476" t="str">
            <v xml:space="preserve">PEMEX PROJECT 5.50 24/02/2025</v>
          </cell>
        </row>
        <row r="477">
          <cell r="A477" t="str">
            <v>MX95PE1X00H9</v>
          </cell>
          <cell r="B477" t="str">
            <v xml:space="preserve">PEMEX 7.19 09/12/2024</v>
          </cell>
        </row>
        <row r="478">
          <cell r="A478" t="str">
            <v>US10138MAF23</v>
          </cell>
          <cell r="B478" t="str">
            <v xml:space="preserve">PEPSI 5 15/11/2013</v>
          </cell>
        </row>
        <row r="479">
          <cell r="A479" t="str">
            <v>XS0849673602</v>
          </cell>
          <cell r="B479" t="str">
            <v xml:space="preserve">PEPSICO 2.50 01/11/2022</v>
          </cell>
        </row>
        <row r="480">
          <cell r="A480" t="str">
            <v>US71645WAH43</v>
          </cell>
          <cell r="B480" t="str">
            <v xml:space="preserve">PETROBRAS INTL 8.375 10/12/2018</v>
          </cell>
        </row>
        <row r="481">
          <cell r="A481" t="str">
            <v>US71645WAL54</v>
          </cell>
          <cell r="B481" t="str">
            <v xml:space="preserve">PETROBRAS 6.125 06/10/2016</v>
          </cell>
        </row>
        <row r="482">
          <cell r="A482" t="str">
            <v>US71645WAR25</v>
          </cell>
          <cell r="B482" t="str">
            <v xml:space="preserve">PETROBRAS 5.375 27/01/2021</v>
          </cell>
        </row>
        <row r="483">
          <cell r="A483" t="str">
            <v>USG70474AE48</v>
          </cell>
          <cell r="B483" t="str">
            <v xml:space="preserve">PF EXPORT REC MT PETBRA 6.436 01/06/2015</v>
          </cell>
        </row>
        <row r="484">
          <cell r="A484" t="str">
            <v>FR0011233451</v>
          </cell>
          <cell r="B484" t="str">
            <v xml:space="preserve">PEUGEOT 5.625 11/07/2017</v>
          </cell>
        </row>
        <row r="485">
          <cell r="A485" t="str">
            <v>XS0432072022</v>
          </cell>
          <cell r="B485" t="str">
            <v xml:space="preserve">PFIZER 6.50 03/06/2038</v>
          </cell>
        </row>
        <row r="486">
          <cell r="A486" t="str">
            <v>US721467AE84</v>
          </cell>
          <cell r="B486" t="str">
            <v xml:space="preserve">PILGRIMS 7.625 01/05/2015</v>
          </cell>
        </row>
        <row r="487">
          <cell r="A487" t="str">
            <v>PTOTE3OE0017</v>
          </cell>
          <cell r="B487" t="str">
            <v xml:space="preserve">PORTUGAL 3.35 15/10/2015</v>
          </cell>
        </row>
        <row r="488">
          <cell r="A488" t="str">
            <v>XS0155818833</v>
          </cell>
          <cell r="B488" t="str">
            <v xml:space="preserve">PREMIER III 1 04/03/2013</v>
          </cell>
        </row>
        <row r="489">
          <cell r="A489" t="str">
            <v>CA74814ZDR16</v>
          </cell>
          <cell r="B489" t="str">
            <v xml:space="preserve">PROVINCE OF QUEBEC 4.50 01/12/2017</v>
          </cell>
        </row>
        <row r="490">
          <cell r="A490" t="str">
            <v>US748148RR64</v>
          </cell>
          <cell r="B490" t="str">
            <v xml:space="preserve">PROVINCE OF QUEBEC 5.00 01/03/2016</v>
          </cell>
        </row>
        <row r="491">
          <cell r="A491" t="str">
            <v>CH0102806061</v>
          </cell>
          <cell r="B491" t="str">
            <v xml:space="preserve">RABOBANK 6.875 12/11/2049</v>
          </cell>
        </row>
        <row r="492">
          <cell r="A492" t="str">
            <v>US21685WBT36</v>
          </cell>
          <cell r="B492" t="str">
            <v xml:space="preserve">RABOBANK 4.5 11/01/2021</v>
          </cell>
        </row>
        <row r="493">
          <cell r="A493" t="str">
            <v>US74977SCM26</v>
          </cell>
          <cell r="B493" t="str">
            <v xml:space="preserve">RABOBANK 5.80 30/09/2110</v>
          </cell>
        </row>
        <row r="494">
          <cell r="A494" t="str">
            <v>XS0583302996</v>
          </cell>
          <cell r="B494" t="str">
            <v xml:space="preserve">RABOBANK 8.375 26/07/2049</v>
          </cell>
        </row>
        <row r="495">
          <cell r="A495" t="str">
            <v>XS0703303262</v>
          </cell>
          <cell r="B495" t="str">
            <v xml:space="preserve">RABOBANK 8.4 29/06/2049</v>
          </cell>
        </row>
        <row r="496">
          <cell r="A496" t="str">
            <v>FR0010914408</v>
          </cell>
          <cell r="B496" t="str">
            <v xml:space="preserve">REMY COINTREAU 5.18 15/12/2016</v>
          </cell>
        </row>
        <row r="497">
          <cell r="A497" t="str">
            <v>XS0172751355</v>
          </cell>
          <cell r="B497" t="str">
            <v xml:space="preserve">REPSOL 5 22/07/2013</v>
          </cell>
        </row>
        <row r="498">
          <cell r="A498" t="str">
            <v>XS0172751355</v>
          </cell>
          <cell r="B498" t="str">
            <v xml:space="preserve">REPSOL INTL 5.00 22/07/2013</v>
          </cell>
        </row>
        <row r="499">
          <cell r="A499" t="str">
            <v>XS0202649934</v>
          </cell>
          <cell r="B499" t="str">
            <v xml:space="preserve">REPSOL FINANCE 4.6250 10/08/2014</v>
          </cell>
        </row>
        <row r="500">
          <cell r="A500" t="str">
            <v>XS0718395089</v>
          </cell>
          <cell r="B500" t="str">
            <v xml:space="preserve">REPSOL 4.25 12/02/2016</v>
          </cell>
        </row>
        <row r="501">
          <cell r="A501" t="str">
            <v>USU75000AM82</v>
          </cell>
          <cell r="B501" t="str">
            <v xml:space="preserve">ROCHE 6.00 01/03/2019</v>
          </cell>
        </row>
        <row r="502">
          <cell r="A502" t="str">
            <v>XS0175478873</v>
          </cell>
          <cell r="B502" t="str">
            <v xml:space="preserve">ROCHE FIN EUROPE 5.375 29/08/2023</v>
          </cell>
        </row>
        <row r="503">
          <cell r="A503" t="str">
            <v>XS0415625283</v>
          </cell>
          <cell r="B503" t="str">
            <v xml:space="preserve">ROCHE 5.50 04/03/2015</v>
          </cell>
        </row>
        <row r="504">
          <cell r="A504" t="str">
            <v>CH0022976853</v>
          </cell>
          <cell r="B504" t="str">
            <v xml:space="preserve">ROYAL BANK OF SCOTLAND 2.375 02/11/2015</v>
          </cell>
        </row>
        <row r="505">
          <cell r="A505" t="str">
            <v>CH0117124179</v>
          </cell>
          <cell r="B505" t="str">
            <v xml:space="preserve">ROYAL BANK OF SCOTLAND 2.75 08/10/2015</v>
          </cell>
        </row>
        <row r="506">
          <cell r="A506" t="str">
            <v>US478160AZ78</v>
          </cell>
          <cell r="B506" t="str">
            <v xml:space="preserve">JOHNSON&amp;JOHNSON 3.55 05/15/2021</v>
          </cell>
        </row>
        <row r="507">
          <cell r="A507" t="str">
            <v>US48126HAA86</v>
          </cell>
          <cell r="B507" t="str">
            <v xml:space="preserve">JP MORGAN 6.00 01/02/2049</v>
          </cell>
        </row>
        <row r="508">
          <cell r="A508" t="str">
            <v>US780097AY76</v>
          </cell>
          <cell r="B508" t="str">
            <v xml:space="preserve">RBS 6.1 10/06/2023</v>
          </cell>
        </row>
        <row r="509">
          <cell r="A509" t="str">
            <v>XS0116447599</v>
          </cell>
          <cell r="B509" t="str">
            <v xml:space="preserve">ROYAL BANK OF SCOTLAND 7.375 31/08/2049</v>
          </cell>
        </row>
        <row r="510">
          <cell r="A510" t="str">
            <v>XS0651157199</v>
          </cell>
          <cell r="B510" t="str">
            <v xml:space="preserve">ROYAL BANK OF SCOTLAND STR 6.50 27/07/2021</v>
          </cell>
        </row>
        <row r="511">
          <cell r="A511" t="str">
            <v>XS0994278504</v>
          </cell>
          <cell r="B511" t="str">
            <v xml:space="preserve">RBC CONSUMER PHOENIX 9.6 12/12/2016</v>
          </cell>
        </row>
        <row r="512">
          <cell r="A512" t="str">
            <v>XS0994284494</v>
          </cell>
          <cell r="B512" t="str">
            <v xml:space="preserve">RBC PETRO PHOENIX 11.2 12/12/2016</v>
          </cell>
        </row>
        <row r="513">
          <cell r="A513" t="str">
            <v>US78572MAD74</v>
          </cell>
          <cell r="B513" t="str">
            <v xml:space="preserve">SABMILLER 6.50 01/07/2016</v>
          </cell>
        </row>
        <row r="514">
          <cell r="A514" t="str">
            <v>XS0440312725</v>
          </cell>
          <cell r="B514" t="str">
            <v xml:space="preserve">SABMILLER 4.50 20/01/2015</v>
          </cell>
        </row>
        <row r="515">
          <cell r="A515" t="str">
            <v>US786514BM06</v>
          </cell>
          <cell r="B515" t="str">
            <v xml:space="preserve">SAFEWAY 5.625 15/08/2014</v>
          </cell>
        </row>
        <row r="516">
          <cell r="A516" t="str">
            <v>US786514BP37</v>
          </cell>
          <cell r="B516" t="str">
            <v xml:space="preserve">SAFEWAY 6.35 15/08/2017</v>
          </cell>
        </row>
        <row r="517">
          <cell r="A517" t="str">
            <v>XS0274270817</v>
          </cell>
          <cell r="B517" t="str">
            <v xml:space="preserve">SAINT GOBAIN 5.625 15/11/2024</v>
          </cell>
        </row>
        <row r="518">
          <cell r="A518" t="str">
            <v>XS0274270908</v>
          </cell>
          <cell r="B518" t="str">
            <v xml:space="preserve">SAINT GOBAIN 5.625 15/12/2016</v>
          </cell>
        </row>
        <row r="519">
          <cell r="A519" t="str">
            <v>XS0409153110</v>
          </cell>
          <cell r="B519" t="str">
            <v xml:space="preserve">CIE SAINT GOBAIN 8.25 28/07/2014</v>
          </cell>
        </row>
        <row r="520">
          <cell r="A520" t="str">
            <v>XS0409153110</v>
          </cell>
          <cell r="B520" t="str">
            <v xml:space="preserve">SAINT GOBAIN 8.25 28/07/2014</v>
          </cell>
        </row>
        <row r="521">
          <cell r="A521" t="str">
            <v>US80282KAE64</v>
          </cell>
          <cell r="B521" t="str">
            <v xml:space="preserve">SANTANDER 4.5 07/17/2025</v>
          </cell>
        </row>
        <row r="522">
          <cell r="A522" t="str">
            <v>XS0418031778</v>
          </cell>
          <cell r="B522" t="str">
            <v xml:space="preserve">SANTANDER 2.00 29/03/2049</v>
          </cell>
        </row>
        <row r="523">
          <cell r="A523" t="str">
            <v>XS0441528949</v>
          </cell>
          <cell r="B523" t="str">
            <v xml:space="preserve">SANTANDER 11.3 27/07/2049</v>
          </cell>
        </row>
        <row r="524">
          <cell r="A524" t="str">
            <v>XS0593970014</v>
          </cell>
          <cell r="B524" t="str">
            <v xml:space="preserve">SANTANDER 3.75 28-02-2013</v>
          </cell>
        </row>
        <row r="525">
          <cell r="A525" t="str">
            <v>US05966UAB08</v>
          </cell>
          <cell r="B525" t="str">
            <v xml:space="preserve">SANTANDER BRASIL 4.50 06/04/2015</v>
          </cell>
        </row>
        <row r="526">
          <cell r="A526" t="str">
            <v>XS0454821462</v>
          </cell>
          <cell r="B526" t="str">
            <v xml:space="preserve">SCANDINAVIAN ENSKILDA BK  9.25 01/10/2049</v>
          </cell>
        </row>
        <row r="527">
          <cell r="A527" t="str">
            <v>XS1136391643</v>
          </cell>
          <cell r="B527" t="str">
            <v xml:space="preserve">SKANDINAVISKA ENSKILDA BANKEN 5.75 PERPETUAL</v>
          </cell>
        </row>
        <row r="528">
          <cell r="A528" t="str">
            <v>XS0323955541</v>
          </cell>
          <cell r="B528" t="str">
            <v xml:space="preserve">SCHERING PLOUGH 5.375 01/10/2014</v>
          </cell>
        </row>
        <row r="529">
          <cell r="A529" t="str">
            <v>USP49768AA59</v>
          </cell>
          <cell r="B529" t="str">
            <v xml:space="preserve">SCRIBE 8.875 07/04/2020</v>
          </cell>
        </row>
        <row r="530">
          <cell r="A530" t="str">
            <v>US816851AU37</v>
          </cell>
          <cell r="B530" t="str">
            <v xml:space="preserve">SER 4.05 01/12/2013</v>
          </cell>
        </row>
        <row r="531">
          <cell r="A531" t="str">
            <v>CH0115758671</v>
          </cell>
          <cell r="B531" t="str">
            <v xml:space="preserve">SGS 1.875 19/08/2016</v>
          </cell>
        </row>
        <row r="532">
          <cell r="A532" t="str">
            <v>US822582AC66</v>
          </cell>
          <cell r="B532" t="str">
            <v xml:space="preserve">SHELL 5.2 22/03/2017</v>
          </cell>
        </row>
        <row r="533">
          <cell r="A533" t="str">
            <v>US822582AJ10</v>
          </cell>
          <cell r="B533" t="str">
            <v xml:space="preserve">SHELL 4.30 22/09/2019</v>
          </cell>
        </row>
        <row r="534">
          <cell r="A534" t="str">
            <v>XS0247659542</v>
          </cell>
          <cell r="B534" t="str">
            <v xml:space="preserve">SIEMENS 5.625 16/03/2016</v>
          </cell>
        </row>
        <row r="535">
          <cell r="A535" t="str">
            <v>XS0264823567</v>
          </cell>
          <cell r="B535" t="str">
            <v xml:space="preserve">SIEMENS FINANCIERA 5.75 17/10/2016</v>
          </cell>
        </row>
        <row r="536">
          <cell r="A536" t="str">
            <v>XS0369461644</v>
          </cell>
          <cell r="B536" t="str">
            <v xml:space="preserve">SIEMENS 5.625 11/06/2018</v>
          </cell>
        </row>
        <row r="537">
          <cell r="A537" t="str">
            <v>USP8674JAB54</v>
          </cell>
          <cell r="B537" t="str">
            <v xml:space="preserve">SIGMA 6.875 16/12/2019</v>
          </cell>
        </row>
        <row r="538">
          <cell r="A538" t="str">
            <v>US828807BW67</v>
          </cell>
          <cell r="B538" t="str">
            <v xml:space="preserve">SIMON PROPERTY 5.25 01/12/2016</v>
          </cell>
        </row>
        <row r="539">
          <cell r="A539" t="str">
            <v>AU3CB0162337</v>
          </cell>
          <cell r="B539" t="str">
            <v xml:space="preserve">SOCIETE GENERALE 6.75 20/10/2014</v>
          </cell>
        </row>
        <row r="540">
          <cell r="A540" t="str">
            <v>US83364LAB53</v>
          </cell>
          <cell r="B540" t="str">
            <v xml:space="preserve">SOCIETE GENERALE   5.75 20/04/2016</v>
          </cell>
        </row>
        <row r="541">
          <cell r="A541" t="str">
            <v>USF43628AB60</v>
          </cell>
          <cell r="B541" t="str">
            <v xml:space="preserve">SOCIETE GENERALE 5.75 20/04/2016</v>
          </cell>
        </row>
        <row r="542">
          <cell r="A542" t="str">
            <v>XS0446860826</v>
          </cell>
          <cell r="B542" t="str">
            <v xml:space="preserve">SOCIETE GENERALE 3.75 21/08/2014</v>
          </cell>
        </row>
        <row r="543">
          <cell r="A543" t="str">
            <v>XS0449487619</v>
          </cell>
          <cell r="B543" t="str">
            <v xml:space="preserve">SOCIETE GENERALE 9.375 04/09/2049</v>
          </cell>
        </row>
        <row r="544">
          <cell r="A544" t="str">
            <v>XS0454569863</v>
          </cell>
          <cell r="B544" t="str">
            <v xml:space="preserve">SOCIETE GENERALE 8.75 07/10/2049</v>
          </cell>
        </row>
        <row r="545">
          <cell r="A545" t="str">
            <v>XS0503530874</v>
          </cell>
          <cell r="B545" t="str">
            <v xml:space="preserve">SOCIETE GENERALE 3.875 17/12/2015</v>
          </cell>
        </row>
        <row r="546">
          <cell r="A546" t="str">
            <v>XS0638351451</v>
          </cell>
          <cell r="B546" t="str">
            <v xml:space="preserve">SOCIETE GENERALE STR 8.00 15/06/2026</v>
          </cell>
        </row>
        <row r="547">
          <cell r="A547" t="str">
            <v>XS0679158872</v>
          </cell>
          <cell r="B547" t="str">
            <v xml:space="preserve">SOCIETE GENERALE STR 11.00 01/12/2021</v>
          </cell>
        </row>
        <row r="548">
          <cell r="A548" t="str">
            <v>XS0679289628</v>
          </cell>
          <cell r="B548" t="str">
            <v xml:space="preserve">SOCIETE GENERALE STR 11.00 22/02/2022</v>
          </cell>
        </row>
        <row r="549">
          <cell r="A549" t="str">
            <v>XS0685127192</v>
          </cell>
          <cell r="B549" t="str">
            <v xml:space="preserve">SOCIETE GENERALE STR 10.50 04/10/2021</v>
          </cell>
        </row>
        <row r="550">
          <cell r="A550" t="str">
            <v>XS0689642295</v>
          </cell>
          <cell r="B550" t="str">
            <v xml:space="preserve">SOCIETE GENERALE STR 11.00 18/10/2021</v>
          </cell>
        </row>
        <row r="551">
          <cell r="A551" t="str">
            <v>XS0767710907</v>
          </cell>
          <cell r="B551" t="str">
            <v xml:space="preserve">SG STRUCTURED 6.20 18/10/2022</v>
          </cell>
        </row>
        <row r="552">
          <cell r="A552" t="str">
            <v>XS0767906802</v>
          </cell>
          <cell r="B552" t="str">
            <v xml:space="preserve">SG STR 7.41 26/07/2027</v>
          </cell>
        </row>
        <row r="553">
          <cell r="A553" t="str">
            <v>XS0839782876</v>
          </cell>
          <cell r="B553" t="str">
            <v xml:space="preserve">SOCIETE GENERALE STR 8.25 8.25 07/03/2028</v>
          </cell>
        </row>
        <row r="554">
          <cell r="A554" t="str">
            <v>XS0839799177</v>
          </cell>
          <cell r="B554" t="str">
            <v xml:space="preserve">SOCIETE GENERALE STR 8.15 8.25 28/03/2028</v>
          </cell>
        </row>
        <row r="555">
          <cell r="A555" t="str">
            <v>XS0867614595</v>
          </cell>
          <cell r="B555" t="str">
            <v xml:space="preserve">SOCIETE GENERAL SOCGEN 29/11/2049</v>
          </cell>
        </row>
        <row r="556">
          <cell r="A556" t="str">
            <v>XS0867691403</v>
          </cell>
          <cell r="B556" t="str">
            <v xml:space="preserve">SOCIETE GENERALE STR 8.45 15/05/2028</v>
          </cell>
        </row>
        <row r="557">
          <cell r="A557" t="str">
            <v>USF8586CXG25</v>
          </cell>
          <cell r="B557" t="str">
            <v xml:space="preserve">SOCIETE GENERALE 6.00 27/01/2049</v>
          </cell>
        </row>
        <row r="558">
          <cell r="A558" t="str">
            <v>XS0867717307</v>
          </cell>
          <cell r="B558" t="str">
            <v xml:space="preserve">SG FASHION PHOENIX 10.85 15/06/2013</v>
          </cell>
        </row>
        <row r="559">
          <cell r="A559" t="str">
            <v>XS0867723297</v>
          </cell>
          <cell r="B559" t="str">
            <v xml:space="preserve">SG STRUCTURED 8.00 07/06/2028</v>
          </cell>
        </row>
        <row r="560">
          <cell r="A560" t="str">
            <v>XS0904872131</v>
          </cell>
          <cell r="B560" t="str">
            <v xml:space="preserve">SG FINANCIAL PHOENIX 10.32 20/07/2015</v>
          </cell>
        </row>
        <row r="561">
          <cell r="A561" t="str">
            <v>XS0904918736</v>
          </cell>
          <cell r="B561" t="str">
            <v xml:space="preserve">SG TECH PHOENIX 10.008 27/08/2015</v>
          </cell>
        </row>
        <row r="562">
          <cell r="A562" t="str">
            <v>XS0977742960</v>
          </cell>
          <cell r="B562" t="str">
            <v xml:space="preserve">SG TECH PHOENIX II 10.00 02/12/2015</v>
          </cell>
        </row>
        <row r="563">
          <cell r="A563" t="str">
            <v>ES0000012916</v>
          </cell>
          <cell r="B563" t="str">
            <v xml:space="preserve">SPANISH GOVT 4.40 31/01/2015</v>
          </cell>
        </row>
        <row r="564">
          <cell r="A564" t="str">
            <v>US852060AD48</v>
          </cell>
          <cell r="B564" t="str">
            <v xml:space="preserve">SPRINT 6.875 15/11/2028</v>
          </cell>
        </row>
        <row r="565">
          <cell r="A565" t="str">
            <v>US852060AG78</v>
          </cell>
          <cell r="B565" t="str">
            <v xml:space="preserve">SPRINT 6.90 01/05/2019</v>
          </cell>
        </row>
        <row r="566">
          <cell r="A566" t="str">
            <v>US852061AD21</v>
          </cell>
          <cell r="B566" t="str">
            <v xml:space="preserve">SPRINT 6 01/12/2016</v>
          </cell>
        </row>
        <row r="567">
          <cell r="A567" t="str">
            <v>US852061AD21</v>
          </cell>
          <cell r="B567" t="str">
            <v xml:space="preserve">SPRINT NEXTEL 6.00 01/12/2016</v>
          </cell>
        </row>
        <row r="568">
          <cell r="A568" t="str">
            <v>US852061AF78</v>
          </cell>
          <cell r="B568" t="str">
            <v xml:space="preserve">SPRINT NEXTEL 8.375 15/08/2017</v>
          </cell>
        </row>
        <row r="569">
          <cell r="A569" t="str">
            <v>US855244AC33</v>
          </cell>
          <cell r="B569" t="str">
            <v xml:space="preserve">STARBUCKS 6.25 15/08/2017</v>
          </cell>
        </row>
        <row r="570">
          <cell r="A570" t="str">
            <v>US450912AC42</v>
          </cell>
          <cell r="B570" t="str">
            <v xml:space="preserve">STARWOOD 7.375 15/11/2015</v>
          </cell>
        </row>
        <row r="571">
          <cell r="A571" t="str">
            <v>US85590AAM62</v>
          </cell>
          <cell r="B571" t="str">
            <v xml:space="preserve">STARWOOD 7.875 15/10/2014</v>
          </cell>
        </row>
        <row r="572">
          <cell r="A572" t="str">
            <v>FR0010945188</v>
          </cell>
          <cell r="B572" t="str">
            <v xml:space="preserve">SUEZ ENVIRONNEMENT 4.82 21/09/2049</v>
          </cell>
        </row>
        <row r="573">
          <cell r="A573" t="str">
            <v>CA86721ZAC38</v>
          </cell>
          <cell r="B573" t="str">
            <v xml:space="preserve">SUNCOR 5.80 22/05/2018</v>
          </cell>
        </row>
        <row r="574">
          <cell r="A574" t="str">
            <v>US86764PAD15</v>
          </cell>
          <cell r="B574" t="str">
            <v xml:space="preserve">SUNOCO 5.75 15/01/2017</v>
          </cell>
        </row>
        <row r="575">
          <cell r="A575" t="str">
            <v>US87612EAS54</v>
          </cell>
          <cell r="B575" t="str">
            <v xml:space="preserve">TARGET 6.00 15/01/2018</v>
          </cell>
        </row>
        <row r="576">
          <cell r="A576" t="str">
            <v>XS0630959152</v>
          </cell>
          <cell r="B576" t="str">
            <v xml:space="preserve">TV AZTECA 7.50 25/05/2018</v>
          </cell>
        </row>
        <row r="577">
          <cell r="A577" t="str">
            <v>US912810FF04</v>
          </cell>
          <cell r="B577" t="str">
            <v xml:space="preserve">UNITED STATES TREAS BDS 5.250% 11/15/28 </v>
          </cell>
        </row>
        <row r="578">
          <cell r="A578" t="str">
            <v>US912810FS25</v>
          </cell>
          <cell r="B578" t="str">
            <v xml:space="preserve">UNITED STATES TREAS BDS TREAS INFLATION PROTECTED SECS TIPS 2.000% 01/15/26 </v>
          </cell>
        </row>
        <row r="579">
          <cell r="A579" t="str">
            <v>US912810QB70</v>
          </cell>
          <cell r="B579" t="str">
            <v xml:space="preserve">UNITED STATES TREAS BDS 4.250% 05/15/39</v>
          </cell>
        </row>
        <row r="580">
          <cell r="A580" t="str">
            <v>US912810QU51</v>
          </cell>
          <cell r="B580" t="str">
            <v xml:space="preserve">UNITED STATES TREAS BDS 3.125% 02/15/42</v>
          </cell>
        </row>
        <row r="581">
          <cell r="A581" t="str">
            <v>US912810RH32</v>
          </cell>
          <cell r="B581" t="str">
            <v xml:space="preserve">UNITED STATES TREAS BDS 3.125% 08/15/44</v>
          </cell>
        </row>
        <row r="582">
          <cell r="A582" t="str">
            <v>US912828G385</v>
          </cell>
          <cell r="B582" t="str">
            <v xml:space="preserve">UNITED STATES TREAS NTS 2.250% 11/15/24</v>
          </cell>
        </row>
        <row r="583">
          <cell r="A583" t="str">
            <v>US912828HH67</v>
          </cell>
          <cell r="B583" t="str">
            <v xml:space="preserve">UNITED STATES TREAS NTS 4.250% 11/15/17</v>
          </cell>
        </row>
        <row r="584">
          <cell r="A584" t="str">
            <v>US912828J843</v>
          </cell>
          <cell r="B584" t="str">
            <v xml:space="preserve">UNITED STATES TREAS NTS 1.375% 03/31/20</v>
          </cell>
        </row>
        <row r="585">
          <cell r="A585" t="str">
            <v>US912828K254</v>
          </cell>
          <cell r="B585" t="str">
            <v xml:space="preserve">UNITED STATES TREAS NTS 0.750% 04/15/18</v>
          </cell>
        </row>
        <row r="586">
          <cell r="A586" t="str">
            <v>US912828ND89</v>
          </cell>
          <cell r="B586" t="str">
            <v xml:space="preserve">UNITED STATES TREAS NTS 3.500% 05/15/20</v>
          </cell>
        </row>
        <row r="587">
          <cell r="A587" t="str">
            <v>US912828NT32</v>
          </cell>
          <cell r="B587" t="str">
            <v xml:space="preserve">UNITED STATES TREAS NTS 2.625% 08/15/20</v>
          </cell>
        </row>
        <row r="588">
          <cell r="A588" t="str">
            <v>US912828QF01</v>
          </cell>
          <cell r="B588" t="str">
            <v xml:space="preserve">UNITED STATES TREAS NTS 2.000% 04/30/16</v>
          </cell>
        </row>
        <row r="589">
          <cell r="A589" t="str">
            <v>US912828TP55</v>
          </cell>
          <cell r="B589" t="str">
            <v xml:space="preserve">UNITED STATES TREAS NTS 0.250% 09/15/15</v>
          </cell>
        </row>
        <row r="590">
          <cell r="A590" t="str">
            <v>US912828TX89</v>
          </cell>
          <cell r="B590" t="str">
            <v xml:space="preserve">UNITED STATES TREAS NTS 0.375% 11/15/15</v>
          </cell>
        </row>
        <row r="591">
          <cell r="A591" t="str">
            <v>US912828VB32</v>
          </cell>
          <cell r="B591" t="str">
            <v xml:space="preserve">UNITED STATES TREAS NTS 1.750% 05/15/23</v>
          </cell>
        </row>
        <row r="592">
          <cell r="A592" t="str">
            <v>US912828XG01</v>
          </cell>
          <cell r="B592" t="str">
            <v xml:space="preserve">UNITED STATES TREAS NTS 2.125% 06/30/22</v>
          </cell>
        </row>
        <row r="593">
          <cell r="A593" t="str">
            <v>CH0317921697</v>
          </cell>
          <cell r="B593" t="str">
            <v xml:space="preserve">UBS GROUP 6.875 PERPETUAL</v>
          </cell>
        </row>
        <row r="594">
          <cell r="A594" t="str">
            <v>US872456AA66</v>
          </cell>
          <cell r="B594" t="str">
            <v xml:space="preserve">TELECOM ITALIA 7.175 18/06/2019</v>
          </cell>
        </row>
        <row r="595">
          <cell r="A595" t="str">
            <v>US87927VAE83</v>
          </cell>
          <cell r="B595" t="str">
            <v xml:space="preserve">TELECOM ITALIA 5.25 15/11/2013</v>
          </cell>
        </row>
        <row r="596">
          <cell r="A596" t="str">
            <v>US87927VAF58</v>
          </cell>
          <cell r="B596" t="str">
            <v xml:space="preserve">TELECOM ITALIA 6.375 15/11/2033</v>
          </cell>
        </row>
        <row r="597">
          <cell r="A597" t="str">
            <v>US87927VAM00</v>
          </cell>
          <cell r="B597" t="str">
            <v xml:space="preserve">TELECOM ITALIA 6 29/06/2049</v>
          </cell>
        </row>
        <row r="598">
          <cell r="A598" t="str">
            <v>US87927VAV09</v>
          </cell>
          <cell r="B598" t="str">
            <v xml:space="preserve">TELECOM ITALIA 7.721 04/06/2038</v>
          </cell>
        </row>
        <row r="599">
          <cell r="A599" t="str">
            <v>XS0184373925</v>
          </cell>
          <cell r="B599" t="str">
            <v xml:space="preserve">TELECOM ITALIA 5.375 29/01/2019</v>
          </cell>
        </row>
        <row r="600">
          <cell r="A600" t="str">
            <v>XS0254905846</v>
          </cell>
          <cell r="B600" t="str">
            <v xml:space="preserve">TELECOM ITALIA 4.750 19/05/2014 EUR</v>
          </cell>
        </row>
        <row r="601">
          <cell r="A601" t="str">
            <v>US87938WAB90</v>
          </cell>
          <cell r="B601" t="str">
            <v xml:space="preserve">TELEFONICA EMISIONES 6.421 20/06/2016</v>
          </cell>
        </row>
        <row r="602">
          <cell r="A602" t="str">
            <v>US87938WAF05</v>
          </cell>
          <cell r="B602" t="str">
            <v xml:space="preserve">TELEFONICA EMISIONES 5.855 04/02/2013</v>
          </cell>
        </row>
        <row r="603">
          <cell r="A603" t="str">
            <v>XS0279928385</v>
          </cell>
          <cell r="B603" t="str">
            <v xml:space="preserve">TELEFONICA EMISIONES 5.88 31/01/2014</v>
          </cell>
        </row>
        <row r="604">
          <cell r="A604" t="str">
            <v>XS0368055959</v>
          </cell>
          <cell r="B604" t="str">
            <v xml:space="preserve">TELEFONICA EMISIONES 5.58 12/06/2013</v>
          </cell>
        </row>
        <row r="605">
          <cell r="A605" t="str">
            <v>US879403AS24</v>
          </cell>
          <cell r="B605" t="str">
            <v xml:space="preserve">TELEFONOS MEXICO 5.50 27/01/2015</v>
          </cell>
        </row>
        <row r="606">
          <cell r="A606" t="str">
            <v>USP9048DEC94</v>
          </cell>
          <cell r="B606" t="str">
            <v xml:space="preserve">TELEFONOS DE MEXICO 5.50 15/11/2019</v>
          </cell>
        </row>
        <row r="607">
          <cell r="A607" t="str">
            <v>CA87971MAG83</v>
          </cell>
          <cell r="B607" t="str">
            <v xml:space="preserve">TELUS 4.95 15/03/2017</v>
          </cell>
        </row>
        <row r="608">
          <cell r="A608" t="str">
            <v>USG371E2AA61</v>
          </cell>
          <cell r="B608" t="str">
            <v xml:space="preserve">FRESNILLO 5.50 13/11/2023</v>
          </cell>
        </row>
        <row r="609">
          <cell r="A609" t="str">
            <v>USP9084BAD03</v>
          </cell>
          <cell r="B609" t="str">
            <v xml:space="preserve">TENEDORA NEMAK 5.50 28/02/2023</v>
          </cell>
        </row>
        <row r="610">
          <cell r="A610" t="str">
            <v>XS0159013068</v>
          </cell>
          <cell r="B610" t="str">
            <v xml:space="preserve">TESCO 5.50 13/12/2019</v>
          </cell>
        </row>
        <row r="611">
          <cell r="A611" t="str">
            <v>XS0386772684</v>
          </cell>
          <cell r="B611" t="str">
            <v xml:space="preserve">TESCO 5.875 12/09/2016</v>
          </cell>
        </row>
        <row r="612">
          <cell r="A612" t="str">
            <v>XS0414350974</v>
          </cell>
          <cell r="B612" t="str">
            <v xml:space="preserve">TESCO 5.00 24/02/2014</v>
          </cell>
        </row>
        <row r="613">
          <cell r="A613" t="str">
            <v>US887315BJ73</v>
          </cell>
          <cell r="B613" t="str">
            <v xml:space="preserve">TIME WARNER 7.25 15/10/2017</v>
          </cell>
        </row>
        <row r="614">
          <cell r="A614" t="str">
            <v>US887317AC95</v>
          </cell>
          <cell r="B614" t="str">
            <v xml:space="preserve">TIME WARNER 5.875 15/11/2016</v>
          </cell>
        </row>
        <row r="615">
          <cell r="A615" t="str">
            <v>US887317AH82</v>
          </cell>
          <cell r="B615" t="str">
            <v xml:space="preserve">TIME WARNER 6.10 15/07/2040</v>
          </cell>
        </row>
        <row r="616">
          <cell r="A616" t="str">
            <v>US887317AK12</v>
          </cell>
          <cell r="B616" t="str">
            <v xml:space="preserve">TIME WARNER 4.75 29/03/2021</v>
          </cell>
        </row>
        <row r="617">
          <cell r="A617" t="str">
            <v xml:space="preserve">US88732JBD90 </v>
          </cell>
          <cell r="B617" t="str">
            <v xml:space="preserve">TIME WARNER 4.50 15/09/2042</v>
          </cell>
        </row>
        <row r="618">
          <cell r="A618" t="str">
            <v>US89152UAD46</v>
          </cell>
          <cell r="B618" t="str">
            <v xml:space="preserve">TOTAL CAPITAL 4.45 24/06/2020</v>
          </cell>
        </row>
        <row r="619">
          <cell r="A619" t="str">
            <v>US893830AS85</v>
          </cell>
          <cell r="B619" t="str">
            <v xml:space="preserve">TRANSOCEAN 6.00 15/03/2018</v>
          </cell>
        </row>
        <row r="620">
          <cell r="A620" t="str">
            <v>US912828FQ84</v>
          </cell>
          <cell r="B620" t="str">
            <v xml:space="preserve">US TREASURY 4.875 15/08/2016</v>
          </cell>
        </row>
        <row r="621">
          <cell r="A621" t="str">
            <v>US912828JR22</v>
          </cell>
          <cell r="B621" t="str">
            <v xml:space="preserve">US TREASURY 3.75 15/11/2018</v>
          </cell>
        </row>
        <row r="622">
          <cell r="A622" t="str">
            <v>US912828M29</v>
          </cell>
          <cell r="B622" t="str">
            <v xml:space="preserve">US TREASURY 3.625% 15/02/2020</v>
          </cell>
        </row>
        <row r="623">
          <cell r="A623" t="str">
            <v>XS0972684954</v>
          </cell>
          <cell r="B623" t="str">
            <v xml:space="preserve">TV AZTECA 7.625 18/09/2020</v>
          </cell>
        </row>
        <row r="624">
          <cell r="A624" t="str">
            <v>CH0025133445</v>
          </cell>
          <cell r="B624" t="str">
            <v xml:space="preserve">UBS AG JERSEY 2.75 28/04/2016</v>
          </cell>
        </row>
        <row r="625">
          <cell r="A625" t="str">
            <v>CH0035789210</v>
          </cell>
          <cell r="B625" t="str">
            <v xml:space="preserve">UBS 4.125 27/12/2017</v>
          </cell>
        </row>
        <row r="626">
          <cell r="A626" t="str">
            <v>CH0119610902</v>
          </cell>
          <cell r="B626" t="str">
            <v xml:space="preserve">UBS STR 7.25 04/11/2025</v>
          </cell>
        </row>
        <row r="627">
          <cell r="A627" t="str">
            <v>CH0129153844</v>
          </cell>
          <cell r="B627" t="str">
            <v xml:space="preserve">UBS STR 8.00 04/05/2026</v>
          </cell>
        </row>
        <row r="628">
          <cell r="A628" t="str">
            <v>CH0129271240</v>
          </cell>
          <cell r="B628" t="str">
            <v xml:space="preserve">UBS STR 8.00 15/07/2026</v>
          </cell>
        </row>
        <row r="629">
          <cell r="A629" t="str">
            <v>CH0139981101</v>
          </cell>
          <cell r="B629" t="str">
            <v xml:space="preserve">UBS STR 7.25 08/12/2026</v>
          </cell>
        </row>
        <row r="630">
          <cell r="A630" t="str">
            <v>CH0190654696</v>
          </cell>
          <cell r="B630" t="str">
            <v xml:space="preserve">UBS STRUCTURED 6.0 14/09/2022</v>
          </cell>
        </row>
        <row r="631">
          <cell r="A631" t="str">
            <v>US90466MAC38</v>
          </cell>
          <cell r="B631" t="str">
            <v xml:space="preserve">UNICREDIT 6.00 31/10/2017</v>
          </cell>
        </row>
        <row r="632">
          <cell r="A632" t="str">
            <v>XS0372556299</v>
          </cell>
          <cell r="B632" t="str">
            <v xml:space="preserve">UNICREDIT 8.5925 27/06/2049</v>
          </cell>
        </row>
        <row r="633">
          <cell r="A633" t="str">
            <v>XS0527624059</v>
          </cell>
          <cell r="B633" t="str">
            <v xml:space="preserve">UNICREDIT 9.375 21/07/2049</v>
          </cell>
        </row>
        <row r="634">
          <cell r="A634" t="str">
            <v>XS0925177130</v>
          </cell>
          <cell r="B634" t="str">
            <v xml:space="preserve">UNICREDIT 6.375 05/02/2023</v>
          </cell>
        </row>
        <row r="635">
          <cell r="A635" t="str">
            <v>US904764AH00</v>
          </cell>
          <cell r="B635" t="str">
            <v xml:space="preserve">UNILEVER CAPITAL 5.90 15/11/2032</v>
          </cell>
        </row>
        <row r="636">
          <cell r="A636" t="str">
            <v>XS0230663196</v>
          </cell>
          <cell r="B636" t="str">
            <v xml:space="preserve">UNILEVER 3.3750 29/09/2015</v>
          </cell>
        </row>
        <row r="637">
          <cell r="A637" t="str">
            <v>US904201AA81</v>
          </cell>
          <cell r="B637" t="str">
            <v xml:space="preserve">UNIVISION 9.75  15/03/2015</v>
          </cell>
        </row>
        <row r="638">
          <cell r="A638" t="str">
            <v>US914906AM43</v>
          </cell>
          <cell r="B638" t="str">
            <v xml:space="preserve">UNIVISION 6.875 15/05/2019</v>
          </cell>
        </row>
        <row r="639">
          <cell r="A639" t="str">
            <v>USP9592YAF09</v>
          </cell>
          <cell r="B639" t="str">
            <v xml:space="preserve">URBI 8.50 19/04/2016</v>
          </cell>
        </row>
        <row r="640">
          <cell r="A640" t="str">
            <v>US912909AN84</v>
          </cell>
          <cell r="B640" t="str">
            <v xml:space="preserve">X 6.25% 03/15/26</v>
          </cell>
        </row>
        <row r="641">
          <cell r="A641" t="str">
            <v>US912909AG34</v>
          </cell>
          <cell r="B641" t="str">
            <v xml:space="preserve">US STEEL 7.50 15/03/2022</v>
          </cell>
        </row>
        <row r="642">
          <cell r="A642" t="str">
            <v>US91911TAG85</v>
          </cell>
          <cell r="B642" t="str">
            <v xml:space="preserve">VALE OVERSEAS 6.25 23/01/2017</v>
          </cell>
        </row>
        <row r="643">
          <cell r="A643" t="str">
            <v>US91913YAM21</v>
          </cell>
          <cell r="B643" t="str">
            <v xml:space="preserve">VALERO ENERGY 6.125 15/06/2017</v>
          </cell>
        </row>
        <row r="644">
          <cell r="A644" t="str">
            <v>US92343VAL80</v>
          </cell>
          <cell r="B644" t="str">
            <v xml:space="preserve">VERIZON 5.50 15/02/2018</v>
          </cell>
        </row>
        <row r="645">
          <cell r="A645" t="str">
            <v>US92344GAW69</v>
          </cell>
          <cell r="B645" t="str">
            <v xml:space="preserve">VERIZON 4.90 15/09/2015</v>
          </cell>
        </row>
        <row r="646">
          <cell r="A646" t="str">
            <v>US92344SAP56</v>
          </cell>
          <cell r="B646" t="str">
            <v xml:space="preserve">VERIZON 5.55 01/02/2014</v>
          </cell>
        </row>
        <row r="647">
          <cell r="A647" t="str">
            <v>US92345NAA81</v>
          </cell>
          <cell r="B647" t="str">
            <v xml:space="preserve">VERIZON  VIRGINA INC. 4.625 15/03/13</v>
          </cell>
        </row>
        <row r="648">
          <cell r="A648" t="str">
            <v>US925524AX89</v>
          </cell>
          <cell r="B648" t="str">
            <v xml:space="preserve">VIACOM 6.875 30/04/2036</v>
          </cell>
        </row>
        <row r="649">
          <cell r="A649" t="str">
            <v>US925524BB50</v>
          </cell>
          <cell r="B649" t="str">
            <v xml:space="preserve">VIACOM 6.25 30/04/2016</v>
          </cell>
        </row>
        <row r="650">
          <cell r="A650" t="str">
            <v>US92851FAD50</v>
          </cell>
          <cell r="B650" t="str">
            <v xml:space="preserve">VITRO SA 11.75 01/11/2013</v>
          </cell>
        </row>
        <row r="651">
          <cell r="A651" t="str">
            <v>US92851RAD98</v>
          </cell>
          <cell r="B651" t="str">
            <v xml:space="preserve">VITRO  9.125  01/02/2017</v>
          </cell>
        </row>
        <row r="652">
          <cell r="A652" t="str">
            <v>XS0754039096</v>
          </cell>
          <cell r="B652" t="str">
            <v xml:space="preserve">VITRO 8.00 15/12/2018</v>
          </cell>
        </row>
        <row r="653">
          <cell r="A653" t="str">
            <v>XS0754815438</v>
          </cell>
          <cell r="B653" t="str">
            <v xml:space="preserve">VITRO 12 15/12/2015</v>
          </cell>
        </row>
        <row r="654">
          <cell r="A654" t="str">
            <v>US92857WAK62</v>
          </cell>
          <cell r="B654" t="str">
            <v xml:space="preserve">VODAFONE 5.75 15/03/2016</v>
          </cell>
        </row>
        <row r="655">
          <cell r="A655" t="str">
            <v>US92857WAV28</v>
          </cell>
          <cell r="B655" t="str">
            <v xml:space="preserve">VODAFONE 4.375 16/03/2021</v>
          </cell>
        </row>
        <row r="656">
          <cell r="A656" t="str">
            <v>XS0229306138</v>
          </cell>
          <cell r="B656" t="str">
            <v xml:space="preserve">VODAFONE GROUP 4.625 08/09/14</v>
          </cell>
        </row>
        <row r="657">
          <cell r="A657" t="str">
            <v>XS0257807957</v>
          </cell>
          <cell r="B657" t="str">
            <v xml:space="preserve">VODAFONE GROUP 4.75 14/06/2016</v>
          </cell>
        </row>
        <row r="658">
          <cell r="A658" t="str">
            <v>XS0408285913</v>
          </cell>
          <cell r="B658" t="str">
            <v xml:space="preserve">VODAFONE 6.25 15/01/2016</v>
          </cell>
        </row>
        <row r="659">
          <cell r="A659" t="str">
            <v>XS0479869744</v>
          </cell>
          <cell r="B659" t="str">
            <v xml:space="preserve">VODAFONE 4.65 01/20/2022</v>
          </cell>
        </row>
        <row r="660">
          <cell r="A660" t="str">
            <v>US931142CY78</v>
          </cell>
          <cell r="B660" t="str">
            <v xml:space="preserve">WAL MART 5.00 25/10/2040</v>
          </cell>
        </row>
        <row r="661">
          <cell r="A661" t="str">
            <v>US931142CZ44</v>
          </cell>
          <cell r="B661" t="str">
            <v xml:space="preserve">WAL MART 3.25 25/10/2020</v>
          </cell>
        </row>
        <row r="662">
          <cell r="A662" t="str">
            <v>XS0121617517</v>
          </cell>
          <cell r="B662" t="str">
            <v xml:space="preserve">WAL MART STORES 5.75 19/12/2030</v>
          </cell>
        </row>
        <row r="663">
          <cell r="A663" t="str">
            <v>US931142BT92</v>
          </cell>
          <cell r="B663" t="str">
            <v xml:space="preserve">WALMART 4.55 01/05/2013</v>
          </cell>
        </row>
        <row r="664">
          <cell r="A664" t="str">
            <v>US25468PCA21</v>
          </cell>
          <cell r="B664" t="str">
            <v xml:space="preserve">WALT DISNEY 6.20 20/06/2014</v>
          </cell>
        </row>
        <row r="665">
          <cell r="A665" t="str">
            <v>US92976WBH88</v>
          </cell>
          <cell r="B665" t="str">
            <v xml:space="preserve">WELLS FARGO 5.75 01/02/2018</v>
          </cell>
        </row>
        <row r="666">
          <cell r="A666" t="str">
            <v>US92978AAA07</v>
          </cell>
          <cell r="B666" t="str">
            <v xml:space="preserve">WELLS FARGO 5.56 31/12/2049</v>
          </cell>
        </row>
        <row r="667">
          <cell r="A667" t="str">
            <v>US949746CR04</v>
          </cell>
          <cell r="B667" t="str">
            <v xml:space="preserve">WELLS FARGO 5.00 15/11/2014</v>
          </cell>
        </row>
        <row r="668">
          <cell r="A668" t="str">
            <v>US949746FJ50</v>
          </cell>
          <cell r="B668" t="str">
            <v xml:space="preserve">WELLS FARGO 4.95 16/10/2013</v>
          </cell>
        </row>
        <row r="669">
          <cell r="A669" t="str">
            <v>US949746PM79</v>
          </cell>
          <cell r="B669" t="str">
            <v xml:space="preserve">WELLS FARGO 7.98 15/03/2049</v>
          </cell>
        </row>
        <row r="670">
          <cell r="A670" t="str">
            <v>US94986EAA82</v>
          </cell>
          <cell r="B670" t="str">
            <v xml:space="preserve">WELLS FARGO 7.70 12/29/2049</v>
          </cell>
        </row>
        <row r="671">
          <cell r="A671" t="str">
            <v>US064159KJ44</v>
          </cell>
          <cell r="B671" t="str">
            <v xml:space="preserve">BANK OF NOVA SCOTIA 4.65 PERP</v>
          </cell>
        </row>
        <row r="672">
          <cell r="A672" t="str">
            <v>US983024AJ99</v>
          </cell>
          <cell r="B672" t="str">
            <v xml:space="preserve">WYETH 5.50 15/02/2016</v>
          </cell>
        </row>
        <row r="673">
          <cell r="A673" t="str">
            <v>US983130AD70</v>
          </cell>
          <cell r="B673" t="str">
            <v xml:space="preserve">WYNN 6.625 01/12/2014</v>
          </cell>
        </row>
        <row r="674">
          <cell r="A674" t="str">
            <v>US983130AP01</v>
          </cell>
          <cell r="B674" t="str">
            <v xml:space="preserve">WYNN 7.875 01/05/2020</v>
          </cell>
        </row>
        <row r="675">
          <cell r="A675" t="str">
            <v>US984121BW26</v>
          </cell>
          <cell r="B675" t="str">
            <v xml:space="preserve">XEROX 6.35 15/05/2018</v>
          </cell>
        </row>
        <row r="676">
          <cell r="A676" t="str">
            <v>USP3713LAA63</v>
          </cell>
          <cell r="B676" t="str">
            <v xml:space="preserve">ELEMENTIA 5.50 15/01/2025</v>
          </cell>
        </row>
        <row r="677">
          <cell r="A677" t="str">
            <v>US822582AS19</v>
          </cell>
          <cell r="B677" t="str">
            <v xml:space="preserve">SHELL INTERNATIONAL FIN 2.375 21/08/2022</v>
          </cell>
        </row>
        <row r="678">
          <cell r="A678" t="str">
            <v>US92343VBJ26</v>
          </cell>
          <cell r="B678" t="str">
            <v xml:space="preserve">VERIZON COMMUNICATIONS 2.45 01/11/2022</v>
          </cell>
        </row>
        <row r="679">
          <cell r="A679" t="str">
            <v>US58013MEM29</v>
          </cell>
          <cell r="B679" t="str">
            <v xml:space="preserve">MCDONALD'S CORP 2.625 15/01/2022</v>
          </cell>
        </row>
        <row r="680">
          <cell r="A680" t="str">
            <v>US191216AR14</v>
          </cell>
          <cell r="B680" t="str">
            <v xml:space="preserve">COCA-COLA CO/THE 3.15 15/11/2020</v>
          </cell>
        </row>
        <row r="681">
          <cell r="A681" t="str">
            <v>US87264AAJ43</v>
          </cell>
          <cell r="B681" t="str">
            <v xml:space="preserve">T-MOBILE 6.5 01/15/2024</v>
          </cell>
        </row>
        <row r="682">
          <cell r="A682" t="str">
            <v>US71654QCP54</v>
          </cell>
          <cell r="B682" t="str">
            <v xml:space="preserve">PEMEX 6.5% 01/23/2029</v>
          </cell>
        </row>
        <row r="683">
          <cell r="A683" t="str">
            <v>US345397ZR75</v>
          </cell>
          <cell r="B683" t="str">
            <v xml:space="preserve">F 5.113% 05/03/2029</v>
          </cell>
        </row>
        <row r="684">
          <cell r="A684" t="str">
            <v>US02209SBD45</v>
          </cell>
          <cell r="B684" t="str">
            <v xml:space="preserve">MO 4.80% 02/14/2029</v>
          </cell>
        </row>
        <row r="685">
          <cell r="A685" t="str">
            <v>US418056AZ06</v>
          </cell>
          <cell r="B685" t="str">
            <v xml:space="preserve">HAS 3.9% 11/19/2029</v>
          </cell>
        </row>
        <row r="686">
          <cell r="A686" t="str">
            <v>US00206RDR03</v>
          </cell>
          <cell r="B686" t="str">
            <v xml:space="preserve">T 5.25% 03/01/2037</v>
          </cell>
        </row>
        <row r="687">
          <cell r="A687" t="str">
            <v>US013817AJ05</v>
          </cell>
          <cell r="B687" t="str">
            <v xml:space="preserve">ARNC 5.9% 02/01/2027</v>
          </cell>
        </row>
        <row r="688">
          <cell r="A688" t="str">
            <v>US404280BL25</v>
          </cell>
          <cell r="B688" t="str">
            <v xml:space="preserve">HSBC 6% PERPETUAL</v>
          </cell>
        </row>
        <row r="689">
          <cell r="A689" t="str">
            <v>CH0400441280</v>
          </cell>
          <cell r="B689" t="str">
            <v xml:space="preserve">UBS 5 PERP</v>
          </cell>
        </row>
        <row r="690">
          <cell r="A690" t="str">
            <v>US064159VJ25</v>
          </cell>
          <cell r="B690" t="str">
            <v xml:space="preserve">BNS 4.9 PERP</v>
          </cell>
        </row>
        <row r="691">
          <cell r="A691" t="str">
            <v xml:space="preserve">INVEX 00220</v>
          </cell>
          <cell r="B691" t="str">
            <v xml:space="preserve">CERT BURS INVEX 00220</v>
          </cell>
        </row>
        <row r="692">
          <cell r="A692" t="str">
            <v>US96122UAA25</v>
          </cell>
          <cell r="B692" t="str">
            <v xml:space="preserve">WSTP 5 PERP CORP</v>
          </cell>
        </row>
        <row r="693">
          <cell r="A693" t="str">
            <v>US05946KAG67</v>
          </cell>
          <cell r="B693" t="str">
            <v xml:space="preserve">BBVA 6.50 PERP</v>
          </cell>
        </row>
        <row r="694">
          <cell r="A694" t="str">
            <v>MX91LA040012</v>
          </cell>
          <cell r="B694" t="str">
            <v xml:space="preserve">LALA 18-2</v>
          </cell>
        </row>
        <row r="695">
          <cell r="A695" t="str">
            <v>US404280BN80</v>
          </cell>
          <cell r="B695" t="str">
            <v xml:space="preserve">HSBC 6.25 PERP</v>
          </cell>
        </row>
        <row r="696">
          <cell r="A696" t="str">
            <v>US58551TAA51</v>
          </cell>
          <cell r="B696" t="str">
            <v xml:space="preserve">BK FLOAT PERP</v>
          </cell>
        </row>
        <row r="697">
          <cell r="A697" t="str">
            <v>US14040HBH75</v>
          </cell>
          <cell r="B697" t="str">
            <v xml:space="preserve">CAPITAL ONE FLOAT PERP</v>
          </cell>
        </row>
        <row r="698">
          <cell r="A698" t="str">
            <v>US172967JZ57</v>
          </cell>
          <cell r="B698" t="str">
            <v xml:space="preserve">C 4.375 PERP</v>
          </cell>
        </row>
        <row r="699">
          <cell r="A699" t="str">
            <v>US097751BJ96</v>
          </cell>
          <cell r="B699" t="str">
            <v xml:space="preserve">BOMBARDIER 6.00 10/15/2022</v>
          </cell>
        </row>
        <row r="700">
          <cell r="A700" t="str">
            <v>USF1R15XL274</v>
          </cell>
          <cell r="B700" t="str">
            <v xml:space="preserve">BNP 4 ½ PERP</v>
          </cell>
        </row>
        <row r="701">
          <cell r="A701" t="str">
            <v>USG84228EP90</v>
          </cell>
          <cell r="B701" t="str">
            <v xml:space="preserve">STANLN 4.75% PERP</v>
          </cell>
        </row>
        <row r="702">
          <cell r="A702" t="str">
            <v>US984121CL51</v>
          </cell>
          <cell r="B702" t="str">
            <v xml:space="preserve">XRXCRP 4.8 03/01/35 </v>
          </cell>
        </row>
        <row r="703">
          <cell r="A703" t="str">
            <v>MX95CF0500G3</v>
          </cell>
          <cell r="B703" t="str">
            <v xml:space="preserve">CFE 21-2 FLOAT 03/27/2025</v>
          </cell>
        </row>
        <row r="704">
          <cell r="A704" t="str">
            <v>MX95CF0500H1</v>
          </cell>
          <cell r="B704" t="str">
            <v xml:space="preserve">CFE 21U 5.45% 05/15/2031</v>
          </cell>
        </row>
        <row r="705">
          <cell r="A705" t="str">
            <v>US29250NAS45</v>
          </cell>
          <cell r="B705" t="str">
            <v xml:space="preserve">ENBCN 5.50 07/15/77</v>
          </cell>
        </row>
        <row r="706">
          <cell r="A706" t="str">
            <v>US48128BAH42</v>
          </cell>
          <cell r="B706" t="str">
            <v xml:space="preserve">JPM 4.00 PERP CORP</v>
          </cell>
        </row>
        <row r="707">
          <cell r="A707" t="str">
            <v>US172967MK42</v>
          </cell>
          <cell r="B707" t="str">
            <v xml:space="preserve">C 4.70% PERP</v>
          </cell>
        </row>
        <row r="708">
          <cell r="A708" t="str">
            <v>US38144GAE17</v>
          </cell>
          <cell r="B708" t="str">
            <v xml:space="preserve">GS 3.8 PERP</v>
          </cell>
        </row>
        <row r="709">
          <cell r="A709" t="str">
            <v xml:space="preserve">US172967MK42 MX</v>
          </cell>
          <cell r="B709" t="str">
            <v xml:space="preserve">C 4.70% PERP</v>
          </cell>
        </row>
        <row r="710">
          <cell r="A710" t="str">
            <v xml:space="preserve">US38144GAE17 MX</v>
          </cell>
          <cell r="B710" t="str">
            <v xml:space="preserve">GS 3.8 PERP</v>
          </cell>
        </row>
        <row r="711">
          <cell r="A711" t="str">
            <v>US98421MAB28</v>
          </cell>
          <cell r="B711" t="str">
            <v xml:space="preserve">XRX 5.50 08/15/2028</v>
          </cell>
        </row>
        <row r="712">
          <cell r="A712" t="str">
            <v>USU98401AB58</v>
          </cell>
          <cell r="B712" t="str">
            <v xml:space="preserve">XEROX 5.50% 2028</v>
          </cell>
        </row>
        <row r="713">
          <cell r="A713" t="str">
            <v xml:space="preserve">US05971KAH23 MX</v>
          </cell>
          <cell r="B713" t="str">
            <v xml:space="preserve">SANTAN 4 ¾ PERP MX</v>
          </cell>
        </row>
        <row r="714">
          <cell r="A714" t="str">
            <v>US05971KAH23</v>
          </cell>
          <cell r="B714" t="str">
            <v xml:space="preserve">SANTAN 4 ¾ PERP </v>
          </cell>
        </row>
        <row r="715">
          <cell r="A715" t="str">
            <v>US06738EBT10</v>
          </cell>
          <cell r="B715" t="str">
            <v xml:space="preserve">BACR 4.375 PERP CORP</v>
          </cell>
        </row>
        <row r="716">
          <cell r="A716" t="str">
            <v>US404280CP20</v>
          </cell>
          <cell r="B716" t="str">
            <v xml:space="preserve">HSBC 4.00 PERP CORP</v>
          </cell>
        </row>
        <row r="717">
          <cell r="A717" t="str">
            <v>US456837AY94</v>
          </cell>
          <cell r="B717" t="str">
            <v xml:space="preserve">INTNED 3.875 PERP CORP</v>
          </cell>
        </row>
        <row r="718">
          <cell r="A718" t="str">
            <v>US02608AAA79</v>
          </cell>
          <cell r="B718" t="str">
            <v xml:space="preserve">AFIN 4.50 09/30/28 CORP 144A</v>
          </cell>
        </row>
        <row r="719">
          <cell r="A719" t="str">
            <v>USU0262AAA52</v>
          </cell>
          <cell r="B719" t="str">
            <v xml:space="preserve">AFIN 4.50 09/30/28 CORP REG S</v>
          </cell>
        </row>
        <row r="720">
          <cell r="A720" t="str">
            <v>US89356BAC28</v>
          </cell>
          <cell r="B720" t="str">
            <v xml:space="preserve">TRPCN 5.30 03/15/77 CORP</v>
          </cell>
        </row>
        <row r="721">
          <cell r="A721" t="str">
            <v>USC10602BJ59</v>
          </cell>
          <cell r="B721" t="str">
            <v xml:space="preserve">BBDBCN 7.125 06/15/26</v>
          </cell>
        </row>
        <row r="722">
          <cell r="A722" t="str">
            <v>US91087BAL45</v>
          </cell>
          <cell r="B722" t="str">
            <v xml:space="preserve">MEX 5.00 04/27/2051 CORP</v>
          </cell>
        </row>
        <row r="723">
          <cell r="A723" t="str">
            <v>US91086QAZ19</v>
          </cell>
          <cell r="B723" t="str">
            <v xml:space="preserve">MEX 5.75 10/12/2110 CORP</v>
          </cell>
        </row>
        <row r="724">
          <cell r="A724" t="str">
            <v>US344419AC03</v>
          </cell>
          <cell r="B724" t="str">
            <v xml:space="preserve">FEMAS 3.50 01/16/2050 CORP</v>
          </cell>
        </row>
        <row r="725">
          <cell r="A725" t="str">
            <v>USP1400MAB48</v>
          </cell>
          <cell r="B725" t="str">
            <v xml:space="preserve">BANORT 7.50 PERP CORP</v>
          </cell>
        </row>
        <row r="726">
          <cell r="A726" t="str">
            <v>US105756BY51</v>
          </cell>
          <cell r="B726" t="str">
            <v xml:space="preserve">BRAZIL 5.625 02/21/47</v>
          </cell>
        </row>
        <row r="727">
          <cell r="A727" t="str">
            <v>CFE21-2U</v>
          </cell>
          <cell r="B727" t="str">
            <v>CFE21-2U</v>
          </cell>
        </row>
        <row r="728">
          <cell r="A728" t="str">
            <v>CFE15U</v>
          </cell>
          <cell r="B728" t="str">
            <v>CFE15U</v>
          </cell>
        </row>
        <row r="729">
          <cell r="A729" t="str">
            <v>MXPUCB18U</v>
          </cell>
          <cell r="B729" t="str">
            <v>MXPUCB18U</v>
          </cell>
        </row>
        <row r="730">
          <cell r="A730" t="str">
            <v>UMS110F2110F</v>
          </cell>
          <cell r="B730" t="str">
            <v>UMS110F2110F</v>
          </cell>
        </row>
        <row r="731">
          <cell r="A731" t="str">
            <v>CETES230824</v>
          </cell>
          <cell r="B731" t="str">
            <v>CETES230824</v>
          </cell>
        </row>
        <row r="732">
          <cell r="A732" t="str">
            <v>CETES230309</v>
          </cell>
          <cell r="B732" t="str">
            <v>CETES230309</v>
          </cell>
        </row>
        <row r="733">
          <cell r="A733" t="str">
            <v>CETES230405</v>
          </cell>
          <cell r="B733" t="str">
            <v>CETES230405</v>
          </cell>
        </row>
        <row r="734">
          <cell r="A734" t="str">
            <v>CETES230405</v>
          </cell>
          <cell r="B734" t="str">
            <v>CETES230405</v>
          </cell>
        </row>
        <row r="735">
          <cell r="A735" t="str">
            <v>CETES230504</v>
          </cell>
          <cell r="B735" t="str">
            <v>CETES230504</v>
          </cell>
        </row>
        <row r="736">
          <cell r="A736" t="str">
            <v>CETES220811</v>
          </cell>
          <cell r="B736" t="str">
            <v>CETES220811</v>
          </cell>
        </row>
        <row r="737">
          <cell r="A737" t="str">
            <v>CETES220728</v>
          </cell>
          <cell r="B737" t="str">
            <v>CETES220728</v>
          </cell>
        </row>
        <row r="738">
          <cell r="A738" t="str">
            <v>CETES230601</v>
          </cell>
          <cell r="B738" t="str">
            <v>CETES230601</v>
          </cell>
        </row>
        <row r="739">
          <cell r="A739" t="str">
            <v>CETES230629</v>
          </cell>
          <cell r="B739" t="str">
            <v>CETES230629</v>
          </cell>
        </row>
        <row r="740">
          <cell r="A740" t="str">
            <v>CETES230727</v>
          </cell>
          <cell r="B740" t="str">
            <v>CETES230727</v>
          </cell>
        </row>
        <row r="741">
          <cell r="A741" t="str">
            <v>US253393AF94</v>
          </cell>
          <cell r="B741" t="str">
            <v xml:space="preserve">DKS 3.14 01/15/32 CORP</v>
          </cell>
        </row>
        <row r="742">
          <cell r="A742" t="str">
            <v>US50077LAB27</v>
          </cell>
          <cell r="B742" t="str">
            <v xml:space="preserve">KHC 4.375 06/01/46 CORP</v>
          </cell>
        </row>
        <row r="743">
          <cell r="A743" t="str">
            <v>MOLYMET21-2</v>
          </cell>
          <cell r="B743" t="str">
            <v>MOLYMET21-2</v>
          </cell>
        </row>
        <row r="744">
          <cell r="A744" t="str">
            <v>PEMEX12U</v>
          </cell>
          <cell r="B744" t="str">
            <v>PEMEX12U</v>
          </cell>
        </row>
        <row r="745">
          <cell r="A745" t="str">
            <v>MEXL45</v>
          </cell>
          <cell r="B745" t="str">
            <v>MEXL45</v>
          </cell>
        </row>
        <row r="746">
          <cell r="A746" t="str">
            <v>M250306</v>
          </cell>
          <cell r="B746" t="str">
            <v>M250306</v>
          </cell>
        </row>
        <row r="747">
          <cell r="A747" t="str">
            <v>JPMC90</v>
          </cell>
          <cell r="B747" t="str">
            <v>JPMC90</v>
          </cell>
        </row>
        <row r="748">
          <cell r="A748" t="str">
            <v>BANOB48</v>
          </cell>
          <cell r="B748" t="str">
            <v>BANOB48</v>
          </cell>
        </row>
        <row r="749">
          <cell r="A749" t="str">
            <v>CFE21U</v>
          </cell>
          <cell r="B749" t="str">
            <v>CFE21U</v>
          </cell>
        </row>
        <row r="750">
          <cell r="A750" t="str">
            <v>US87952VAR78</v>
          </cell>
          <cell r="B750" t="str">
            <v xml:space="preserve">TELSAT 5.625 12/06/2026 CORP 144A</v>
          </cell>
        </row>
        <row r="751">
          <cell r="A751" t="str">
            <v>USC8814PAJ96</v>
          </cell>
          <cell r="B751" t="str">
            <v xml:space="preserve">TELSAT 5.625 12/06/2026 CORP REGS</v>
          </cell>
        </row>
        <row r="752">
          <cell r="A752" t="str">
            <v>US172967MV07</v>
          </cell>
          <cell r="B752" t="str">
            <v xml:space="preserve">C 3.875% PERP CORP</v>
          </cell>
        </row>
        <row r="753">
          <cell r="A753" t="str">
            <v>US81618TAC45</v>
          </cell>
          <cell r="B753" t="str">
            <v xml:space="preserve">OPI 4.50 02/01/25 CORP</v>
          </cell>
        </row>
        <row r="754">
          <cell r="A754" t="str">
            <v>CETES230921</v>
          </cell>
          <cell r="B754" t="str">
            <v>CETES230921</v>
          </cell>
        </row>
        <row r="755">
          <cell r="A755" t="str">
            <v>CETES241003</v>
          </cell>
          <cell r="B755" t="str">
            <v>CETES241003</v>
          </cell>
        </row>
        <row r="756">
          <cell r="A756" t="str">
            <v>OPI15U</v>
          </cell>
          <cell r="B756" t="str">
            <v>OPI15U</v>
          </cell>
        </row>
        <row r="757">
          <cell r="A757" t="str">
            <v>TFOVICB15U</v>
          </cell>
          <cell r="B757" t="str">
            <v>TFOVICB15U</v>
          </cell>
        </row>
        <row r="758">
          <cell r="A758" t="str">
            <v>TFOVICB14-2U</v>
          </cell>
          <cell r="B758" t="str">
            <v>TFOVICB14-2U</v>
          </cell>
        </row>
        <row r="759">
          <cell r="A759" t="str">
            <v>CETES230119</v>
          </cell>
          <cell r="B759" t="str">
            <v>CETES230119</v>
          </cell>
        </row>
        <row r="760">
          <cell r="A760" t="str">
            <v>CETES231019</v>
          </cell>
          <cell r="B760" t="str">
            <v>CETES231019</v>
          </cell>
        </row>
        <row r="761">
          <cell r="A761" t="str">
            <v>LF240725</v>
          </cell>
          <cell r="B761" t="str">
            <v xml:space="preserve">BONDES FLOAT 07/25/2024</v>
          </cell>
        </row>
        <row r="762">
          <cell r="A762" t="str">
            <v>S261203</v>
          </cell>
          <cell r="B762" t="str">
            <v xml:space="preserve">UDIBONO 3.00 12/03/2026</v>
          </cell>
        </row>
        <row r="763">
          <cell r="A763" t="str">
            <v>US02005NBQ25</v>
          </cell>
          <cell r="B763" t="str">
            <v xml:space="preserve">ALLY 4.75 06/09/27 CORP</v>
          </cell>
        </row>
        <row r="764">
          <cell r="A764" t="str">
            <v>US06368B5P91</v>
          </cell>
          <cell r="B764" t="str">
            <v xml:space="preserve">BMO 4.80 PERP CORP</v>
          </cell>
        </row>
        <row r="765">
          <cell r="A765" t="str">
            <v>US06368B5P91.MX</v>
          </cell>
          <cell r="B765" t="str">
            <v xml:space="preserve">BMO 4.80 PERP CORP</v>
          </cell>
        </row>
        <row r="766">
          <cell r="A766" t="str">
            <v>US55608KBF12</v>
          </cell>
          <cell r="B766" t="str">
            <v xml:space="preserve">MQGAU 5.108 08/09/2025</v>
          </cell>
        </row>
        <row r="767">
          <cell r="A767" t="str">
            <v>US594918BJ27</v>
          </cell>
          <cell r="B767" t="str">
            <v xml:space="preserve">MSFT 3.125 11/03/25 CORP</v>
          </cell>
        </row>
        <row r="768">
          <cell r="A768" t="str">
            <v>US78016FZR80</v>
          </cell>
          <cell r="B768" t="str">
            <v xml:space="preserve">RY 5.66 10/25/24 CORP</v>
          </cell>
        </row>
        <row r="769">
          <cell r="A769" t="str">
            <v>TFOVIS14-2U</v>
          </cell>
          <cell r="B769" t="str">
            <v>TFOVIS14-2U</v>
          </cell>
        </row>
        <row r="770">
          <cell r="A770" t="str">
            <v>CAMSCB13U</v>
          </cell>
          <cell r="B770" t="str">
            <v>CAMSCB13U</v>
          </cell>
        </row>
        <row r="771">
          <cell r="A771" t="str">
            <v>CETES231116</v>
          </cell>
          <cell r="B771" t="str">
            <v>CETES231116</v>
          </cell>
        </row>
        <row r="772">
          <cell r="A772" t="str">
            <v>US251525AX97.MX</v>
          </cell>
          <cell r="B772" t="str">
            <v xml:space="preserve">DB 6.00 PERP MX</v>
          </cell>
        </row>
        <row r="773">
          <cell r="A773" t="str">
            <v>CETES241128</v>
          </cell>
          <cell r="B773" t="str">
            <v>CETES241128</v>
          </cell>
        </row>
        <row r="774">
          <cell r="A774" t="str">
            <v>CETES240111</v>
          </cell>
          <cell r="B774" t="str">
            <v>CETES240111</v>
          </cell>
        </row>
        <row r="775">
          <cell r="A775" t="str">
            <v>MX0MGO0000D8</v>
          </cell>
          <cell r="B775" t="str">
            <v xml:space="preserve"> MBONO 7.50 06/03/27 CORP</v>
          </cell>
        </row>
        <row r="776">
          <cell r="A776" t="str">
            <v>USH3698DBZ62.MX</v>
          </cell>
          <cell r="B776" t="str">
            <v xml:space="preserve">CS 7.25 PERP CORP</v>
          </cell>
        </row>
        <row r="777">
          <cell r="A777" t="str">
            <v>CETES240208</v>
          </cell>
          <cell r="B777" t="str">
            <v>CETES240208</v>
          </cell>
        </row>
        <row r="778">
          <cell r="A778" t="str">
            <v>US064159KJ44.MX</v>
          </cell>
          <cell r="B778" t="str">
            <v xml:space="preserve">BNS FLOAT PERP CORP MX</v>
          </cell>
        </row>
        <row r="779">
          <cell r="A779" t="str">
            <v>USP1400MAB48.MX</v>
          </cell>
          <cell r="B779" t="str">
            <v xml:space="preserve">BANORT 7.50 PERP CORP MX</v>
          </cell>
        </row>
        <row r="780">
          <cell r="A780" t="str">
            <v>USP78625ED13.MX</v>
          </cell>
          <cell r="B780" t="str">
            <v xml:space="preserve">PEMEX 10 02/07/33 CORP MX</v>
          </cell>
        </row>
        <row r="781">
          <cell r="A781" t="str">
            <v>USF1R15XK771.MX</v>
          </cell>
          <cell r="B781" t="str">
            <v xml:space="preserve">BNP 5.125 PERP CORP MX</v>
          </cell>
        </row>
        <row r="782">
          <cell r="A782" t="str">
            <v>US06738EBX22.MX</v>
          </cell>
          <cell r="B782" t="str">
            <v xml:space="preserve">BACR 8 PERP CORP MX</v>
          </cell>
        </row>
        <row r="783">
          <cell r="A783" t="str">
            <v>US912796XY07.MX</v>
          </cell>
          <cell r="B783" t="str">
            <v xml:space="preserve">B 0.00 08/10/23 GOVT MX</v>
          </cell>
        </row>
        <row r="784">
          <cell r="A784" t="str">
            <v>US48128BAD38.MX</v>
          </cell>
          <cell r="B784" t="str">
            <v xml:space="preserve">JPM FLOAT PERP CORP MX</v>
          </cell>
        </row>
        <row r="785">
          <cell r="A785" t="str">
            <v>USF2893TAL01.MX</v>
          </cell>
          <cell r="B785" t="str">
            <v xml:space="preserve">EDF 6 01/22/2114 CORP MX</v>
          </cell>
        </row>
        <row r="786">
          <cell r="A786" t="str">
            <v>CETES250123</v>
          </cell>
          <cell r="B786" t="str">
            <v>CETES250123</v>
          </cell>
        </row>
        <row r="787">
          <cell r="A787" t="str">
            <v>CETES230323</v>
          </cell>
          <cell r="B787" t="str">
            <v>CETES230323</v>
          </cell>
        </row>
        <row r="788">
          <cell r="A788" t="str">
            <v>CETES230302</v>
          </cell>
          <cell r="B788" t="str">
            <v>CETES230302</v>
          </cell>
        </row>
        <row r="789">
          <cell r="A789" t="str">
            <v>MX0MGO0001B0</v>
          </cell>
          <cell r="B789" t="str">
            <v xml:space="preserve"> MBONO 5 03/06/25 CORP</v>
          </cell>
        </row>
        <row r="790">
          <cell r="A790" t="str">
            <v>CETES230608</v>
          </cell>
          <cell r="B790" t="str">
            <v>CETES230608</v>
          </cell>
        </row>
        <row r="791">
          <cell r="A791" t="str">
            <v>CETES230907</v>
          </cell>
          <cell r="B791" t="str">
            <v>CETES230907</v>
          </cell>
        </row>
        <row r="792">
          <cell r="A792" t="str">
            <v>CETES240307</v>
          </cell>
          <cell r="B792" t="str">
            <v>CETES240307</v>
          </cell>
        </row>
        <row r="793">
          <cell r="A793" t="str">
            <v>USF2R125CJ25.MX</v>
          </cell>
          <cell r="B793" t="str">
            <v xml:space="preserve">ACAFP 4.75 PERP CORP</v>
          </cell>
        </row>
        <row r="794">
          <cell r="A794" t="str">
            <v>CETES230413</v>
          </cell>
          <cell r="B794" t="str">
            <v>CETES230413</v>
          </cell>
        </row>
        <row r="795">
          <cell r="A795" t="str">
            <v>MX0MGO0001C8</v>
          </cell>
          <cell r="B795" t="str">
            <v xml:space="preserve">MBONO 5.50 03/04/27</v>
          </cell>
        </row>
        <row r="796">
          <cell r="A796" t="str">
            <v>CETES230622</v>
          </cell>
          <cell r="B796" t="str">
            <v>CETES230622</v>
          </cell>
        </row>
        <row r="797">
          <cell r="A797" t="str">
            <v>CETES250320</v>
          </cell>
          <cell r="B797" t="str">
            <v>CETES250320</v>
          </cell>
        </row>
        <row r="798">
          <cell r="A798" t="str">
            <v>CETES230427</v>
          </cell>
          <cell r="B798" t="str">
            <v>CETES230427</v>
          </cell>
        </row>
        <row r="799">
          <cell r="A799" t="str">
            <v>MX93SF0500W1</v>
          </cell>
          <cell r="B799" t="str">
            <v xml:space="preserve">SFPLU 00622</v>
          </cell>
        </row>
        <row r="800">
          <cell r="A800" t="str">
            <v>CETES231005</v>
          </cell>
          <cell r="B800" t="str">
            <v>CETES231005</v>
          </cell>
        </row>
        <row r="801">
          <cell r="A801" t="str">
            <v>CETES240404</v>
          </cell>
          <cell r="B801" t="str">
            <v>CETES240404</v>
          </cell>
        </row>
        <row r="802">
          <cell r="A802" t="str">
            <v>CETES230720</v>
          </cell>
          <cell r="B802" t="str">
            <v>CETES230720</v>
          </cell>
        </row>
        <row r="803">
          <cell r="A803" t="str">
            <v>CETES230525</v>
          </cell>
          <cell r="B803" t="str">
            <v>CETES230525</v>
          </cell>
        </row>
        <row r="804">
          <cell r="A804" t="str">
            <v>TENIXCB14U</v>
          </cell>
          <cell r="B804" t="str">
            <v>TENIXCB14U</v>
          </cell>
        </row>
        <row r="805">
          <cell r="A805" t="str">
            <v>CETES230817</v>
          </cell>
          <cell r="B805" t="str">
            <v>CETES230817</v>
          </cell>
        </row>
        <row r="806">
          <cell r="A806" t="str">
            <v>CETES240530</v>
          </cell>
          <cell r="B806" t="str">
            <v>CETES240530</v>
          </cell>
        </row>
        <row r="807">
          <cell r="A807" t="str">
            <v>CETES230831</v>
          </cell>
          <cell r="B807" t="str">
            <v>CETES230831</v>
          </cell>
        </row>
        <row r="808">
          <cell r="A808" t="str">
            <v>CETES231130</v>
          </cell>
          <cell r="B808" t="str">
            <v>CETES231130</v>
          </cell>
        </row>
        <row r="809">
          <cell r="A809" t="str">
            <v>CETES230706</v>
          </cell>
          <cell r="B809" t="str">
            <v>CETES230706</v>
          </cell>
        </row>
        <row r="810">
          <cell r="A810" t="str">
            <v>CETES230713</v>
          </cell>
          <cell r="B810" t="str">
            <v>CETES230713</v>
          </cell>
        </row>
        <row r="811">
          <cell r="A811" t="str">
            <v>MX0MGO000193</v>
          </cell>
          <cell r="B811" t="str">
            <v xml:space="preserve">MBONO 7.00 09/03/26 CORP</v>
          </cell>
        </row>
        <row r="812">
          <cell r="A812" t="str">
            <v>US38141GZU11</v>
          </cell>
          <cell r="B812" t="str">
            <v xml:space="preserve">GS 4.482 08/23/28 CORP</v>
          </cell>
        </row>
        <row r="813">
          <cell r="A813" t="str">
            <v>CETES240627</v>
          </cell>
          <cell r="B813" t="str">
            <v>CETES240627</v>
          </cell>
        </row>
        <row r="814">
          <cell r="A814" t="str">
            <v>CETES230928</v>
          </cell>
          <cell r="B814" t="str">
            <v>CETES230928</v>
          </cell>
        </row>
        <row r="815">
          <cell r="A815" t="str">
            <v>CETES231228</v>
          </cell>
          <cell r="B815" t="str">
            <v>CETES231228</v>
          </cell>
        </row>
        <row r="816">
          <cell r="A816" t="str">
            <v>CETES230803</v>
          </cell>
          <cell r="B816" t="str">
            <v>CETES230803</v>
          </cell>
        </row>
        <row r="817">
          <cell r="A817" t="str">
            <v>CETES250710</v>
          </cell>
          <cell r="B817" t="str">
            <v>CETES250710</v>
          </cell>
        </row>
        <row r="818">
          <cell r="A818" t="str">
            <v>CETES240725</v>
          </cell>
          <cell r="B818" t="str">
            <v>CETES240725</v>
          </cell>
        </row>
        <row r="819">
          <cell r="A819" t="str">
            <v>CETES240125</v>
          </cell>
          <cell r="B819" t="str">
            <v>CETES240125</v>
          </cell>
        </row>
        <row r="820">
          <cell r="A820" t="str">
            <v>CETES231101</v>
          </cell>
          <cell r="B820" t="str">
            <v>CETES231101</v>
          </cell>
        </row>
        <row r="821">
          <cell r="A821" t="str">
            <v>CETES231012</v>
          </cell>
          <cell r="B821" t="str">
            <v>CETES231012</v>
          </cell>
        </row>
        <row r="822">
          <cell r="A822" t="str">
            <v>TBILY07</v>
          </cell>
          <cell r="B822" t="str">
            <v>TBILY07</v>
          </cell>
        </row>
        <row r="823">
          <cell r="A823" t="str">
            <v>TBILB79</v>
          </cell>
          <cell r="B823" t="str">
            <v>TBILB79</v>
          </cell>
        </row>
        <row r="824">
          <cell r="A824" t="str">
            <v>FORTALE22</v>
          </cell>
          <cell r="B824" t="str">
            <v>FORTALE22</v>
          </cell>
        </row>
        <row r="825">
          <cell r="A825" t="str">
            <v>CETES231109</v>
          </cell>
          <cell r="B825" t="str">
            <v>CETES231109</v>
          </cell>
        </row>
        <row r="826">
          <cell r="A826" t="str">
            <v>S231116</v>
          </cell>
          <cell r="B826" t="str">
            <v>S231116</v>
          </cell>
        </row>
        <row r="827">
          <cell r="A827" t="str">
            <v>CETES230914</v>
          </cell>
          <cell r="B827" t="str">
            <v>CETES230914</v>
          </cell>
        </row>
        <row r="828">
          <cell r="A828" t="str">
            <v>CETES231123</v>
          </cell>
          <cell r="B828" t="str">
            <v>CETES231123</v>
          </cell>
        </row>
        <row r="829">
          <cell r="A829" t="str">
            <v>CETES240822</v>
          </cell>
          <cell r="B829" t="str">
            <v>CETES240822</v>
          </cell>
        </row>
        <row r="830">
          <cell r="A830" t="str">
            <v>CETES240222</v>
          </cell>
          <cell r="B830" t="str">
            <v>CETES240222</v>
          </cell>
        </row>
        <row r="831">
          <cell r="A831" t="str">
            <v>CETES231214</v>
          </cell>
          <cell r="B831" t="str">
            <v>CETES231214</v>
          </cell>
        </row>
        <row r="832">
          <cell r="A832" t="str">
            <v>CETES240919</v>
          </cell>
          <cell r="B832" t="str">
            <v>CETES240919</v>
          </cell>
        </row>
        <row r="833">
          <cell r="A833" t="str">
            <v>CETES231221</v>
          </cell>
          <cell r="B833" t="str">
            <v>CETES231221</v>
          </cell>
        </row>
        <row r="834">
          <cell r="A834" t="str">
            <v>CETES240321</v>
          </cell>
          <cell r="B834" t="str">
            <v>CETES240321</v>
          </cell>
        </row>
        <row r="835">
          <cell r="A835" t="str">
            <v>CETES250904</v>
          </cell>
          <cell r="B835" t="str">
            <v>CETES250904</v>
          </cell>
        </row>
        <row r="836">
          <cell r="A836" t="str">
            <v>US912797GK78.MX</v>
          </cell>
          <cell r="B836" t="str">
            <v>TBILK78</v>
          </cell>
        </row>
        <row r="837">
          <cell r="A837" t="str">
            <v>CETES240104</v>
          </cell>
          <cell r="B837" t="str">
            <v>CETES240104</v>
          </cell>
        </row>
        <row r="838">
          <cell r="A838" t="str">
            <v>CETES240118</v>
          </cell>
          <cell r="B838" t="str">
            <v>CETES240118</v>
          </cell>
        </row>
        <row r="839">
          <cell r="A839" t="str">
            <v>CETES240418</v>
          </cell>
          <cell r="B839" t="str">
            <v>CETES240418</v>
          </cell>
        </row>
        <row r="840">
          <cell r="A840" t="str">
            <v>CETES241017</v>
          </cell>
          <cell r="B840" t="str">
            <v>CETES241017</v>
          </cell>
        </row>
        <row r="841">
          <cell r="A841" t="str">
            <v>CETES240201</v>
          </cell>
          <cell r="B841" t="str">
            <v>CETES240201</v>
          </cell>
        </row>
        <row r="842">
          <cell r="A842" t="str">
            <v>CETES231207</v>
          </cell>
          <cell r="B842" t="str">
            <v>CETES231207</v>
          </cell>
        </row>
        <row r="843">
          <cell r="A843" t="str">
            <v>CETES251030</v>
          </cell>
          <cell r="B843" t="str">
            <v>CETES251030</v>
          </cell>
        </row>
        <row r="844">
          <cell r="A844" t="str">
            <v>CETES240502</v>
          </cell>
          <cell r="B844" t="str">
            <v>CETES240502</v>
          </cell>
        </row>
        <row r="845">
          <cell r="A845" t="str">
            <v>CETES240215</v>
          </cell>
          <cell r="B845" t="str">
            <v>CETES240215</v>
          </cell>
        </row>
        <row r="846">
          <cell r="A846" t="str">
            <v>CETES241114</v>
          </cell>
          <cell r="B846" t="str">
            <v>CETES241114</v>
          </cell>
        </row>
        <row r="847">
          <cell r="A847" t="str">
            <v>USF8586CRW49.MX</v>
          </cell>
          <cell r="B847" t="str">
            <v xml:space="preserve">SOCGEN 7.875 PERP CORP</v>
          </cell>
        </row>
        <row r="848">
          <cell r="A848" t="str">
            <v>US05964HAV78.MX</v>
          </cell>
          <cell r="B848" t="str">
            <v xml:space="preserve">SAN 6.921% 08/08/2033 CORP</v>
          </cell>
        </row>
        <row r="849">
          <cell r="A849" t="str">
            <v>US404280AT69.MX</v>
          </cell>
          <cell r="B849" t="str">
            <v xml:space="preserve">HSBC 6.375 PERP CORP</v>
          </cell>
        </row>
        <row r="850">
          <cell r="A850" t="str">
            <v>US65557DAL55.MX</v>
          </cell>
          <cell r="B850" t="str">
            <v xml:space="preserve">NORDEA BANK 6.125 PERP Corp</v>
          </cell>
        </row>
        <row r="851">
          <cell r="A851" t="str">
            <v>USX10001AC35.MX</v>
          </cell>
          <cell r="B851" t="str">
            <v xml:space="preserve">ALV 6.35% 06/09/2053 CORP</v>
          </cell>
        </row>
        <row r="852">
          <cell r="A852" t="str">
            <v>US06738ECA10.MX</v>
          </cell>
          <cell r="B852" t="str">
            <v xml:space="preserve">BARCLAYS 09/08/2033 CORP</v>
          </cell>
        </row>
        <row r="853">
          <cell r="A853" t="str">
            <v>CETES240229</v>
          </cell>
          <cell r="B853" t="str">
            <v>CETES240229</v>
          </cell>
        </row>
        <row r="854">
          <cell r="A854" t="str">
            <v>XS1825417535.MX</v>
          </cell>
          <cell r="B854" t="str">
            <v xml:space="preserve">DANBNK 7 PERP</v>
          </cell>
        </row>
        <row r="855">
          <cell r="A855" t="str">
            <v>CETES241211</v>
          </cell>
          <cell r="B855" t="str">
            <v>CETES241211</v>
          </cell>
        </row>
        <row r="856">
          <cell r="A856" t="str">
            <v>CETES240314</v>
          </cell>
          <cell r="B856" t="str">
            <v>CETES240314</v>
          </cell>
        </row>
        <row r="857">
          <cell r="A857" t="str">
            <v>CETES240111</v>
          </cell>
          <cell r="B857" t="str">
            <v>CETES240111</v>
          </cell>
        </row>
        <row r="858">
          <cell r="A858" t="str">
            <v>CETES251224</v>
          </cell>
          <cell r="B858" t="str">
            <v>CETES251224</v>
          </cell>
        </row>
      </sheetData>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Asaff, Jose Yamil" id="{AC41E362-1427-ADC3-F115-B7C6BF3D7321}" userId="S::Jose.Y.Asaff@mx.gt.com::3a1e6dd8-763f-499f-83ea-f44a460c8f9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a1" ref="A3:C6">
  <tableColumns count="3">
    <tableColumn id="1" name="Base de datos 2023_x000a_Información base del cálculo del Riesgo" dataDxfId="0"/>
    <tableColumn id="2" name="Columna1" dataDxfId="1"/>
    <tableColumn id="3" name="Columna2" dataDxfId="2"/>
  </tableColumns>
  <tableStyleInfo name="TableStyleMedium21"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Arial"/>
        <a:cs typeface="Arial"/>
      </a:majorFont>
      <a:minorFont>
        <a:latin typeface="Calibri"/>
        <a:ea typeface="Arial"/>
        <a:cs typeface="Arial"/>
      </a:minorFont>
    </a:fontScheme>
    <a:fmtScheme name="Office 2013 - 2022">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07" dT="2024-05-09T00:08:24.53Z" personId="{AC41E362-1427-ADC3-F115-B7C6BF3D7321}" id="{C9364CCE-9AC6-4B50-AA8B-324B33174C9F}" done="0">
    <text xml:space="preserve">Hay AR o 3ros que están registrados en más de un Estado de la República.
</text>
  </threadedComment>
  <threadedComment ref="M164" dT="2024-05-22T17:44:23.09Z" personId="{AC41E362-1427-ADC3-F115-B7C6BF3D7321}" id="{DE645039-7EBF-46A4-8420-20305F10A2E5}" done="0">
    <text xml:space="preserve">Pandora Papers (icij.org) 
</text>
  </threadedComment>
  <threadedComment ref="M168" dT="2024-05-13T23:10:22.73Z" personId="{AC41E362-1427-ADC3-F115-B7C6BF3D7321}" id="{9E55A231-1D77-48D3-A5A4-8FFB6F769569}" done="0">
    <text xml:space="preserve">Índice Mundial de Ciberseguridad 2020 (itu.int) 
</text>
  </threadedComment>
  <threadedComment ref="M169" dT="2024-05-13T23:12:47.55Z" personId="{AC41E362-1427-ADC3-F115-B7C6BF3D7321}" id="{C78EAC28-CAE5-4C8D-A093-E11812A8CEF2}" done="0">
    <text xml:space="preserve">Reporte Ciberseguridad 2020: riesgos, avances y el camino a seguir en América Latina y el Caribe | Publicaciones (iadb.org) 
</text>
  </threadedComment>
  <threadedComment ref="M170" dT="2024-05-13T21:58:12.99Z" personId="{AC41E362-1427-ADC3-F115-B7C6BF3D7321}" id="{622C44B0-D2D0-4CCD-BBC3-2DA0F407D48E}" done="0">
    <text xml:space="preserve">Transparency.org - Índice de Percepción de la Corrupción 2023: El… 
</text>
  </threadedComment>
  <threadedComment ref="M171" dT="2024-05-13T22:21:29.28Z" personId="{AC41E362-1427-ADC3-F115-B7C6BF3D7321}" id="{A9900C5E-FAD8-4E25-9C1B-F6D5A3758F07}" done="0">
    <text xml:space="preserve">WJP Rule of Law Index | Global Insights (worldjusticeproject.org) 
</text>
  </threadedComment>
  <threadedComment ref="L173" dT="2024-05-22T17:52:24.21Z" personId="{AC41E362-1427-ADC3-F115-B7C6BF3D7321}" id="{4E9F50B3-139C-4023-B9F7-04516237FA7A}" done="0">
    <text xml:space="preserve">Casinos, Loterías y otros Juegos de Azar: Salarios, producción, inversión, oportunidades y complejidad | Data México (economia.gob.mx) 
</text>
  </threadedComment>
  <threadedComment ref="A36" dT="2024-05-08T23:44:12.52Z" personId="{AC41E362-1427-ADC3-F115-B7C6BF3D7321}" id="{4E659689-6931-4A6C-BE5B-C074F5B8ECEA}" done="0">
    <text xml:space="preserve">Hay AR o 3ros que están registrados como PF y PM
</text>
  </threadedComment>
  <threadedComment ref="A9" dT="2024-05-08T23:54:05.64Z" personId="{AC41E362-1427-ADC3-F115-B7C6BF3D7321}" id="{DCF5C4B7-9562-43CE-90A9-9CDFB94C47B5}" done="0">
    <text xml:space="preserve">Hay Usuarios Beneficiarios que realizan operaciones con más de un AR o un 3ro.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  Id="rId4"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D35" zoomScale="102" workbookViewId="0">
      <selection activeCell="J93" activeCellId="0" sqref="J93"/>
    </sheetView>
  </sheetViews>
  <sheetFormatPr baseColWidth="10" defaultColWidth="15.7109375" defaultRowHeight="14.25"/>
  <cols>
    <col bestFit="1" customWidth="1" min="1" max="1" style="1" width="36.42578125"/>
    <col customWidth="1" min="2" max="2" style="2" width="29.42578125"/>
    <col customWidth="1" min="3" max="3" style="3" width="20.7109375"/>
    <col bestFit="1" customWidth="1" min="4" max="4" style="3" width="21.85546875"/>
    <col customWidth="1" min="5" max="5" style="1" width="20.7109375"/>
    <col customWidth="1" min="6" max="6" style="1" width="21.7109375"/>
    <col customWidth="1" min="7" max="8" style="1" width="20.7109375"/>
    <col customWidth="1" min="9" max="9" style="4" width="20.7109375"/>
    <col customWidth="1" min="10" max="10" style="5" width="27.140625"/>
    <col min="11" max="11" style="5" width="15.7109375"/>
    <col customWidth="1" min="12" max="12" style="5" width="22.85546875"/>
    <col customWidth="1" min="13" max="13" style="5" width="52"/>
    <col customWidth="1" min="14" max="14" style="5" width="18.7109375"/>
    <col customWidth="1" min="15" max="15" style="6" width="20.28515625"/>
    <col customWidth="1" min="16" max="16" style="7" width="18.7109375"/>
    <col customWidth="1" min="17" max="17" style="8" width="18.7109375"/>
    <col customWidth="1" min="18" max="18" style="9" width="18.7109375"/>
    <col customWidth="1" min="19" max="19" style="5" width="18.7109375"/>
    <col customWidth="1" min="20" max="20" style="1" width="18.7109375"/>
    <col min="21" max="16384" style="1" width="15.7109375"/>
  </cols>
  <sheetData>
    <row r="1" ht="16.5">
      <c r="A1" s="10"/>
      <c r="B1" s="11"/>
      <c r="C1" s="12"/>
      <c r="D1" s="12"/>
      <c r="E1" s="13"/>
      <c r="F1" s="13"/>
      <c r="V1" s="14"/>
    </row>
    <row r="2" ht="53.25" customHeight="1">
      <c r="A2" s="15"/>
      <c r="B2" s="16" t="s">
        <v>0</v>
      </c>
      <c r="C2" s="17"/>
      <c r="D2" s="18"/>
      <c r="F2" s="19" t="s">
        <v>1</v>
      </c>
      <c r="G2" s="20"/>
      <c r="I2" s="21" t="s">
        <v>2</v>
      </c>
      <c r="J2" s="22"/>
      <c r="Q2" s="23"/>
      <c r="R2" s="24"/>
      <c r="V2" s="14"/>
    </row>
    <row r="3" s="25" customFormat="1" ht="45">
      <c r="A3" s="26" t="s">
        <v>3</v>
      </c>
      <c r="B3" s="27" t="s">
        <v>4</v>
      </c>
      <c r="C3" s="28" t="s">
        <v>5</v>
      </c>
      <c r="D3" s="29" t="s">
        <v>6</v>
      </c>
      <c r="F3" s="30">
        <f>AVERAGE(F5:G5)</f>
        <v>0.39405975157304496</v>
      </c>
      <c r="G3" s="31"/>
      <c r="H3" s="32"/>
      <c r="I3" s="33"/>
      <c r="J3" s="34"/>
      <c r="K3" s="5"/>
      <c r="L3" s="5"/>
      <c r="M3" s="5"/>
      <c r="N3" s="5"/>
      <c r="O3" s="6"/>
      <c r="P3" s="7"/>
      <c r="Q3" s="23"/>
      <c r="R3" s="24"/>
      <c r="S3" s="5"/>
      <c r="V3" s="35"/>
    </row>
    <row r="4" ht="51.75">
      <c r="A4" s="36" t="s">
        <v>7</v>
      </c>
      <c r="B4" s="37" t="s">
        <v>8</v>
      </c>
      <c r="C4" s="38" t="s">
        <v>9</v>
      </c>
      <c r="D4" s="39" t="s">
        <v>10</v>
      </c>
      <c r="E4" s="40" t="s">
        <v>11</v>
      </c>
      <c r="F4" s="41" t="s">
        <v>12</v>
      </c>
      <c r="G4" s="42" t="s">
        <v>13</v>
      </c>
      <c r="H4" s="32"/>
      <c r="I4" s="43"/>
      <c r="J4" s="44"/>
      <c r="Q4" s="23"/>
      <c r="R4" s="24"/>
      <c r="V4" s="14"/>
    </row>
    <row r="5" ht="19.5">
      <c r="A5" s="45">
        <v>16185798945.99</v>
      </c>
      <c r="B5" s="46">
        <v>1897</v>
      </c>
      <c r="C5" s="46">
        <v>1912077</v>
      </c>
      <c r="D5" s="46">
        <v>378998</v>
      </c>
      <c r="E5" s="47">
        <v>100</v>
      </c>
      <c r="F5" s="48">
        <f>AVERAGE(G51,G192,G182,G138,G12)</f>
        <v>0.60628361538081488</v>
      </c>
      <c r="G5" s="49">
        <f>AVERAGE(H51,H192,H182,H138,H12)</f>
        <v>0.18183588776527498</v>
      </c>
      <c r="H5" s="50"/>
      <c r="J5" s="51"/>
      <c r="K5" s="51"/>
      <c r="L5" s="51"/>
      <c r="M5" s="51"/>
      <c r="N5" s="51"/>
      <c r="O5" s="52"/>
      <c r="P5" s="53"/>
      <c r="Q5" s="54"/>
      <c r="R5" s="55"/>
      <c r="V5" s="14"/>
    </row>
    <row r="6" ht="15">
      <c r="A6" s="56">
        <v>15771611602.629999</v>
      </c>
      <c r="B6" s="57">
        <v>1778</v>
      </c>
      <c r="C6" s="58">
        <v>1866546</v>
      </c>
      <c r="D6" s="59">
        <v>361899</v>
      </c>
      <c r="E6" s="60" t="s">
        <v>14</v>
      </c>
      <c r="F6" s="13"/>
      <c r="G6" s="4"/>
      <c r="H6" s="4"/>
      <c r="J6" s="51"/>
      <c r="K6" s="51"/>
      <c r="L6" s="51"/>
      <c r="M6" s="51"/>
      <c r="N6" s="51"/>
      <c r="O6" s="52"/>
      <c r="P6" s="53"/>
      <c r="Q6" s="54"/>
      <c r="R6" s="55"/>
      <c r="V6" s="14"/>
    </row>
    <row r="7" ht="42.75" customHeight="1">
      <c r="A7" s="61" t="s">
        <v>15</v>
      </c>
      <c r="B7" s="62"/>
      <c r="C7" s="62"/>
      <c r="D7" s="62"/>
      <c r="E7" s="62"/>
      <c r="F7" s="62"/>
      <c r="G7" s="62"/>
      <c r="H7" s="62"/>
      <c r="I7" s="62"/>
      <c r="J7" s="62"/>
      <c r="K7" s="62"/>
      <c r="L7" s="62"/>
      <c r="M7" s="62"/>
      <c r="N7" s="62"/>
      <c r="O7" s="62"/>
      <c r="P7" s="62"/>
      <c r="Q7" s="62"/>
      <c r="R7" s="62"/>
      <c r="S7" s="62"/>
      <c r="T7" s="63"/>
      <c r="V7" s="14"/>
    </row>
    <row r="8" ht="58.5">
      <c r="A8" s="64" t="s">
        <v>16</v>
      </c>
      <c r="B8" s="65" t="s">
        <v>17</v>
      </c>
      <c r="C8" s="66" t="s">
        <v>10</v>
      </c>
      <c r="D8" s="67" t="s">
        <v>18</v>
      </c>
      <c r="E8" s="64" t="s">
        <v>19</v>
      </c>
      <c r="F8" s="65" t="s">
        <v>20</v>
      </c>
      <c r="G8" s="64" t="s">
        <v>21</v>
      </c>
      <c r="H8" s="65" t="s">
        <v>22</v>
      </c>
      <c r="I8" s="68" t="s">
        <v>23</v>
      </c>
      <c r="J8" s="69" t="s">
        <v>24</v>
      </c>
      <c r="K8" s="70"/>
      <c r="L8" s="70"/>
      <c r="M8" s="70"/>
      <c r="N8" s="70"/>
      <c r="O8" s="70"/>
      <c r="P8" s="70"/>
      <c r="Q8" s="70"/>
      <c r="R8" s="70"/>
      <c r="S8" s="70"/>
      <c r="T8" s="71"/>
      <c r="V8" s="14"/>
    </row>
    <row r="9" ht="57.75" customHeight="1">
      <c r="A9" s="72" t="s">
        <v>25</v>
      </c>
      <c r="B9" s="73">
        <f>(SUM($B$10:$B$11))/$A$5</f>
        <v>1</v>
      </c>
      <c r="C9" s="74">
        <f>AVERAGE(((SUM(C10:C11))/$D$5),((SUM(D10:D11)/$C$5)))</f>
        <v>1.0057374972955002</v>
      </c>
      <c r="D9" s="74">
        <f>AVERAGE(SUM(E10:E11),SUM(F10:F11))</f>
        <v>1.0028687486477501</v>
      </c>
      <c r="E9" s="75"/>
      <c r="F9" s="75"/>
      <c r="G9" s="75"/>
      <c r="H9" s="75"/>
      <c r="I9" s="76"/>
      <c r="J9" s="77" t="s">
        <v>26</v>
      </c>
      <c r="K9" s="78" t="s">
        <v>27</v>
      </c>
      <c r="L9" s="79" t="s">
        <v>28</v>
      </c>
      <c r="M9" s="80" t="s">
        <v>29</v>
      </c>
      <c r="N9" s="79" t="s">
        <v>30</v>
      </c>
      <c r="O9" s="80" t="s">
        <v>31</v>
      </c>
      <c r="P9" s="81" t="s">
        <v>10</v>
      </c>
      <c r="Q9" s="82" t="s">
        <v>32</v>
      </c>
      <c r="R9" s="83" t="s">
        <v>33</v>
      </c>
      <c r="S9" s="84" t="s">
        <v>34</v>
      </c>
      <c r="T9" s="85" t="s">
        <v>35</v>
      </c>
      <c r="V9" s="14"/>
    </row>
    <row r="10" ht="60">
      <c r="A10" s="86" t="s">
        <v>36</v>
      </c>
      <c r="B10" s="87">
        <v>14568577538.93</v>
      </c>
      <c r="C10" s="88">
        <v>343375</v>
      </c>
      <c r="D10" s="88">
        <v>1761662</v>
      </c>
      <c r="E10" s="89">
        <f t="shared" ref="E10:E11" si="0">($B10)/$A$5</f>
        <v>0.90008393082995364</v>
      </c>
      <c r="F10" s="89">
        <f t="shared" ref="F10:F11" si="1">AVERAGE(($C10/$D$5),($D10/$C$5))</f>
        <v>0.91367082726744109</v>
      </c>
      <c r="G10" s="89">
        <f t="shared" ref="G10:G11" si="2">+AVERAGE(E10,F10)</f>
        <v>0.90687737904869736</v>
      </c>
      <c r="H10" s="90">
        <f>(AVERAGE(T12:T15,T17,T19,T24,T27,T28,T30))</f>
        <v>0.10235656377889184</v>
      </c>
      <c r="I10" s="91">
        <f t="shared" ref="I10:I11" si="3">AVERAGE(G10:H10)</f>
        <v>0.50461697141379458</v>
      </c>
      <c r="J10" s="92" t="s">
        <v>37</v>
      </c>
      <c r="K10" s="93" t="s">
        <v>38</v>
      </c>
      <c r="L10" s="93" t="s">
        <v>39</v>
      </c>
      <c r="M10" s="93" t="s">
        <v>40</v>
      </c>
      <c r="N10" s="93"/>
      <c r="O10" s="94"/>
      <c r="P10" s="95"/>
      <c r="Q10" s="95"/>
      <c r="R10" s="96"/>
      <c r="S10" s="96"/>
      <c r="T10" s="97"/>
      <c r="V10" s="14"/>
    </row>
    <row r="11" ht="24">
      <c r="A11" s="98" t="s">
        <v>41</v>
      </c>
      <c r="B11" s="99">
        <v>1617221407.0599999</v>
      </c>
      <c r="C11" s="100">
        <v>39972</v>
      </c>
      <c r="D11" s="100">
        <v>150415</v>
      </c>
      <c r="E11" s="101">
        <f t="shared" si="0"/>
        <v>0.099916069170046334</v>
      </c>
      <c r="F11" s="101">
        <f t="shared" si="1"/>
        <v>0.092066670028059183</v>
      </c>
      <c r="G11" s="101">
        <f t="shared" si="2"/>
        <v>0.095991369599052759</v>
      </c>
      <c r="H11" s="102">
        <f>(AVERAGE(T12:T15,T18,T19,T24,T27,T29,T31))</f>
        <v>0.018862209581602125</v>
      </c>
      <c r="I11" s="103">
        <f t="shared" si="3"/>
        <v>0.057426789590327446</v>
      </c>
      <c r="J11" s="104" t="s">
        <v>42</v>
      </c>
      <c r="K11" s="105" t="s">
        <v>43</v>
      </c>
      <c r="L11" s="105" t="s">
        <v>44</v>
      </c>
      <c r="M11" s="105" t="s">
        <v>45</v>
      </c>
      <c r="N11" s="105"/>
      <c r="O11" s="106"/>
      <c r="P11" s="107"/>
      <c r="Q11" s="107"/>
      <c r="R11" s="108"/>
      <c r="S11" s="108"/>
      <c r="T11" s="109"/>
      <c r="V11" s="14"/>
    </row>
    <row r="12" ht="33.75" customHeight="1">
      <c r="A12" s="4"/>
      <c r="B12" s="110"/>
      <c r="C12" s="111"/>
      <c r="D12" s="111"/>
      <c r="E12" s="112"/>
      <c r="F12" s="113" t="s">
        <v>46</v>
      </c>
      <c r="G12" s="114">
        <f>AVERAGE(G10:G11)</f>
        <v>0.50143437432387505</v>
      </c>
      <c r="H12" s="114">
        <f>AVERAGE(H10:H11)</f>
        <v>0.060609386680246985</v>
      </c>
      <c r="I12" s="115">
        <f>AVERAGE($G$12:$H$12)</f>
        <v>0.28102188050206101</v>
      </c>
      <c r="J12" s="104"/>
      <c r="K12" s="105" t="s">
        <v>47</v>
      </c>
      <c r="L12" s="105" t="s">
        <v>48</v>
      </c>
      <c r="M12" s="105" t="s">
        <v>49</v>
      </c>
      <c r="N12" s="105"/>
      <c r="O12" s="106">
        <v>1623583.28</v>
      </c>
      <c r="P12" s="107">
        <v>1</v>
      </c>
      <c r="Q12" s="107">
        <v>35</v>
      </c>
      <c r="R12" s="108">
        <f t="shared" ref="R12:R75" si="4">(O12)/$A$5</f>
        <v>0.00010030912192951956</v>
      </c>
      <c r="S12" s="108">
        <f t="shared" ref="S12:S33" si="5">AVERAGE((P12/$D$5),(Q12/$C$5))</f>
        <v>1.0471619257653198e-05</v>
      </c>
      <c r="T12" s="109">
        <f t="shared" ref="T12:T75" si="6">+AVERAGE(R12,S12)</f>
        <v>5.539037059358638e-05</v>
      </c>
      <c r="V12" s="14"/>
    </row>
    <row r="13" ht="38.25" customHeight="1">
      <c r="A13" s="116"/>
      <c r="B13" s="2"/>
      <c r="C13" s="3"/>
      <c r="D13" s="3"/>
      <c r="E13" s="117"/>
      <c r="F13" s="117"/>
      <c r="G13" s="117"/>
      <c r="H13" s="117"/>
      <c r="I13" s="117"/>
      <c r="J13" s="104" t="s">
        <v>50</v>
      </c>
      <c r="K13" s="105" t="s">
        <v>51</v>
      </c>
      <c r="L13" s="105" t="s">
        <v>52</v>
      </c>
      <c r="M13" s="105" t="s">
        <v>53</v>
      </c>
      <c r="N13" s="105"/>
      <c r="O13" s="106">
        <v>97530.490000000005</v>
      </c>
      <c r="P13" s="107">
        <v>1</v>
      </c>
      <c r="Q13" s="107">
        <v>1</v>
      </c>
      <c r="R13" s="108">
        <f t="shared" si="4"/>
        <v>6.0256827806552608e-06</v>
      </c>
      <c r="S13" s="108">
        <f t="shared" si="5"/>
        <v>1.5807639207603844e-06</v>
      </c>
      <c r="T13" s="109">
        <f t="shared" si="6"/>
        <v>3.8032233507078227e-06</v>
      </c>
      <c r="V13" s="14"/>
    </row>
    <row r="14" ht="38.25" customHeight="1">
      <c r="A14" s="4"/>
      <c r="B14" s="2"/>
      <c r="C14" s="3"/>
      <c r="D14" s="3"/>
      <c r="E14" s="117"/>
      <c r="F14" s="117"/>
      <c r="G14" s="117"/>
      <c r="H14" s="117"/>
      <c r="I14" s="117"/>
      <c r="J14" s="104"/>
      <c r="K14" s="105" t="s">
        <v>54</v>
      </c>
      <c r="L14" s="105" t="s">
        <v>55</v>
      </c>
      <c r="M14" s="105" t="s">
        <v>56</v>
      </c>
      <c r="N14" s="105"/>
      <c r="O14" s="106">
        <v>14.15</v>
      </c>
      <c r="P14" s="107">
        <v>1</v>
      </c>
      <c r="Q14" s="107">
        <v>1</v>
      </c>
      <c r="R14" s="108">
        <f t="shared" si="4"/>
        <v>8.7422314136094189e-10</v>
      </c>
      <c r="S14" s="108">
        <f t="shared" si="5"/>
        <v>1.5807639207603844e-06</v>
      </c>
      <c r="T14" s="109">
        <f t="shared" si="6"/>
        <v>7.9081907195087268e-07</v>
      </c>
      <c r="V14" s="14"/>
    </row>
    <row r="15" ht="24">
      <c r="J15" s="104"/>
      <c r="K15" s="105" t="s">
        <v>57</v>
      </c>
      <c r="L15" s="105" t="s">
        <v>58</v>
      </c>
      <c r="M15" s="105" t="s">
        <v>59</v>
      </c>
      <c r="N15" s="105"/>
      <c r="O15" s="106">
        <f>AVERAGE(8307.89, 8669.24,8070.49)</f>
        <v>8349.2066666666651</v>
      </c>
      <c r="P15" s="107"/>
      <c r="Q15" s="107">
        <f>AVERAGE(900000, 899999,112357)</f>
        <v>637452</v>
      </c>
      <c r="R15" s="108">
        <f t="shared" si="4"/>
        <v>5.1583531307456186e-07</v>
      </c>
      <c r="S15" s="108">
        <f t="shared" si="5"/>
        <v>0.16669098577097052</v>
      </c>
      <c r="T15" s="109">
        <f t="shared" si="6"/>
        <v>0.083345750803141799</v>
      </c>
      <c r="V15" s="14"/>
    </row>
    <row r="16" ht="24">
      <c r="J16" s="104" t="s">
        <v>60</v>
      </c>
      <c r="K16" s="105" t="s">
        <v>61</v>
      </c>
      <c r="L16" s="105" t="s">
        <v>62</v>
      </c>
      <c r="M16" s="105"/>
      <c r="N16" s="105"/>
      <c r="O16" s="106"/>
      <c r="P16" s="107"/>
      <c r="Q16" s="107"/>
      <c r="R16" s="108"/>
      <c r="S16" s="108"/>
      <c r="T16" s="109"/>
      <c r="V16" s="14"/>
    </row>
    <row r="17" ht="38.25" customHeight="1">
      <c r="J17" s="104" t="s">
        <v>63</v>
      </c>
      <c r="K17" s="105" t="s">
        <v>64</v>
      </c>
      <c r="L17" s="118" t="s">
        <v>65</v>
      </c>
      <c r="M17" s="105" t="s">
        <v>66</v>
      </c>
      <c r="N17" s="105"/>
      <c r="O17" s="106">
        <v>14568577538.93</v>
      </c>
      <c r="P17" s="107">
        <v>343375</v>
      </c>
      <c r="Q17" s="107">
        <v>1761662</v>
      </c>
      <c r="R17" s="108">
        <f t="shared" si="4"/>
        <v>0.90008393082995364</v>
      </c>
      <c r="S17" s="108">
        <f t="shared" si="5"/>
        <v>0.91367082726744109</v>
      </c>
      <c r="T17" s="109">
        <f t="shared" si="6"/>
        <v>0.90687737904869736</v>
      </c>
      <c r="V17" s="14"/>
    </row>
    <row r="18" ht="24">
      <c r="J18" s="104"/>
      <c r="K18" s="105" t="s">
        <v>67</v>
      </c>
      <c r="L18" s="118"/>
      <c r="M18" s="105" t="s">
        <v>68</v>
      </c>
      <c r="N18" s="105"/>
      <c r="O18" s="106">
        <v>1617221407.0599999</v>
      </c>
      <c r="P18" s="107">
        <v>39972</v>
      </c>
      <c r="Q18" s="107">
        <v>150415</v>
      </c>
      <c r="R18" s="108">
        <f t="shared" si="4"/>
        <v>0.099916069170046334</v>
      </c>
      <c r="S18" s="108">
        <f t="shared" si="5"/>
        <v>0.092066670028059183</v>
      </c>
      <c r="T18" s="109">
        <f t="shared" si="6"/>
        <v>0.095991369599052759</v>
      </c>
      <c r="V18" s="14"/>
    </row>
    <row r="19" ht="24">
      <c r="J19" s="119" t="s">
        <v>69</v>
      </c>
      <c r="K19" s="105" t="s">
        <v>70</v>
      </c>
      <c r="L19" s="105" t="s">
        <v>71</v>
      </c>
      <c r="M19" s="105" t="s">
        <v>72</v>
      </c>
      <c r="N19" s="105"/>
      <c r="O19" s="106">
        <v>7222980.25</v>
      </c>
      <c r="P19" s="107">
        <v>191</v>
      </c>
      <c r="Q19" s="107">
        <f>SUM(361,325,31)</f>
        <v>717</v>
      </c>
      <c r="R19" s="108">
        <f t="shared" si="4"/>
        <v>0.00044625416849067431</v>
      </c>
      <c r="S19" s="108">
        <f t="shared" si="5"/>
        <v>0.00043947267084186936</v>
      </c>
      <c r="T19" s="109">
        <f t="shared" si="6"/>
        <v>0.00044286341966627183</v>
      </c>
      <c r="V19" s="14"/>
    </row>
    <row r="20" ht="41.25" customHeight="1">
      <c r="J20" s="119"/>
      <c r="K20" s="105"/>
      <c r="L20" s="118" t="s">
        <v>73</v>
      </c>
      <c r="M20" s="105" t="s">
        <v>74</v>
      </c>
      <c r="N20" s="105"/>
      <c r="O20" s="106"/>
      <c r="P20" s="107"/>
      <c r="Q20" s="107"/>
      <c r="R20" s="108"/>
      <c r="S20" s="108"/>
      <c r="T20" s="109"/>
      <c r="V20" s="14"/>
    </row>
    <row r="21" ht="60">
      <c r="J21" s="119"/>
      <c r="K21" s="105"/>
      <c r="L21" s="118"/>
      <c r="M21" s="105" t="s">
        <v>75</v>
      </c>
      <c r="N21" s="105"/>
      <c r="O21" s="106"/>
      <c r="P21" s="107"/>
      <c r="Q21" s="107"/>
      <c r="R21" s="108"/>
      <c r="S21" s="108"/>
      <c r="T21" s="109"/>
      <c r="V21" s="14"/>
    </row>
    <row r="22" ht="34.5" customHeight="1">
      <c r="J22" s="119"/>
      <c r="K22" s="105"/>
      <c r="L22" s="118"/>
      <c r="M22" s="105" t="s">
        <v>76</v>
      </c>
      <c r="N22" s="105"/>
      <c r="O22" s="106"/>
      <c r="P22" s="107"/>
      <c r="Q22" s="107"/>
      <c r="R22" s="108"/>
      <c r="S22" s="108"/>
      <c r="T22" s="109"/>
      <c r="V22" s="14"/>
    </row>
    <row r="23" ht="72">
      <c r="J23" s="119"/>
      <c r="K23" s="105"/>
      <c r="L23" s="118"/>
      <c r="M23" s="105" t="s">
        <v>77</v>
      </c>
      <c r="N23" s="105"/>
      <c r="O23" s="106"/>
      <c r="P23" s="107"/>
      <c r="Q23" s="107"/>
      <c r="R23" s="108"/>
      <c r="S23" s="108"/>
      <c r="T23" s="109"/>
      <c r="V23" s="14"/>
    </row>
    <row r="24" ht="48">
      <c r="J24" s="119"/>
      <c r="K24" s="105"/>
      <c r="L24" s="118"/>
      <c r="M24" s="105" t="s">
        <v>78</v>
      </c>
      <c r="N24" s="105"/>
      <c r="O24" s="106">
        <v>1623583.28</v>
      </c>
      <c r="P24" s="107">
        <v>2</v>
      </c>
      <c r="Q24" s="107">
        <v>136</v>
      </c>
      <c r="R24" s="108">
        <f t="shared" si="4"/>
        <v>0.00010030912192951956</v>
      </c>
      <c r="S24" s="108">
        <f t="shared" si="5"/>
        <v>3.8201957698686558e-05</v>
      </c>
      <c r="T24" s="109">
        <f t="shared" si="6"/>
        <v>6.9255539814103059e-05</v>
      </c>
      <c r="V24" s="14"/>
    </row>
    <row r="25" ht="48">
      <c r="J25" s="119"/>
      <c r="K25" s="105"/>
      <c r="L25" s="118"/>
      <c r="M25" s="105" t="s">
        <v>79</v>
      </c>
      <c r="N25" s="105"/>
      <c r="O25" s="106"/>
      <c r="P25" s="107"/>
      <c r="Q25" s="107"/>
      <c r="R25" s="108"/>
      <c r="S25" s="108"/>
      <c r="T25" s="109"/>
      <c r="V25" s="14"/>
    </row>
    <row r="26" ht="48">
      <c r="J26" s="119"/>
      <c r="K26" s="105"/>
      <c r="L26" s="105" t="s">
        <v>80</v>
      </c>
      <c r="M26" s="105" t="s">
        <v>81</v>
      </c>
      <c r="N26" s="105"/>
      <c r="O26" s="106"/>
      <c r="P26" s="107"/>
      <c r="Q26" s="107"/>
      <c r="R26" s="108"/>
      <c r="S26" s="108"/>
      <c r="T26" s="109"/>
      <c r="V26" s="14"/>
    </row>
    <row r="27" ht="37.5" customHeight="1">
      <c r="J27" s="120" t="s">
        <v>82</v>
      </c>
      <c r="K27" s="105"/>
      <c r="L27" s="105" t="s">
        <v>83</v>
      </c>
      <c r="M27" s="105" t="s">
        <v>84</v>
      </c>
      <c r="N27" s="105"/>
      <c r="O27" s="106">
        <v>1663049.5600000001</v>
      </c>
      <c r="P27" s="107">
        <v>346</v>
      </c>
      <c r="Q27" s="107">
        <v>540</v>
      </c>
      <c r="R27" s="108">
        <f t="shared" si="4"/>
        <v>0.00010274744951110475</v>
      </c>
      <c r="S27" s="108">
        <f t="shared" si="5"/>
        <v>0.00059767449115242263</v>
      </c>
      <c r="T27" s="109">
        <f t="shared" si="6"/>
        <v>0.00035021097033176372</v>
      </c>
      <c r="V27" s="14"/>
    </row>
    <row r="28" ht="37.5" customHeight="1">
      <c r="J28" s="121"/>
      <c r="K28" s="105"/>
      <c r="L28" s="118" t="s">
        <v>85</v>
      </c>
      <c r="M28" s="105" t="s">
        <v>86</v>
      </c>
      <c r="N28" s="105" t="s">
        <v>87</v>
      </c>
      <c r="O28" s="106">
        <v>689608337.04999995</v>
      </c>
      <c r="P28" s="107">
        <v>5824</v>
      </c>
      <c r="Q28" s="107">
        <v>55640</v>
      </c>
      <c r="R28" s="108">
        <f t="shared" si="4"/>
        <v>0.042605764432830116</v>
      </c>
      <c r="S28" s="108">
        <f t="shared" si="5"/>
        <v>0.022233041117527667</v>
      </c>
      <c r="T28" s="109">
        <f t="shared" si="6"/>
        <v>0.032419402775178893</v>
      </c>
      <c r="V28" s="14"/>
    </row>
    <row r="29" ht="37.5" customHeight="1">
      <c r="J29" s="121"/>
      <c r="K29" s="105"/>
      <c r="L29" s="118"/>
      <c r="M29" s="105"/>
      <c r="N29" s="105" t="s">
        <v>88</v>
      </c>
      <c r="O29" s="106">
        <v>160707579.96000001</v>
      </c>
      <c r="P29" s="107">
        <v>2671</v>
      </c>
      <c r="Q29" s="107">
        <v>12509</v>
      </c>
      <c r="R29" s="108">
        <f t="shared" si="4"/>
        <v>0.0099289247627664997</v>
      </c>
      <c r="S29" s="108">
        <f t="shared" si="5"/>
        <v>0.0067948155736554426</v>
      </c>
      <c r="T29" s="109">
        <f t="shared" si="6"/>
        <v>0.0083618701682109716</v>
      </c>
      <c r="V29" s="14"/>
    </row>
    <row r="30" ht="37.5" customHeight="1">
      <c r="J30" s="121"/>
      <c r="K30" s="105"/>
      <c r="L30" s="118"/>
      <c r="M30" s="105" t="s">
        <v>89</v>
      </c>
      <c r="N30" s="105" t="s">
        <v>87</v>
      </c>
      <c r="O30" s="106">
        <v>14.15</v>
      </c>
      <c r="P30" s="107">
        <v>1</v>
      </c>
      <c r="Q30" s="107">
        <v>1</v>
      </c>
      <c r="R30" s="108">
        <f t="shared" si="4"/>
        <v>8.7422314136094189e-10</v>
      </c>
      <c r="S30" s="108">
        <f t="shared" si="5"/>
        <v>1.5807639207603844e-06</v>
      </c>
      <c r="T30" s="109">
        <f t="shared" si="6"/>
        <v>7.9081907195087268e-07</v>
      </c>
      <c r="V30" s="14"/>
    </row>
    <row r="31" ht="48" customHeight="1">
      <c r="J31" s="121"/>
      <c r="K31" s="105"/>
      <c r="L31" s="118"/>
      <c r="M31" s="105"/>
      <c r="N31" s="105" t="s">
        <v>88</v>
      </c>
      <c r="O31" s="106">
        <v>16.859999999999999</v>
      </c>
      <c r="P31" s="107">
        <v>1</v>
      </c>
      <c r="Q31" s="107">
        <v>1</v>
      </c>
      <c r="R31" s="108">
        <f t="shared" si="4"/>
        <v>1.0416538631339562e-09</v>
      </c>
      <c r="S31" s="108">
        <f t="shared" si="5"/>
        <v>1.5807639207603844e-06</v>
      </c>
      <c r="T31" s="109">
        <f t="shared" si="6"/>
        <v>7.9090278731175913e-07</v>
      </c>
      <c r="V31" s="14"/>
    </row>
    <row r="32">
      <c r="J32" s="122"/>
      <c r="K32" s="105"/>
      <c r="L32" s="105" t="s">
        <v>90</v>
      </c>
      <c r="M32" s="105" t="s">
        <v>91</v>
      </c>
      <c r="N32" s="105"/>
      <c r="O32" s="106">
        <f>1614062238.91</f>
        <v>1614062238.9100001</v>
      </c>
      <c r="P32" s="107">
        <v>2</v>
      </c>
      <c r="Q32" s="107">
        <f>516</f>
        <v>516</v>
      </c>
      <c r="R32" s="108">
        <f t="shared" si="4"/>
        <v>0.099720887692719112</v>
      </c>
      <c r="S32" s="108">
        <f t="shared" si="5"/>
        <v>0.00013757034087572389</v>
      </c>
      <c r="T32" s="109">
        <f t="shared" si="6"/>
        <v>0.049929229016797416</v>
      </c>
      <c r="V32" s="14"/>
    </row>
    <row r="33" ht="36">
      <c r="J33" s="123" t="s">
        <v>92</v>
      </c>
      <c r="K33" s="124"/>
      <c r="L33" s="124" t="s">
        <v>93</v>
      </c>
      <c r="M33" s="124" t="s">
        <v>94</v>
      </c>
      <c r="N33" s="124"/>
      <c r="O33" s="125">
        <v>414187343.36000001</v>
      </c>
      <c r="P33" s="126">
        <v>40447</v>
      </c>
      <c r="Q33" s="126">
        <v>45531</v>
      </c>
      <c r="R33" s="127">
        <f t="shared" si="4"/>
        <v>0.025589551973436202</v>
      </c>
      <c r="S33" s="127">
        <f t="shared" si="5"/>
        <v>0.065266602671605944</v>
      </c>
      <c r="T33" s="128">
        <f t="shared" si="6"/>
        <v>0.045428077322521077</v>
      </c>
      <c r="V33" s="14"/>
    </row>
    <row r="34" ht="48" customHeight="1">
      <c r="V34" s="14"/>
    </row>
    <row r="35" ht="58.5">
      <c r="B35" s="129" t="s">
        <v>17</v>
      </c>
      <c r="C35" s="130" t="s">
        <v>95</v>
      </c>
      <c r="D35" s="131" t="s">
        <v>18</v>
      </c>
      <c r="E35" s="132" t="s">
        <v>19</v>
      </c>
      <c r="F35" s="133" t="s">
        <v>20</v>
      </c>
      <c r="G35" s="132" t="s">
        <v>21</v>
      </c>
      <c r="H35" s="133" t="s">
        <v>22</v>
      </c>
      <c r="I35" s="134" t="s">
        <v>23</v>
      </c>
      <c r="V35" s="14"/>
    </row>
    <row r="36" ht="51" customHeight="1">
      <c r="A36" s="72" t="s">
        <v>96</v>
      </c>
      <c r="B36" s="135"/>
      <c r="C36" s="136"/>
      <c r="D36" s="137">
        <f>(SUM($B$37:$B$50))/$A$5</f>
        <v>1.0000000000000002</v>
      </c>
      <c r="E36" s="138">
        <f>(SUM($D$37:$D$50))/$C$5</f>
        <v>1</v>
      </c>
      <c r="F36" s="138">
        <f>+AVERAGE(SUM($E$37:$E$50),SUM($F$37:$F$50))</f>
        <v>1.0098840274117027</v>
      </c>
      <c r="G36" s="135"/>
      <c r="H36" s="139"/>
      <c r="I36" s="140"/>
      <c r="J36" s="77" t="s">
        <v>26</v>
      </c>
      <c r="K36" s="78" t="s">
        <v>27</v>
      </c>
      <c r="L36" s="79" t="s">
        <v>28</v>
      </c>
      <c r="M36" s="80" t="s">
        <v>29</v>
      </c>
      <c r="N36" s="79" t="s">
        <v>30</v>
      </c>
      <c r="O36" s="80" t="s">
        <v>31</v>
      </c>
      <c r="P36" s="81" t="s">
        <v>97</v>
      </c>
      <c r="Q36" s="82" t="s">
        <v>32</v>
      </c>
      <c r="R36" s="83" t="s">
        <v>33</v>
      </c>
      <c r="S36" s="84" t="s">
        <v>34</v>
      </c>
      <c r="T36" s="85" t="s">
        <v>35</v>
      </c>
      <c r="V36" s="14"/>
    </row>
    <row r="37" ht="48">
      <c r="A37" s="86" t="s">
        <v>98</v>
      </c>
      <c r="B37" s="87">
        <v>12140783415.700001</v>
      </c>
      <c r="C37" s="88">
        <v>776</v>
      </c>
      <c r="D37" s="88">
        <v>1486781</v>
      </c>
      <c r="E37" s="89">
        <f t="shared" ref="E37:E38" si="7">(B37)/$A$5</f>
        <v>0.75008860892269125</v>
      </c>
      <c r="F37" s="89">
        <f t="shared" ref="F37:F38" si="8">AVERAGE(($C37/$B$5),($D37/$C$5))</f>
        <v>0.5933203794544275</v>
      </c>
      <c r="G37" s="89">
        <f t="shared" ref="G37:G38" si="9">+AVERAGE(E37,F37)</f>
        <v>0.67170449418855938</v>
      </c>
      <c r="H37" s="89">
        <f>(AVERAGE(T46,T75,T76,T80,T81,T83,T89,T90,T91))</f>
        <v>0.24601585311592022</v>
      </c>
      <c r="I37" s="141">
        <f t="shared" ref="I37:I51" si="10">AVERAGE(G37:H37)</f>
        <v>0.4588601736522398</v>
      </c>
      <c r="J37" s="142" t="s">
        <v>37</v>
      </c>
      <c r="K37" s="93" t="s">
        <v>99</v>
      </c>
      <c r="L37" s="93" t="s">
        <v>39</v>
      </c>
      <c r="M37" s="93" t="s">
        <v>100</v>
      </c>
      <c r="N37" s="93"/>
      <c r="O37" s="94"/>
      <c r="P37" s="143"/>
      <c r="Q37" s="144"/>
      <c r="R37" s="96"/>
      <c r="S37" s="96"/>
      <c r="T37" s="97"/>
      <c r="V37" s="14"/>
    </row>
    <row r="38" ht="24">
      <c r="A38" s="86" t="s">
        <v>101</v>
      </c>
      <c r="B38" s="87">
        <v>4045015530.29</v>
      </c>
      <c r="C38" s="88">
        <v>1196</v>
      </c>
      <c r="D38" s="88">
        <v>425296</v>
      </c>
      <c r="E38" s="89">
        <f t="shared" si="7"/>
        <v>0.24991139107730884</v>
      </c>
      <c r="F38" s="89">
        <f t="shared" si="8"/>
        <v>0.42644767536897787</v>
      </c>
      <c r="G38" s="89">
        <f t="shared" si="9"/>
        <v>0.33817953322314337</v>
      </c>
      <c r="H38" s="89">
        <f>(AVERAGE(T46,T75,T76,T80,T81,T83,T89,T90,T91))</f>
        <v>0.24601585311592022</v>
      </c>
      <c r="I38" s="141">
        <f t="shared" si="10"/>
        <v>0.29209769316953182</v>
      </c>
      <c r="J38" s="120" t="s">
        <v>102</v>
      </c>
      <c r="K38" s="118" t="s">
        <v>103</v>
      </c>
      <c r="L38" s="118" t="s">
        <v>104</v>
      </c>
      <c r="M38" s="105" t="s">
        <v>105</v>
      </c>
      <c r="N38" s="105"/>
      <c r="O38" s="106"/>
      <c r="P38" s="145"/>
      <c r="Q38" s="146"/>
      <c r="R38" s="108"/>
      <c r="S38" s="108"/>
      <c r="T38" s="109"/>
      <c r="V38" s="14"/>
    </row>
    <row r="39">
      <c r="A39" s="86"/>
      <c r="B39" s="87"/>
      <c r="C39" s="88"/>
      <c r="D39" s="88"/>
      <c r="E39" s="89"/>
      <c r="F39" s="89"/>
      <c r="G39" s="89"/>
      <c r="H39" s="89"/>
      <c r="I39" s="141"/>
      <c r="J39" s="121"/>
      <c r="K39" s="118"/>
      <c r="L39" s="118"/>
      <c r="M39" s="105" t="s">
        <v>106</v>
      </c>
      <c r="N39" s="105"/>
      <c r="O39" s="106"/>
      <c r="P39" s="145"/>
      <c r="Q39" s="146"/>
      <c r="R39" s="108"/>
      <c r="S39" s="108"/>
      <c r="T39" s="109"/>
      <c r="V39" s="14"/>
    </row>
    <row r="40">
      <c r="A40" s="86"/>
      <c r="B40" s="87"/>
      <c r="C40" s="88"/>
      <c r="D40" s="88"/>
      <c r="E40" s="89"/>
      <c r="F40" s="89"/>
      <c r="G40" s="89"/>
      <c r="H40" s="89"/>
      <c r="I40" s="141"/>
      <c r="J40" s="121"/>
      <c r="K40" s="118"/>
      <c r="L40" s="118"/>
      <c r="M40" s="105" t="s">
        <v>107</v>
      </c>
      <c r="N40" s="105"/>
      <c r="O40" s="106"/>
      <c r="P40" s="145"/>
      <c r="Q40" s="146"/>
      <c r="R40" s="108"/>
      <c r="S40" s="108"/>
      <c r="T40" s="109"/>
      <c r="V40" s="14"/>
    </row>
    <row r="41">
      <c r="A41" s="86"/>
      <c r="B41" s="87"/>
      <c r="C41" s="88"/>
      <c r="D41" s="88"/>
      <c r="E41" s="89"/>
      <c r="F41" s="89"/>
      <c r="G41" s="89"/>
      <c r="H41" s="89"/>
      <c r="I41" s="141"/>
      <c r="J41" s="122"/>
      <c r="K41" s="118"/>
      <c r="L41" s="118"/>
      <c r="M41" s="105" t="s">
        <v>108</v>
      </c>
      <c r="N41" s="105"/>
      <c r="O41" s="106"/>
      <c r="P41" s="145"/>
      <c r="Q41" s="146"/>
      <c r="R41" s="108"/>
      <c r="S41" s="108"/>
      <c r="T41" s="109"/>
      <c r="V41" s="14"/>
    </row>
    <row r="42" ht="36">
      <c r="A42" s="86"/>
      <c r="B42" s="87"/>
      <c r="C42" s="88"/>
      <c r="D42" s="88"/>
      <c r="E42" s="89"/>
      <c r="F42" s="89"/>
      <c r="G42" s="89"/>
      <c r="H42" s="89"/>
      <c r="I42" s="141"/>
      <c r="J42" s="120" t="s">
        <v>109</v>
      </c>
      <c r="K42" s="118" t="s">
        <v>110</v>
      </c>
      <c r="L42" s="118" t="s">
        <v>111</v>
      </c>
      <c r="M42" s="105" t="s">
        <v>112</v>
      </c>
      <c r="N42" s="105"/>
      <c r="O42" s="106"/>
      <c r="P42" s="145"/>
      <c r="Q42" s="146"/>
      <c r="R42" s="108"/>
      <c r="S42" s="108"/>
      <c r="T42" s="109"/>
      <c r="V42" s="14"/>
    </row>
    <row r="43">
      <c r="A43" s="86"/>
      <c r="B43" s="87"/>
      <c r="C43" s="88"/>
      <c r="D43" s="88"/>
      <c r="E43" s="89"/>
      <c r="F43" s="89"/>
      <c r="G43" s="89"/>
      <c r="H43" s="89"/>
      <c r="I43" s="141"/>
      <c r="J43" s="121"/>
      <c r="K43" s="118"/>
      <c r="L43" s="118"/>
      <c r="M43" s="105" t="s">
        <v>113</v>
      </c>
      <c r="N43" s="105"/>
      <c r="O43" s="106"/>
      <c r="P43" s="145"/>
      <c r="Q43" s="146"/>
      <c r="R43" s="108"/>
      <c r="S43" s="108"/>
      <c r="T43" s="109"/>
      <c r="V43" s="14"/>
    </row>
    <row r="44" ht="51" customHeight="1">
      <c r="A44" s="86"/>
      <c r="B44" s="87"/>
      <c r="C44" s="88"/>
      <c r="D44" s="88"/>
      <c r="E44" s="89"/>
      <c r="F44" s="89"/>
      <c r="G44" s="89"/>
      <c r="H44" s="89"/>
      <c r="I44" s="141"/>
      <c r="J44" s="121"/>
      <c r="K44" s="118"/>
      <c r="L44" s="118"/>
      <c r="M44" s="105" t="s">
        <v>114</v>
      </c>
      <c r="N44" s="105"/>
      <c r="O44" s="106"/>
      <c r="P44" s="145"/>
      <c r="Q44" s="146"/>
      <c r="R44" s="108"/>
      <c r="S44" s="108"/>
      <c r="T44" s="109"/>
      <c r="V44" s="14"/>
    </row>
    <row r="45">
      <c r="A45" s="86"/>
      <c r="B45" s="87"/>
      <c r="C45" s="88"/>
      <c r="D45" s="88"/>
      <c r="E45" s="89"/>
      <c r="F45" s="89"/>
      <c r="G45" s="89"/>
      <c r="H45" s="89"/>
      <c r="I45" s="141"/>
      <c r="J45" s="122"/>
      <c r="K45" s="118"/>
      <c r="L45" s="118"/>
      <c r="M45" s="105" t="s">
        <v>115</v>
      </c>
      <c r="N45" s="105"/>
      <c r="O45" s="106"/>
      <c r="P45" s="145"/>
      <c r="Q45" s="146"/>
      <c r="R45" s="108"/>
      <c r="S45" s="108"/>
      <c r="T45" s="109"/>
      <c r="V45" s="14"/>
    </row>
    <row r="46" ht="36">
      <c r="A46" s="86"/>
      <c r="B46" s="87"/>
      <c r="C46" s="88"/>
      <c r="D46" s="88"/>
      <c r="E46" s="89"/>
      <c r="F46" s="89"/>
      <c r="G46" s="89"/>
      <c r="H46" s="89"/>
      <c r="I46" s="141"/>
      <c r="J46" s="104" t="s">
        <v>116</v>
      </c>
      <c r="K46" s="105" t="s">
        <v>117</v>
      </c>
      <c r="L46" s="105" t="s">
        <v>118</v>
      </c>
      <c r="M46" s="105" t="s">
        <v>119</v>
      </c>
      <c r="N46" s="105"/>
      <c r="O46" s="106">
        <v>7222980.25</v>
      </c>
      <c r="P46" s="107">
        <v>191</v>
      </c>
      <c r="Q46" s="107">
        <f>SUM(361,325,31)</f>
        <v>717</v>
      </c>
      <c r="R46" s="108">
        <f t="shared" si="4"/>
        <v>0.00044625416849067431</v>
      </c>
      <c r="S46" s="108">
        <f>AVERAGE((P46/$B$5),(Q46/$C$5))</f>
        <v>0.05053013873291605</v>
      </c>
      <c r="T46" s="109">
        <f t="shared" si="6"/>
        <v>0.025488196450703361</v>
      </c>
      <c r="V46" s="14"/>
    </row>
    <row r="47" ht="60">
      <c r="A47" s="86"/>
      <c r="B47" s="87"/>
      <c r="C47" s="88"/>
      <c r="D47" s="88"/>
      <c r="E47" s="89"/>
      <c r="F47" s="89"/>
      <c r="G47" s="89"/>
      <c r="H47" s="89"/>
      <c r="I47" s="141"/>
      <c r="J47" s="120" t="s">
        <v>120</v>
      </c>
      <c r="K47" s="105" t="s">
        <v>121</v>
      </c>
      <c r="L47" s="105" t="s">
        <v>122</v>
      </c>
      <c r="M47" s="105" t="s">
        <v>123</v>
      </c>
      <c r="N47" s="105"/>
      <c r="O47" s="106"/>
      <c r="P47" s="145"/>
      <c r="Q47" s="146"/>
      <c r="R47" s="108"/>
      <c r="S47" s="108"/>
      <c r="T47" s="109"/>
      <c r="V47" s="14"/>
    </row>
    <row r="48">
      <c r="A48" s="86"/>
      <c r="B48" s="87"/>
      <c r="C48" s="88"/>
      <c r="D48" s="88"/>
      <c r="E48" s="89"/>
      <c r="F48" s="89"/>
      <c r="G48" s="89"/>
      <c r="H48" s="89"/>
      <c r="I48" s="141"/>
      <c r="J48" s="121"/>
      <c r="K48" s="105"/>
      <c r="L48" s="105"/>
      <c r="M48" s="105" t="s">
        <v>124</v>
      </c>
      <c r="N48" s="105">
        <v>95</v>
      </c>
      <c r="O48" s="106"/>
      <c r="P48" s="145"/>
      <c r="Q48" s="146"/>
      <c r="R48" s="108"/>
      <c r="S48" s="108"/>
      <c r="T48" s="109"/>
      <c r="V48" s="14"/>
    </row>
    <row r="49" s="2" customFormat="1">
      <c r="A49" s="86"/>
      <c r="B49" s="87"/>
      <c r="C49" s="88"/>
      <c r="D49" s="88"/>
      <c r="E49" s="89"/>
      <c r="F49" s="89"/>
      <c r="G49" s="89"/>
      <c r="H49" s="89"/>
      <c r="I49" s="141"/>
      <c r="J49" s="121"/>
      <c r="K49" s="105"/>
      <c r="L49" s="105"/>
      <c r="M49" s="105" t="s">
        <v>125</v>
      </c>
      <c r="N49" s="105">
        <v>95</v>
      </c>
      <c r="O49" s="106"/>
      <c r="P49" s="145"/>
      <c r="Q49" s="146"/>
      <c r="R49" s="108"/>
      <c r="S49" s="108"/>
      <c r="T49" s="109"/>
    </row>
    <row r="50" ht="16.5">
      <c r="A50" s="147"/>
      <c r="B50" s="99"/>
      <c r="C50" s="100"/>
      <c r="D50" s="100"/>
      <c r="E50" s="101"/>
      <c r="F50" s="101"/>
      <c r="G50" s="101"/>
      <c r="H50" s="101"/>
      <c r="I50" s="148"/>
      <c r="J50" s="121"/>
      <c r="K50" s="105"/>
      <c r="L50" s="105"/>
      <c r="M50" s="105" t="s">
        <v>126</v>
      </c>
      <c r="N50" s="105">
        <v>95</v>
      </c>
      <c r="O50" s="106">
        <v>87965948.099999994</v>
      </c>
      <c r="P50" s="145">
        <v>3</v>
      </c>
      <c r="Q50" s="146">
        <v>9520</v>
      </c>
      <c r="R50" s="108">
        <f t="shared" si="4"/>
        <v>0.0054347609527049872</v>
      </c>
      <c r="S50" s="108">
        <f>AVERAGE((P50/$B$5),(Q50/$C$5))</f>
        <v>0.0032801616872662029</v>
      </c>
      <c r="T50" s="109">
        <f t="shared" si="6"/>
        <v>0.0043574613199855953</v>
      </c>
      <c r="V50" s="14"/>
    </row>
    <row r="51" ht="15">
      <c r="A51" s="4"/>
      <c r="B51" s="110"/>
      <c r="C51" s="111"/>
      <c r="D51" s="111"/>
      <c r="E51" s="149"/>
      <c r="F51" s="113" t="s">
        <v>46</v>
      </c>
      <c r="G51" s="114">
        <f>AVERAGE(G37:G49)</f>
        <v>0.50494201370585134</v>
      </c>
      <c r="H51" s="114">
        <f>AVERAGE(H37:H49)</f>
        <v>0.24601585311592022</v>
      </c>
      <c r="I51" s="115">
        <f t="shared" si="10"/>
        <v>0.37547893341088578</v>
      </c>
      <c r="J51" s="121"/>
      <c r="K51" s="105"/>
      <c r="L51" s="105"/>
      <c r="M51" s="105" t="s">
        <v>127</v>
      </c>
      <c r="N51" s="105">
        <v>95</v>
      </c>
      <c r="O51" s="106"/>
      <c r="P51" s="145"/>
      <c r="Q51" s="146"/>
      <c r="R51" s="108"/>
      <c r="S51" s="108"/>
      <c r="T51" s="109"/>
      <c r="V51" s="14"/>
    </row>
    <row r="52" ht="38.25" customHeight="1">
      <c r="J52" s="121"/>
      <c r="K52" s="105"/>
      <c r="L52" s="105"/>
      <c r="M52" s="105" t="s">
        <v>128</v>
      </c>
      <c r="N52" s="105">
        <v>68</v>
      </c>
      <c r="O52" s="106"/>
      <c r="P52" s="145"/>
      <c r="Q52" s="146"/>
      <c r="R52" s="108"/>
      <c r="S52" s="108"/>
      <c r="T52" s="109"/>
      <c r="V52" s="14"/>
    </row>
    <row r="53">
      <c r="A53" s="4"/>
      <c r="E53" s="150"/>
      <c r="F53" s="150"/>
      <c r="G53" s="117"/>
      <c r="H53" s="117"/>
      <c r="I53" s="117"/>
      <c r="J53" s="121"/>
      <c r="K53" s="105"/>
      <c r="L53" s="105"/>
      <c r="M53" s="105" t="s">
        <v>129</v>
      </c>
      <c r="N53" s="105">
        <v>68</v>
      </c>
      <c r="O53" s="106"/>
      <c r="P53" s="145"/>
      <c r="Q53" s="146"/>
      <c r="R53" s="108"/>
      <c r="S53" s="108"/>
      <c r="T53" s="109"/>
      <c r="V53" s="14"/>
    </row>
    <row r="54" ht="25.5" customHeight="1">
      <c r="A54" s="151"/>
      <c r="E54" s="150"/>
      <c r="F54" s="150"/>
      <c r="G54" s="117"/>
      <c r="H54" s="117"/>
      <c r="I54" s="117"/>
      <c r="J54" s="121"/>
      <c r="K54" s="105"/>
      <c r="L54" s="105"/>
      <c r="M54" s="105" t="s">
        <v>130</v>
      </c>
      <c r="N54" s="105">
        <v>68</v>
      </c>
      <c r="O54" s="106"/>
      <c r="P54" s="145"/>
      <c r="Q54" s="146"/>
      <c r="R54" s="108"/>
      <c r="S54" s="108"/>
      <c r="T54" s="109"/>
      <c r="V54" s="14"/>
    </row>
    <row r="55">
      <c r="A55" s="14"/>
      <c r="J55" s="121"/>
      <c r="K55" s="105"/>
      <c r="L55" s="105"/>
      <c r="M55" s="105" t="s">
        <v>131</v>
      </c>
      <c r="N55" s="105">
        <v>68</v>
      </c>
      <c r="O55" s="106"/>
      <c r="P55" s="145"/>
      <c r="Q55" s="146"/>
      <c r="R55" s="108"/>
      <c r="S55" s="108"/>
      <c r="T55" s="109"/>
      <c r="V55" s="14"/>
    </row>
    <row r="56">
      <c r="I56" s="1"/>
      <c r="J56" s="121"/>
      <c r="K56" s="105"/>
      <c r="L56" s="105"/>
      <c r="M56" s="105" t="s">
        <v>132</v>
      </c>
      <c r="N56" s="105">
        <v>68</v>
      </c>
      <c r="O56" s="106"/>
      <c r="P56" s="145"/>
      <c r="Q56" s="146"/>
      <c r="R56" s="108"/>
      <c r="S56" s="108"/>
      <c r="T56" s="109"/>
      <c r="V56" s="14"/>
    </row>
    <row r="57">
      <c r="A57" s="4"/>
      <c r="E57" s="150"/>
      <c r="F57" s="150"/>
      <c r="G57" s="152"/>
      <c r="H57" s="152"/>
      <c r="I57" s="152"/>
      <c r="J57" s="121"/>
      <c r="K57" s="105"/>
      <c r="L57" s="105"/>
      <c r="M57" s="105" t="s">
        <v>133</v>
      </c>
      <c r="N57" s="105">
        <v>68</v>
      </c>
      <c r="O57" s="106"/>
      <c r="P57" s="145"/>
      <c r="Q57" s="146"/>
      <c r="R57" s="108"/>
      <c r="S57" s="108"/>
      <c r="T57" s="109"/>
      <c r="V57" s="14"/>
    </row>
    <row r="58">
      <c r="A58" s="4"/>
      <c r="E58" s="150"/>
      <c r="F58" s="150"/>
      <c r="G58" s="152"/>
      <c r="H58" s="152"/>
      <c r="I58" s="152"/>
      <c r="J58" s="121"/>
      <c r="K58" s="105"/>
      <c r="L58" s="105"/>
      <c r="M58" s="105" t="s">
        <v>134</v>
      </c>
      <c r="N58" s="105">
        <v>68</v>
      </c>
      <c r="O58" s="106"/>
      <c r="P58" s="145"/>
      <c r="Q58" s="146"/>
      <c r="R58" s="108"/>
      <c r="S58" s="108"/>
      <c r="T58" s="109"/>
      <c r="V58" s="14"/>
    </row>
    <row r="59" ht="24">
      <c r="A59" s="4"/>
      <c r="E59" s="150"/>
      <c r="F59" s="150"/>
      <c r="G59" s="152"/>
      <c r="H59" s="152"/>
      <c r="I59" s="152"/>
      <c r="J59" s="121"/>
      <c r="K59" s="105"/>
      <c r="L59" s="105"/>
      <c r="M59" s="105" t="s">
        <v>135</v>
      </c>
      <c r="N59" s="105">
        <v>68</v>
      </c>
      <c r="O59" s="106"/>
      <c r="P59" s="145"/>
      <c r="Q59" s="146"/>
      <c r="R59" s="108"/>
      <c r="S59" s="108"/>
      <c r="T59" s="109"/>
      <c r="V59" s="14"/>
    </row>
    <row r="60">
      <c r="A60" s="4"/>
      <c r="E60" s="150"/>
      <c r="F60" s="150"/>
      <c r="G60" s="152"/>
      <c r="H60" s="152"/>
      <c r="I60" s="152"/>
      <c r="J60" s="121"/>
      <c r="K60" s="105"/>
      <c r="L60" s="105"/>
      <c r="M60" s="105" t="s">
        <v>136</v>
      </c>
      <c r="N60" s="105">
        <v>68</v>
      </c>
      <c r="O60" s="106"/>
      <c r="P60" s="145"/>
      <c r="Q60" s="146"/>
      <c r="R60" s="108"/>
      <c r="S60" s="108"/>
      <c r="T60" s="109"/>
      <c r="V60" s="14"/>
    </row>
    <row r="61">
      <c r="A61" s="4"/>
      <c r="E61" s="150"/>
      <c r="F61" s="150"/>
      <c r="G61" s="152"/>
      <c r="H61" s="152"/>
      <c r="I61" s="152"/>
      <c r="J61" s="121"/>
      <c r="K61" s="105"/>
      <c r="L61" s="105"/>
      <c r="M61" s="105" t="s">
        <v>137</v>
      </c>
      <c r="N61" s="105">
        <v>68</v>
      </c>
      <c r="O61" s="106"/>
      <c r="P61" s="145"/>
      <c r="Q61" s="146"/>
      <c r="R61" s="108"/>
      <c r="S61" s="108"/>
      <c r="T61" s="109"/>
      <c r="V61" s="14"/>
    </row>
    <row r="62" ht="24">
      <c r="A62" s="4"/>
      <c r="E62" s="150"/>
      <c r="F62" s="150"/>
      <c r="G62" s="152"/>
      <c r="H62" s="152"/>
      <c r="I62" s="152"/>
      <c r="J62" s="121"/>
      <c r="K62" s="105"/>
      <c r="L62" s="105"/>
      <c r="M62" s="105" t="s">
        <v>138</v>
      </c>
      <c r="N62" s="105">
        <v>68</v>
      </c>
      <c r="O62" s="106"/>
      <c r="P62" s="145"/>
      <c r="Q62" s="146"/>
      <c r="R62" s="108"/>
      <c r="S62" s="108"/>
      <c r="T62" s="109"/>
      <c r="V62" s="14"/>
    </row>
    <row r="63">
      <c r="A63" s="4"/>
      <c r="E63" s="150"/>
      <c r="F63" s="150"/>
      <c r="G63" s="152"/>
      <c r="H63" s="152"/>
      <c r="I63" s="152"/>
      <c r="J63" s="121"/>
      <c r="K63" s="105"/>
      <c r="L63" s="105"/>
      <c r="M63" s="105" t="s">
        <v>139</v>
      </c>
      <c r="N63" s="105">
        <v>68</v>
      </c>
      <c r="O63" s="106"/>
      <c r="P63" s="145"/>
      <c r="Q63" s="146"/>
      <c r="R63" s="108"/>
      <c r="S63" s="108"/>
      <c r="T63" s="109"/>
      <c r="V63" s="14"/>
    </row>
    <row r="64" ht="51" customHeight="1">
      <c r="A64" s="4"/>
      <c r="E64" s="150"/>
      <c r="F64" s="150"/>
      <c r="G64" s="152"/>
      <c r="H64" s="152"/>
      <c r="I64" s="152"/>
      <c r="J64" s="121"/>
      <c r="K64" s="105" t="s">
        <v>103</v>
      </c>
      <c r="L64" s="105" t="s">
        <v>140</v>
      </c>
      <c r="M64" s="105" t="s">
        <v>141</v>
      </c>
      <c r="N64" s="105"/>
      <c r="O64" s="106"/>
      <c r="P64" s="145"/>
      <c r="Q64" s="146"/>
      <c r="R64" s="108"/>
      <c r="S64" s="108"/>
      <c r="T64" s="109"/>
      <c r="V64" s="14"/>
    </row>
    <row r="65" ht="36" customHeight="1">
      <c r="A65" s="4"/>
      <c r="E65" s="150"/>
      <c r="F65" s="150"/>
      <c r="G65" s="152"/>
      <c r="H65" s="152"/>
      <c r="I65" s="152"/>
      <c r="J65" s="121"/>
      <c r="K65" s="105"/>
      <c r="L65" s="105" t="s">
        <v>140</v>
      </c>
      <c r="M65" s="105" t="s">
        <v>142</v>
      </c>
      <c r="N65" s="105"/>
      <c r="O65" s="106"/>
      <c r="P65" s="145"/>
      <c r="Q65" s="146"/>
      <c r="R65" s="108"/>
      <c r="S65" s="108"/>
      <c r="T65" s="109"/>
      <c r="V65" s="14"/>
    </row>
    <row r="66" ht="51">
      <c r="A66" s="4"/>
      <c r="E66" s="150"/>
      <c r="F66" s="150"/>
      <c r="G66" s="152"/>
      <c r="H66" s="152"/>
      <c r="I66" s="152"/>
      <c r="J66" s="121"/>
      <c r="K66" s="105" t="s">
        <v>110</v>
      </c>
      <c r="L66" s="105" t="s">
        <v>143</v>
      </c>
      <c r="M66" s="105" t="s">
        <v>144</v>
      </c>
      <c r="N66" s="105"/>
      <c r="O66" s="106"/>
      <c r="P66" s="145"/>
      <c r="Q66" s="146"/>
      <c r="R66" s="108"/>
      <c r="S66" s="108"/>
      <c r="T66" s="109"/>
      <c r="V66" s="14"/>
    </row>
    <row r="67" ht="89.25" customHeight="1">
      <c r="A67" s="4"/>
      <c r="E67" s="150"/>
      <c r="F67" s="150"/>
      <c r="G67" s="152"/>
      <c r="H67" s="152"/>
      <c r="I67" s="152"/>
      <c r="J67" s="121"/>
      <c r="K67" s="105" t="s">
        <v>117</v>
      </c>
      <c r="L67" s="105" t="s">
        <v>145</v>
      </c>
      <c r="M67" s="105" t="s">
        <v>146</v>
      </c>
      <c r="N67" s="105"/>
      <c r="O67" s="106"/>
      <c r="P67" s="145"/>
      <c r="Q67" s="146"/>
      <c r="R67" s="108"/>
      <c r="S67" s="108"/>
      <c r="T67" s="109"/>
      <c r="V67" s="14"/>
    </row>
    <row r="68" ht="63.75">
      <c r="A68" s="4"/>
      <c r="E68" s="150"/>
      <c r="F68" s="150"/>
      <c r="G68" s="152"/>
      <c r="H68" s="152"/>
      <c r="I68" s="152"/>
      <c r="J68" s="122"/>
      <c r="K68" s="105" t="s">
        <v>147</v>
      </c>
      <c r="L68" s="105" t="s">
        <v>148</v>
      </c>
      <c r="M68" s="105" t="s">
        <v>149</v>
      </c>
      <c r="N68" s="105"/>
      <c r="O68" s="106"/>
      <c r="P68" s="107"/>
      <c r="Q68" s="146"/>
      <c r="R68" s="108"/>
      <c r="S68" s="108"/>
      <c r="T68" s="109"/>
      <c r="V68" s="14"/>
    </row>
    <row r="69" ht="76.5" customHeight="1">
      <c r="A69" s="4"/>
      <c r="E69" s="150"/>
      <c r="F69" s="150"/>
      <c r="G69" s="152"/>
      <c r="H69" s="152"/>
      <c r="I69" s="152"/>
      <c r="J69" s="120" t="s">
        <v>150</v>
      </c>
      <c r="K69" s="105" t="s">
        <v>151</v>
      </c>
      <c r="L69" s="105" t="s">
        <v>152</v>
      </c>
      <c r="M69" s="105" t="s">
        <v>153</v>
      </c>
      <c r="N69" s="105"/>
      <c r="O69" s="106"/>
      <c r="P69" s="145"/>
      <c r="Q69" s="146"/>
      <c r="R69" s="108"/>
      <c r="S69" s="108"/>
      <c r="T69" s="109"/>
      <c r="V69" s="14"/>
    </row>
    <row r="70">
      <c r="A70" s="4"/>
      <c r="E70" s="150"/>
      <c r="F70" s="150"/>
      <c r="G70" s="152"/>
      <c r="H70" s="152"/>
      <c r="I70" s="152"/>
      <c r="J70" s="121"/>
      <c r="K70" s="105"/>
      <c r="L70" s="105"/>
      <c r="M70" s="105" t="s">
        <v>154</v>
      </c>
      <c r="N70" s="105"/>
      <c r="O70" s="106"/>
      <c r="P70" s="145"/>
      <c r="Q70" s="146"/>
      <c r="R70" s="108"/>
      <c r="S70" s="108"/>
      <c r="T70" s="109"/>
      <c r="V70" s="14"/>
    </row>
    <row r="71">
      <c r="E71" s="150"/>
      <c r="F71" s="150"/>
      <c r="G71" s="152"/>
      <c r="H71" s="152"/>
      <c r="I71" s="152"/>
      <c r="J71" s="122"/>
      <c r="K71" s="105"/>
      <c r="L71" s="105"/>
      <c r="M71" s="105" t="s">
        <v>155</v>
      </c>
      <c r="N71" s="105"/>
      <c r="O71" s="106"/>
      <c r="P71" s="145"/>
      <c r="Q71" s="146"/>
      <c r="R71" s="108"/>
      <c r="S71" s="108"/>
      <c r="T71" s="109"/>
      <c r="V71" s="14"/>
    </row>
    <row r="72" ht="38.25">
      <c r="E72" s="150"/>
      <c r="F72" s="150"/>
      <c r="G72" s="152"/>
      <c r="H72" s="152"/>
      <c r="I72" s="152"/>
      <c r="J72" s="120" t="s">
        <v>156</v>
      </c>
      <c r="K72" s="105" t="s">
        <v>157</v>
      </c>
      <c r="L72" s="105" t="s">
        <v>158</v>
      </c>
      <c r="M72" s="105" t="s">
        <v>159</v>
      </c>
      <c r="N72" s="105"/>
      <c r="O72" s="106"/>
      <c r="P72" s="145"/>
      <c r="Q72" s="146"/>
      <c r="R72" s="108"/>
      <c r="S72" s="108"/>
      <c r="T72" s="109"/>
      <c r="V72" s="14"/>
    </row>
    <row r="73" ht="42" customHeight="1">
      <c r="E73" s="150"/>
      <c r="F73" s="150"/>
      <c r="G73" s="152"/>
      <c r="H73" s="152"/>
      <c r="I73" s="152"/>
      <c r="J73" s="121"/>
      <c r="K73" s="105"/>
      <c r="L73" s="105"/>
      <c r="M73" s="105" t="s">
        <v>160</v>
      </c>
      <c r="N73" s="105"/>
      <c r="O73" s="106"/>
      <c r="P73" s="145"/>
      <c r="Q73" s="146"/>
      <c r="R73" s="108"/>
      <c r="S73" s="108"/>
      <c r="T73" s="109"/>
      <c r="V73" s="14"/>
    </row>
    <row r="74">
      <c r="E74" s="150"/>
      <c r="F74" s="150"/>
      <c r="G74" s="152"/>
      <c r="H74" s="152"/>
      <c r="I74" s="152"/>
      <c r="J74" s="122"/>
      <c r="K74" s="105"/>
      <c r="L74" s="105"/>
      <c r="M74" s="105" t="s">
        <v>161</v>
      </c>
      <c r="N74" s="105"/>
      <c r="O74" s="106"/>
      <c r="P74" s="145"/>
      <c r="Q74" s="146"/>
      <c r="R74" s="108"/>
      <c r="S74" s="108"/>
      <c r="T74" s="109"/>
      <c r="V74" s="14"/>
    </row>
    <row r="75" ht="38.25">
      <c r="A75" s="4"/>
      <c r="E75" s="150"/>
      <c r="F75" s="150"/>
      <c r="G75" s="152"/>
      <c r="H75" s="152"/>
      <c r="I75" s="152"/>
      <c r="J75" s="120" t="s">
        <v>162</v>
      </c>
      <c r="K75" s="105" t="s">
        <v>163</v>
      </c>
      <c r="L75" s="105" t="s">
        <v>164</v>
      </c>
      <c r="M75" s="105" t="s">
        <v>165</v>
      </c>
      <c r="N75" s="105"/>
      <c r="O75" s="153"/>
      <c r="P75" s="107"/>
      <c r="Q75" s="146"/>
      <c r="R75" s="108"/>
      <c r="S75" s="108"/>
      <c r="T75" s="109"/>
      <c r="V75" s="14"/>
    </row>
    <row r="76" ht="65.25" customHeight="1">
      <c r="I76" s="1"/>
      <c r="J76" s="121"/>
      <c r="K76" s="105" t="s">
        <v>166</v>
      </c>
      <c r="L76" s="105" t="s">
        <v>167</v>
      </c>
      <c r="M76" s="105" t="s">
        <v>168</v>
      </c>
      <c r="N76" s="105"/>
      <c r="O76" s="153">
        <v>16185798945.99</v>
      </c>
      <c r="P76" s="145">
        <v>1897</v>
      </c>
      <c r="Q76" s="154">
        <v>1912077</v>
      </c>
      <c r="R76" s="108">
        <f t="shared" ref="R76:R92" si="11">(O76)/$A$5</f>
        <v>1</v>
      </c>
      <c r="S76" s="108">
        <f>AVERAGE((P76/$B$5),(Q76/$C$5))</f>
        <v>1</v>
      </c>
      <c r="T76" s="109">
        <f t="shared" ref="T76:T92" si="12">+AVERAGE(R76,S76)</f>
        <v>1</v>
      </c>
      <c r="V76" s="14"/>
    </row>
    <row r="77" ht="76.5">
      <c r="I77" s="1"/>
      <c r="J77" s="121"/>
      <c r="K77" s="105" t="s">
        <v>169</v>
      </c>
      <c r="L77" s="105" t="s">
        <v>170</v>
      </c>
      <c r="M77" s="105" t="s">
        <v>171</v>
      </c>
      <c r="N77" s="105"/>
      <c r="O77" s="106"/>
      <c r="P77" s="145"/>
      <c r="Q77" s="146"/>
      <c r="R77" s="108"/>
      <c r="S77" s="108"/>
      <c r="T77" s="109"/>
      <c r="V77" s="14"/>
    </row>
    <row r="78" ht="63.75">
      <c r="I78" s="1"/>
      <c r="J78" s="121"/>
      <c r="K78" s="105" t="s">
        <v>172</v>
      </c>
      <c r="L78" s="105" t="s">
        <v>173</v>
      </c>
      <c r="M78" s="105" t="s">
        <v>174</v>
      </c>
      <c r="N78" s="105"/>
      <c r="O78" s="106"/>
      <c r="P78" s="145"/>
      <c r="Q78" s="146"/>
      <c r="R78" s="108"/>
      <c r="S78" s="108"/>
      <c r="T78" s="109"/>
      <c r="V78" s="14"/>
    </row>
    <row r="79" ht="63.75">
      <c r="I79" s="1"/>
      <c r="J79" s="121"/>
      <c r="K79" s="105" t="s">
        <v>175</v>
      </c>
      <c r="L79" s="105" t="s">
        <v>176</v>
      </c>
      <c r="M79" s="105" t="s">
        <v>177</v>
      </c>
      <c r="N79" s="105"/>
      <c r="O79" s="106"/>
      <c r="P79" s="145"/>
      <c r="Q79" s="146"/>
      <c r="R79" s="108"/>
      <c r="S79" s="108"/>
      <c r="T79" s="109"/>
      <c r="V79" s="14"/>
    </row>
    <row r="80" ht="89.25">
      <c r="I80" s="1"/>
      <c r="J80" s="121"/>
      <c r="K80" s="105" t="s">
        <v>178</v>
      </c>
      <c r="L80" s="105" t="s">
        <v>179</v>
      </c>
      <c r="M80" s="105" t="s">
        <v>180</v>
      </c>
      <c r="N80" s="105"/>
      <c r="O80" s="106">
        <f>SUM(O$108:O$110)</f>
        <v>1748050512.1700001</v>
      </c>
      <c r="P80" s="145">
        <f t="shared" ref="P80:Q80" si="13">SUM(P$108:P$110)</f>
        <v>629</v>
      </c>
      <c r="Q80" s="146">
        <f t="shared" si="13"/>
        <v>195801</v>
      </c>
      <c r="R80" s="108">
        <f t="shared" si="11"/>
        <v>0.10799902544218098</v>
      </c>
      <c r="S80" s="108">
        <f t="shared" ref="S80:S92" si="14">AVERAGE((P80/$B$5),(Q80/$C$5))</f>
        <v>0.21698921485873279</v>
      </c>
      <c r="T80" s="109">
        <f t="shared" si="12"/>
        <v>0.16249412015045689</v>
      </c>
      <c r="V80" s="14"/>
    </row>
    <row r="81" ht="38.25">
      <c r="I81" s="1"/>
      <c r="J81" s="121"/>
      <c r="K81" s="105"/>
      <c r="L81" s="105" t="s">
        <v>181</v>
      </c>
      <c r="M81" s="105" t="s">
        <v>182</v>
      </c>
      <c r="N81" s="105"/>
      <c r="O81" s="153">
        <v>2446225032.6399999</v>
      </c>
      <c r="P81" s="145">
        <v>574</v>
      </c>
      <c r="Q81" s="146">
        <v>212591</v>
      </c>
      <c r="R81" s="108">
        <f t="shared" si="11"/>
        <v>0.15113403056609989</v>
      </c>
      <c r="S81" s="108">
        <f t="shared" si="14"/>
        <v>0.20688315488352269</v>
      </c>
      <c r="T81" s="109">
        <f t="shared" si="12"/>
        <v>0.17900859272481129</v>
      </c>
      <c r="V81" s="14"/>
    </row>
    <row r="82">
      <c r="I82" s="1"/>
      <c r="J82" s="122"/>
      <c r="K82" s="105"/>
      <c r="L82" s="105"/>
      <c r="M82" s="155" t="s">
        <v>183</v>
      </c>
      <c r="N82" s="105"/>
      <c r="O82" s="153">
        <v>1614062238.9100001</v>
      </c>
      <c r="P82" s="145">
        <v>516</v>
      </c>
      <c r="Q82" s="156">
        <v>149855</v>
      </c>
      <c r="R82" s="108">
        <f t="shared" si="11"/>
        <v>0.099720887692719112</v>
      </c>
      <c r="S82" s="108">
        <f t="shared" si="14"/>
        <v>0.17519066208238407</v>
      </c>
      <c r="T82" s="109">
        <f t="shared" si="12"/>
        <v>0.13745577488755159</v>
      </c>
      <c r="V82" s="14"/>
    </row>
    <row r="83" ht="66" customHeight="1">
      <c r="I83" s="1"/>
      <c r="J83" s="104" t="s">
        <v>184</v>
      </c>
      <c r="K83" s="105"/>
      <c r="L83" s="105" t="s">
        <v>185</v>
      </c>
      <c r="M83" s="105" t="s">
        <v>186</v>
      </c>
      <c r="N83" s="105"/>
      <c r="O83" s="106">
        <v>5632314229.3000002</v>
      </c>
      <c r="P83" s="145">
        <v>32</v>
      </c>
      <c r="Q83" s="146">
        <v>570424</v>
      </c>
      <c r="R83" s="108">
        <f t="shared" si="11"/>
        <v>0.34797875891664865</v>
      </c>
      <c r="S83" s="108">
        <f t="shared" si="14"/>
        <v>0.15759781901950826</v>
      </c>
      <c r="T83" s="109">
        <f t="shared" si="12"/>
        <v>0.25278828896807848</v>
      </c>
      <c r="V83" s="14"/>
    </row>
    <row r="84" ht="51">
      <c r="J84" s="120" t="s">
        <v>187</v>
      </c>
      <c r="K84" s="105"/>
      <c r="L84" s="105" t="s">
        <v>188</v>
      </c>
      <c r="M84" s="105" t="s">
        <v>189</v>
      </c>
      <c r="N84" s="105"/>
      <c r="O84" s="157"/>
      <c r="P84" s="145"/>
      <c r="Q84" s="156"/>
      <c r="R84" s="158"/>
      <c r="S84" s="105"/>
      <c r="T84" s="159"/>
      <c r="V84" s="14"/>
    </row>
    <row r="85">
      <c r="J85" s="122"/>
      <c r="K85" s="105"/>
      <c r="L85" s="105"/>
      <c r="M85" s="105" t="s">
        <v>190</v>
      </c>
      <c r="N85" s="105"/>
      <c r="O85" s="157"/>
      <c r="P85" s="145"/>
      <c r="Q85" s="156"/>
      <c r="R85" s="158"/>
      <c r="S85" s="105"/>
      <c r="T85" s="159"/>
      <c r="V85" s="14"/>
    </row>
    <row r="86" ht="25.5">
      <c r="J86" s="120" t="s">
        <v>191</v>
      </c>
      <c r="K86" s="105"/>
      <c r="L86" s="105"/>
      <c r="M86" s="105" t="s">
        <v>192</v>
      </c>
      <c r="N86" s="105"/>
      <c r="O86" s="157"/>
      <c r="P86" s="145"/>
      <c r="Q86" s="156"/>
      <c r="R86" s="158"/>
      <c r="S86" s="105"/>
      <c r="T86" s="159"/>
      <c r="V86" s="14"/>
    </row>
    <row r="87" ht="38.25">
      <c r="J87" s="121"/>
      <c r="K87" s="105"/>
      <c r="L87" s="105"/>
      <c r="M87" s="105" t="s">
        <v>193</v>
      </c>
      <c r="N87" s="105"/>
      <c r="O87" s="157"/>
      <c r="P87" s="145"/>
      <c r="Q87" s="156"/>
      <c r="R87" s="158"/>
      <c r="S87" s="105"/>
      <c r="T87" s="159"/>
      <c r="V87" s="14"/>
    </row>
    <row r="88" ht="25.5">
      <c r="J88" s="122"/>
      <c r="K88" s="105"/>
      <c r="L88" s="105"/>
      <c r="M88" s="105" t="s">
        <v>194</v>
      </c>
      <c r="N88" s="105"/>
      <c r="O88" s="157"/>
      <c r="P88" s="145"/>
      <c r="Q88" s="156"/>
      <c r="R88" s="158"/>
      <c r="S88" s="105"/>
      <c r="T88" s="159"/>
      <c r="V88" s="14"/>
    </row>
    <row r="89" ht="76.5">
      <c r="J89" s="104" t="s">
        <v>195</v>
      </c>
      <c r="K89" s="105"/>
      <c r="L89" s="105" t="s">
        <v>196</v>
      </c>
      <c r="M89" s="105" t="s">
        <v>197</v>
      </c>
      <c r="N89" s="105"/>
      <c r="O89" s="106">
        <v>101810957.15000001</v>
      </c>
      <c r="P89" s="145">
        <v>17</v>
      </c>
      <c r="Q89" s="146">
        <v>13663</v>
      </c>
      <c r="R89" s="108">
        <f t="shared" si="11"/>
        <v>0.0062901409741793115</v>
      </c>
      <c r="S89" s="108">
        <f t="shared" si="14"/>
        <v>0.0080535754600101154</v>
      </c>
      <c r="T89" s="109">
        <f t="shared" si="12"/>
        <v>0.0071718582170947134</v>
      </c>
      <c r="V89" s="14"/>
    </row>
    <row r="90" ht="102">
      <c r="J90" s="104" t="s">
        <v>198</v>
      </c>
      <c r="K90" s="105"/>
      <c r="L90" s="105" t="s">
        <v>199</v>
      </c>
      <c r="M90" s="105" t="s">
        <v>200</v>
      </c>
      <c r="N90" s="105"/>
      <c r="O90" s="106">
        <v>28910291.359999999</v>
      </c>
      <c r="P90" s="145">
        <v>18</v>
      </c>
      <c r="Q90" s="146">
        <v>5528</v>
      </c>
      <c r="R90" s="108">
        <f t="shared" si="11"/>
        <v>0.001786151641724332</v>
      </c>
      <c r="S90" s="108">
        <f t="shared" si="14"/>
        <v>0.0061898816370979815</v>
      </c>
      <c r="T90" s="109">
        <f t="shared" si="12"/>
        <v>0.0039880166394111564</v>
      </c>
      <c r="V90" s="14"/>
    </row>
    <row r="91" ht="162.75" customHeight="1">
      <c r="J91" s="160" t="s">
        <v>201</v>
      </c>
      <c r="K91" s="124"/>
      <c r="L91" s="124" t="s">
        <v>202</v>
      </c>
      <c r="M91" s="124" t="s">
        <v>203</v>
      </c>
      <c r="N91" s="124"/>
      <c r="O91" s="125">
        <v>5804382322.6300001</v>
      </c>
      <c r="P91" s="161">
        <v>468</v>
      </c>
      <c r="Q91" s="162">
        <v>735818</v>
      </c>
      <c r="R91" s="127">
        <f t="shared" si="11"/>
        <v>0.35860956521198012</v>
      </c>
      <c r="S91" s="127">
        <f t="shared" si="14"/>
        <v>0.3157659383416318</v>
      </c>
      <c r="T91" s="128">
        <f t="shared" si="12"/>
        <v>0.33718775177680593</v>
      </c>
      <c r="V91" s="14"/>
    </row>
    <row r="92" ht="26.25">
      <c r="J92" s="5" t="s">
        <v>204</v>
      </c>
      <c r="O92" s="6">
        <v>4080351590.02</v>
      </c>
      <c r="P92" s="7">
        <v>76</v>
      </c>
      <c r="Q92" s="8">
        <v>467828</v>
      </c>
      <c r="R92" s="127">
        <f t="shared" si="11"/>
        <v>0.25209454310137092</v>
      </c>
      <c r="S92" s="127">
        <f t="shared" si="14"/>
        <v>0.14236666037442011</v>
      </c>
      <c r="T92" s="128">
        <f t="shared" si="12"/>
        <v>0.19723060173789553</v>
      </c>
      <c r="V92" s="14"/>
    </row>
    <row r="93">
      <c r="V93" s="14"/>
    </row>
    <row r="94">
      <c r="V94" s="14"/>
    </row>
    <row r="95" ht="57.75" customHeight="1">
      <c r="V95" s="14"/>
    </row>
    <row r="96">
      <c r="V96" s="14"/>
    </row>
    <row r="97" ht="63.75" customHeight="1">
      <c r="V97" s="14"/>
    </row>
    <row r="98">
      <c r="V98" s="14"/>
    </row>
    <row r="99">
      <c r="V99" s="14"/>
    </row>
    <row r="100">
      <c r="V100" s="14"/>
    </row>
    <row r="101" ht="90" customHeight="1">
      <c r="V101" s="14"/>
    </row>
    <row r="102">
      <c r="V102" s="14"/>
    </row>
    <row r="103">
      <c r="V103" s="14"/>
    </row>
    <row r="104" ht="16.5">
      <c r="V104" s="14"/>
    </row>
    <row r="105" ht="61.5">
      <c r="B105" s="129" t="s">
        <v>17</v>
      </c>
      <c r="C105" s="130" t="s">
        <v>95</v>
      </c>
      <c r="D105" s="131" t="s">
        <v>18</v>
      </c>
      <c r="E105" s="132" t="s">
        <v>19</v>
      </c>
      <c r="F105" s="133" t="s">
        <v>20</v>
      </c>
      <c r="G105" s="132" t="s">
        <v>21</v>
      </c>
      <c r="H105" s="133" t="s">
        <v>22</v>
      </c>
      <c r="I105" s="134" t="s">
        <v>23</v>
      </c>
      <c r="S105" s="9"/>
      <c r="T105" s="5"/>
      <c r="V105" s="14"/>
    </row>
    <row r="106" ht="39">
      <c r="A106" s="72" t="s">
        <v>205</v>
      </c>
      <c r="B106" s="163">
        <f>(SUM($B$108:$B$137))/$A$5</f>
        <v>1</v>
      </c>
      <c r="C106" s="164">
        <f>AVERAGE(((SUM($D$108:$D$137))/$C$5),((SUM($C$108:$C$137))/$B$5))</f>
        <v>0.99973642593568801</v>
      </c>
      <c r="D106" s="164">
        <f>+AVERAGE(SUM($E$108:$E$137),SUM($F$108:$F$137))</f>
        <v>0.75125066623042869</v>
      </c>
      <c r="G106" s="135"/>
      <c r="H106" s="165"/>
      <c r="I106" s="166"/>
      <c r="J106" s="167" t="s">
        <v>26</v>
      </c>
      <c r="K106" s="78" t="s">
        <v>27</v>
      </c>
      <c r="L106" s="79" t="s">
        <v>28</v>
      </c>
      <c r="M106" s="80" t="s">
        <v>29</v>
      </c>
      <c r="N106" s="79" t="s">
        <v>30</v>
      </c>
      <c r="O106" s="80" t="s">
        <v>31</v>
      </c>
      <c r="P106" s="81" t="s">
        <v>97</v>
      </c>
      <c r="Q106" s="82" t="s">
        <v>32</v>
      </c>
      <c r="R106" s="83" t="s">
        <v>33</v>
      </c>
      <c r="S106" s="84" t="s">
        <v>34</v>
      </c>
      <c r="T106" s="85" t="s">
        <v>35</v>
      </c>
      <c r="V106" s="14"/>
    </row>
    <row r="107" ht="102">
      <c r="A107" s="168" t="s">
        <v>206</v>
      </c>
      <c r="B107" s="169"/>
      <c r="C107" s="170"/>
      <c r="D107" s="170"/>
      <c r="E107" s="171"/>
      <c r="F107" s="171"/>
      <c r="G107" s="171"/>
      <c r="H107" s="171"/>
      <c r="I107" s="172"/>
      <c r="J107" s="173" t="s">
        <v>207</v>
      </c>
      <c r="K107" s="174" t="s">
        <v>208</v>
      </c>
      <c r="L107" s="93" t="s">
        <v>209</v>
      </c>
      <c r="M107" s="93" t="s">
        <v>210</v>
      </c>
      <c r="N107" s="93"/>
      <c r="O107" s="175"/>
      <c r="P107" s="176"/>
      <c r="Q107" s="177"/>
      <c r="R107" s="178"/>
      <c r="S107" s="178"/>
      <c r="T107" s="179"/>
      <c r="V107" s="14"/>
    </row>
    <row r="108">
      <c r="A108" s="180" t="s">
        <v>211</v>
      </c>
      <c r="B108" s="87">
        <v>47036975.450000003</v>
      </c>
      <c r="C108" s="88">
        <v>23</v>
      </c>
      <c r="D108" s="88">
        <v>4389</v>
      </c>
      <c r="E108" s="181">
        <f t="shared" ref="E108:E137" si="15">($B108)/$A$5</f>
        <v>0.0029060644832520498</v>
      </c>
      <c r="F108" s="181">
        <f t="shared" ref="F108:F137" si="16">AVERAGE(($C108/$D$5),($D108/$C$5))</f>
        <v>0.001178047993732607</v>
      </c>
      <c r="G108" s="181">
        <f t="shared" ref="G108:G137" si="17">+AVERAGE(E108,F108)</f>
        <v>0.0020420562384923283</v>
      </c>
      <c r="H108" s="181">
        <f>AVERAGE(N$112,T$112,N$168:N$173,T$114,T$118,T$119,T$120,T$121,T$125,T$126,T$127,T$128,T$129,T$130,T$131,T$132,T$135,T$136,T$137,T$138,T$139,T$140,T$142,T$143,T$147,T$149,T$150,T$151,T$152,T$154,T$155,T$156,T$157,T$159,T$160,T$162,T$163)</f>
        <v>0.087974846074001467</v>
      </c>
      <c r="I108" s="182">
        <f t="shared" ref="I108:I137" si="18">AVERAGE(G108:H108)</f>
        <v>0.045008451156246895</v>
      </c>
      <c r="J108" s="183"/>
      <c r="K108" s="184"/>
      <c r="L108" s="105"/>
      <c r="M108" s="105" t="s">
        <v>212</v>
      </c>
      <c r="N108" s="185">
        <v>0.90000000000000002</v>
      </c>
      <c r="O108" s="106">
        <v>494227373.88999999</v>
      </c>
      <c r="P108" s="107">
        <v>117</v>
      </c>
      <c r="Q108" s="107">
        <v>76815</v>
      </c>
      <c r="R108" s="108">
        <f t="shared" ref="R108:R171" si="19">(O108)/$A$5</f>
        <v>0.030534629494606683</v>
      </c>
      <c r="S108" s="108">
        <f t="shared" ref="S108:S171" si="20">AVERAGE((P108/$D$5),(Q108/$C$5))</f>
        <v>0.020241150044287937</v>
      </c>
      <c r="T108" s="109">
        <f t="shared" ref="T108:T171" si="21">+AVERAGE(R108,S108)</f>
        <v>0.025387889769447308</v>
      </c>
      <c r="V108" s="14"/>
    </row>
    <row r="109">
      <c r="A109" s="180" t="s">
        <v>213</v>
      </c>
      <c r="B109" s="87">
        <v>9824684</v>
      </c>
      <c r="C109" s="88">
        <v>29</v>
      </c>
      <c r="D109" s="88">
        <v>1559</v>
      </c>
      <c r="E109" s="181">
        <f t="shared" si="15"/>
        <v>0.00060699407133276209</v>
      </c>
      <c r="F109" s="181">
        <f t="shared" si="16"/>
        <v>0.00044593064386222778</v>
      </c>
      <c r="G109" s="181">
        <f t="shared" si="17"/>
        <v>0.00052646235759749491</v>
      </c>
      <c r="H109" s="181">
        <f>AVERAGE(N$110,T$110,N$168:N$173,T$114,T$116,T$118,T$119,T$120,T$121,T$122,T$125,T$126,T$127,T$128,T$129,T$130,T$131,T$132,T$136,T$137,T$138,T$139,T$140,T$143,T$146,T$147,T$149,T$151,T$152,T$154,T$155,T$156,T$157,T$159,T$160,T$162)</f>
        <v>0.095430721808179436</v>
      </c>
      <c r="I109" s="182">
        <f t="shared" si="18"/>
        <v>0.047978592082888467</v>
      </c>
      <c r="J109" s="183"/>
      <c r="K109" s="184"/>
      <c r="L109" s="105"/>
      <c r="M109" s="105" t="s">
        <v>214</v>
      </c>
      <c r="N109" s="185">
        <v>0.80000000000000004</v>
      </c>
      <c r="O109" s="106">
        <v>24410.349999999999</v>
      </c>
      <c r="P109" s="107">
        <v>1</v>
      </c>
      <c r="Q109" s="107">
        <v>4</v>
      </c>
      <c r="R109" s="108">
        <f t="shared" si="19"/>
        <v>1.5081337709342804e-06</v>
      </c>
      <c r="S109" s="108">
        <f t="shared" si="20"/>
        <v>2.365251156368574e-06</v>
      </c>
      <c r="T109" s="109">
        <f t="shared" si="21"/>
        <v>1.9366924636514271e-06</v>
      </c>
      <c r="V109" s="14"/>
    </row>
    <row r="110">
      <c r="A110" s="180" t="s">
        <v>215</v>
      </c>
      <c r="B110" s="87">
        <v>9438602.4000000004</v>
      </c>
      <c r="C110" s="88">
        <v>4</v>
      </c>
      <c r="D110" s="88">
        <v>1881</v>
      </c>
      <c r="E110" s="181">
        <f t="shared" si="15"/>
        <v>0.0005831409639706661</v>
      </c>
      <c r="F110" s="181">
        <f t="shared" si="16"/>
        <v>0.00049715056942856541</v>
      </c>
      <c r="G110" s="181">
        <f t="shared" si="17"/>
        <v>0.00054014576669961581</v>
      </c>
      <c r="H110" s="181">
        <f>AVERAGE($N$112,$T$112,$N$168:$N$173,$T$125)</f>
        <v>0.33686504871931161</v>
      </c>
      <c r="I110" s="182">
        <f t="shared" si="18"/>
        <v>0.16870259724300563</v>
      </c>
      <c r="J110" s="183"/>
      <c r="K110" s="184"/>
      <c r="L110" s="105"/>
      <c r="M110" s="105" t="s">
        <v>216</v>
      </c>
      <c r="N110" s="185">
        <v>0.59999999999999998</v>
      </c>
      <c r="O110" s="106">
        <v>1253798727.9300001</v>
      </c>
      <c r="P110" s="107">
        <v>511</v>
      </c>
      <c r="Q110" s="107">
        <v>118982</v>
      </c>
      <c r="R110" s="108">
        <f t="shared" si="19"/>
        <v>0.077462887813803366</v>
      </c>
      <c r="S110" s="108">
        <f t="shared" si="20"/>
        <v>0.03178743279342116</v>
      </c>
      <c r="T110" s="109">
        <f t="shared" si="21"/>
        <v>0.054625160303612266</v>
      </c>
      <c r="V110" s="14"/>
    </row>
    <row r="111">
      <c r="A111" s="180" t="s">
        <v>217</v>
      </c>
      <c r="B111" s="87">
        <v>121800320.59</v>
      </c>
      <c r="C111" s="88">
        <v>23</v>
      </c>
      <c r="D111" s="88">
        <v>19700</v>
      </c>
      <c r="E111" s="181">
        <f t="shared" si="15"/>
        <v>0.0075251349035307148</v>
      </c>
      <c r="F111" s="181">
        <f t="shared" si="16"/>
        <v>0.0051818093485316036</v>
      </c>
      <c r="G111" s="181">
        <f t="shared" si="17"/>
        <v>0.0063534721260311592</v>
      </c>
      <c r="H111" s="181">
        <f>AVERAGE(N$113,T$113,N$168:N$173,T$114,T$116,T$118,T$119,T$120,T$121,T$125,T$126,T$127,T$129,T$130,T$131,T$132,T$133,T$137,T$138,T$139,T$140,T$142,T$143,T$149,T$150,T$151,T$153,T$155,T$156,T$159,T$160,T$162,T$163)</f>
        <v>0.091716391284084264</v>
      </c>
      <c r="I111" s="182">
        <f t="shared" si="18"/>
        <v>0.04903493170505771</v>
      </c>
      <c r="J111" s="183"/>
      <c r="K111" s="184"/>
      <c r="L111" s="105"/>
      <c r="M111" s="105" t="s">
        <v>218</v>
      </c>
      <c r="N111" s="185">
        <v>0.40000000000000002</v>
      </c>
      <c r="O111" s="106">
        <v>4353282957.1599998</v>
      </c>
      <c r="P111" s="107">
        <v>1137</v>
      </c>
      <c r="Q111" s="107">
        <v>555589</v>
      </c>
      <c r="R111" s="108">
        <f t="shared" si="19"/>
        <v>0.26895694007360182</v>
      </c>
      <c r="S111" s="108">
        <f t="shared" si="20"/>
        <v>0.14678416749704851</v>
      </c>
      <c r="T111" s="109">
        <f t="shared" si="21"/>
        <v>0.20787055378532515</v>
      </c>
      <c r="V111" s="14"/>
    </row>
    <row r="112">
      <c r="A112" s="180" t="s">
        <v>219</v>
      </c>
      <c r="B112" s="87">
        <v>90889679.950000003</v>
      </c>
      <c r="C112" s="88">
        <v>45</v>
      </c>
      <c r="D112" s="88">
        <v>14783</v>
      </c>
      <c r="E112" s="181">
        <f t="shared" si="15"/>
        <v>0.0056153965740762986</v>
      </c>
      <c r="F112" s="181">
        <f t="shared" si="16"/>
        <v>0.0039250586692320495</v>
      </c>
      <c r="G112" s="181">
        <f t="shared" si="17"/>
        <v>0.0047702276216541745</v>
      </c>
      <c r="H112" s="181">
        <f>AVERAGE(N$113,T$113,N$168:N$173,T$114,T$116:T$133,T$135:T$143,T$145:T$163)</f>
        <v>0.065390515324793577</v>
      </c>
      <c r="I112" s="182">
        <f t="shared" si="18"/>
        <v>0.035080371473223876</v>
      </c>
      <c r="J112" s="183"/>
      <c r="K112" s="184"/>
      <c r="L112" s="105"/>
      <c r="M112" s="105" t="s">
        <v>220</v>
      </c>
      <c r="N112" s="185">
        <v>0.20000000000000001</v>
      </c>
      <c r="O112" s="106">
        <v>5068811383.1800003</v>
      </c>
      <c r="P112" s="107">
        <v>1149</v>
      </c>
      <c r="Q112" s="107">
        <v>621235</v>
      </c>
      <c r="R112" s="108">
        <f t="shared" si="19"/>
        <v>0.3131641138070474</v>
      </c>
      <c r="S112" s="108">
        <f t="shared" si="20"/>
        <v>0.16396614840473361</v>
      </c>
      <c r="T112" s="109">
        <f t="shared" si="21"/>
        <v>0.2385651311058905</v>
      </c>
      <c r="V112" s="14"/>
    </row>
    <row r="113">
      <c r="A113" s="180" t="s">
        <v>221</v>
      </c>
      <c r="B113" s="87">
        <v>6957083.3799999999</v>
      </c>
      <c r="C113" s="88">
        <v>13</v>
      </c>
      <c r="D113" s="88">
        <v>1905</v>
      </c>
      <c r="E113" s="181">
        <f t="shared" si="15"/>
        <v>0.00042982638071898229</v>
      </c>
      <c r="F113" s="181">
        <f t="shared" si="16"/>
        <v>0.00051529988089344986</v>
      </c>
      <c r="G113" s="181">
        <f t="shared" si="17"/>
        <v>0.00047256313080621607</v>
      </c>
      <c r="H113" s="181">
        <f>AVERAGE(N$111,T$111,N$168:N$173,T$114,T$116:T$121,T$125:T$133,T$135,T$137:T$140,T$142:T$143,T$145:T$148,T$150:T$152,T$154:T$157,T$159,T$160,T$162,T$163)</f>
        <v>0.084275992285787318</v>
      </c>
      <c r="I113" s="182">
        <f t="shared" si="18"/>
        <v>0.04237427770829677</v>
      </c>
      <c r="J113" s="186"/>
      <c r="K113" s="184"/>
      <c r="L113" s="105"/>
      <c r="M113" s="105" t="s">
        <v>222</v>
      </c>
      <c r="N113" s="185">
        <v>0.10000000000000001</v>
      </c>
      <c r="O113" s="106">
        <v>4451432156.0699997</v>
      </c>
      <c r="P113" s="107">
        <v>1552</v>
      </c>
      <c r="Q113" s="107">
        <v>539731</v>
      </c>
      <c r="R113" s="108">
        <f t="shared" si="19"/>
        <v>0.27502084827099826</v>
      </c>
      <c r="S113" s="108">
        <f t="shared" si="20"/>
        <v>0.14318486426248003</v>
      </c>
      <c r="T113" s="109">
        <f t="shared" si="21"/>
        <v>0.20910285626673913</v>
      </c>
      <c r="V113" s="14"/>
    </row>
    <row r="114" ht="38.25">
      <c r="A114" s="180" t="s">
        <v>223</v>
      </c>
      <c r="B114" s="87">
        <v>58447076.159999996</v>
      </c>
      <c r="C114" s="88">
        <v>43</v>
      </c>
      <c r="D114" s="88">
        <v>6860</v>
      </c>
      <c r="E114" s="181">
        <f t="shared" si="15"/>
        <v>0.0036110096483362129</v>
      </c>
      <c r="F114" s="181">
        <f t="shared" si="16"/>
        <v>0.0018505893436397056</v>
      </c>
      <c r="G114" s="181">
        <f t="shared" si="17"/>
        <v>0.0027307994959879594</v>
      </c>
      <c r="H114" s="181">
        <f>AVERAGE(N$111,T$111,N$168:N$173,T$114,T$116,T$118:T$121,T$125:T$126,T$128,T$130:T$132,T$137:T$142,T$147:T$152,T$155:T$157,T$159:T$160,T$162)</f>
        <v>0.10105134998304913</v>
      </c>
      <c r="I114" s="182">
        <f t="shared" si="18"/>
        <v>0.051891074739518546</v>
      </c>
      <c r="J114" s="187" t="s">
        <v>224</v>
      </c>
      <c r="K114" s="184"/>
      <c r="L114" s="105" t="s">
        <v>225</v>
      </c>
      <c r="M114" s="105" t="s">
        <v>226</v>
      </c>
      <c r="N114" s="105"/>
      <c r="O114" s="106">
        <v>407427285.31999999</v>
      </c>
      <c r="P114" s="145">
        <v>843</v>
      </c>
      <c r="Q114" s="146">
        <v>49155</v>
      </c>
      <c r="R114" s="108">
        <f t="shared" si="19"/>
        <v>0.02517189832145662</v>
      </c>
      <c r="S114" s="108">
        <f t="shared" si="20"/>
        <v>0.013965966427435285</v>
      </c>
      <c r="T114" s="109">
        <f t="shared" si="21"/>
        <v>0.019568932374445951</v>
      </c>
      <c r="V114" s="14"/>
    </row>
    <row r="115">
      <c r="A115" s="180" t="s">
        <v>227</v>
      </c>
      <c r="B115" s="87">
        <v>24410.349999999999</v>
      </c>
      <c r="C115" s="88">
        <v>1</v>
      </c>
      <c r="D115" s="88">
        <v>4</v>
      </c>
      <c r="E115" s="181">
        <f t="shared" si="15"/>
        <v>1.5081337709342804e-06</v>
      </c>
      <c r="F115" s="181">
        <f t="shared" si="16"/>
        <v>2.365251156368574e-06</v>
      </c>
      <c r="G115" s="181">
        <f t="shared" si="17"/>
        <v>1.9366924636514271e-06</v>
      </c>
      <c r="H115" s="181">
        <f>AVERAGE($N$112,$T$112,$N$168:$N$173,$T$114,$T$116,$T$118,$T$121,$T$122,$T$125,$T$126,$T$127,$T$128,$T$129,$T$130,$T$131,$T$132,$T$135,$T$137,$T$139,$T$140,$T$142,$T$143,$T$149,$T$150,$T$151,$T$155,$T$156,$T$157,$T$159,$T$160,$T$162,$T$163)</f>
        <v>0.097424134778966789</v>
      </c>
      <c r="I115" s="182">
        <f t="shared" si="18"/>
        <v>0.04871303573571522</v>
      </c>
      <c r="J115" s="183"/>
      <c r="K115" s="184"/>
      <c r="L115" s="105"/>
      <c r="M115" s="105" t="s">
        <v>228</v>
      </c>
      <c r="N115" s="105"/>
      <c r="O115" s="106">
        <v>71551.009999999995</v>
      </c>
      <c r="P115" s="145">
        <v>3</v>
      </c>
      <c r="Q115" s="146">
        <v>8</v>
      </c>
      <c r="R115" s="108">
        <f t="shared" si="19"/>
        <v>4.4206041505122378e-06</v>
      </c>
      <c r="S115" s="108">
        <f t="shared" si="20"/>
        <v>6.0497704882948019e-06</v>
      </c>
      <c r="T115" s="109">
        <f t="shared" si="21"/>
        <v>5.2351873194035203e-06</v>
      </c>
      <c r="V115" s="14"/>
    </row>
    <row r="116">
      <c r="A116" s="180" t="s">
        <v>229</v>
      </c>
      <c r="B116" s="87">
        <v>350124589.74000001</v>
      </c>
      <c r="C116" s="88">
        <v>54</v>
      </c>
      <c r="D116" s="88">
        <v>57364</v>
      </c>
      <c r="E116" s="181">
        <f t="shared" si="15"/>
        <v>0.021631591428283661</v>
      </c>
      <c r="F116" s="181">
        <f t="shared" si="16"/>
        <v>0.015071682409289506</v>
      </c>
      <c r="G116" s="181">
        <f t="shared" si="17"/>
        <v>0.018351636918786583</v>
      </c>
      <c r="H116" s="181">
        <f>AVERAGE($N$109,$T$109,$N$168:$N$173,$T$139,$T$143,$T$160)</f>
        <v>0.30777582885347127</v>
      </c>
      <c r="I116" s="182">
        <f t="shared" si="18"/>
        <v>0.16306373288612894</v>
      </c>
      <c r="J116" s="183"/>
      <c r="K116" s="184"/>
      <c r="L116" s="105"/>
      <c r="M116" s="105" t="s">
        <v>230</v>
      </c>
      <c r="N116" s="105"/>
      <c r="O116" s="106">
        <v>32091922.149999999</v>
      </c>
      <c r="P116" s="145">
        <v>310</v>
      </c>
      <c r="Q116" s="146">
        <v>4902</v>
      </c>
      <c r="R116" s="108">
        <f t="shared" si="19"/>
        <v>0.0019827209183239428</v>
      </c>
      <c r="S116" s="108">
        <f t="shared" si="20"/>
        <v>0.0016908252774066545</v>
      </c>
      <c r="T116" s="109">
        <f t="shared" si="21"/>
        <v>0.0018367730978652986</v>
      </c>
      <c r="V116" s="14"/>
    </row>
    <row r="117">
      <c r="A117" s="180" t="s">
        <v>231</v>
      </c>
      <c r="B117" s="87">
        <v>1773153937.74</v>
      </c>
      <c r="C117" s="88">
        <v>307</v>
      </c>
      <c r="D117" s="88">
        <v>194932</v>
      </c>
      <c r="E117" s="181">
        <f t="shared" si="15"/>
        <v>0.1095499791920556</v>
      </c>
      <c r="F117" s="181">
        <f t="shared" si="16"/>
        <v>0.05137890393375473</v>
      </c>
      <c r="G117" s="181">
        <f t="shared" si="17"/>
        <v>0.080464441562905165</v>
      </c>
      <c r="H117" s="181">
        <f>AVERAGE($N$113,$T$113,$N$168:$N$173,$T$114,$T$116,$T$117,$T$118,$T$121,$T$123,$T$125,$T$126,$T$127,$T$128,$T$129,$T$130,$T$131,$T$132,$T$133,$T$135,$T$136,$T$137,$T$138,$T$139,$T$140,$T$142,$T$143,$T$149,$T$150,$T$151,$T$152,$T$155,$T$156,$T$157,$T$159,$T$160,$T$162,$T$163)</f>
        <v>0.083332197713446299</v>
      </c>
      <c r="I117" s="182">
        <f t="shared" si="18"/>
        <v>0.081898319638175732</v>
      </c>
      <c r="J117" s="183"/>
      <c r="K117" s="184"/>
      <c r="L117" s="105"/>
      <c r="M117" s="105" t="s">
        <v>232</v>
      </c>
      <c r="N117" s="105"/>
      <c r="O117" s="106">
        <v>3337485.8700000001</v>
      </c>
      <c r="P117" s="145">
        <v>66</v>
      </c>
      <c r="Q117" s="146">
        <v>578</v>
      </c>
      <c r="R117" s="108">
        <f t="shared" si="19"/>
        <v>0.00020619840152078843</v>
      </c>
      <c r="S117" s="108">
        <f t="shared" si="20"/>
        <v>0.00023821624031398304</v>
      </c>
      <c r="T117" s="109">
        <f t="shared" si="21"/>
        <v>0.00022220732091738575</v>
      </c>
      <c r="V117" s="14"/>
    </row>
    <row r="118">
      <c r="A118" s="180" t="s">
        <v>233</v>
      </c>
      <c r="B118" s="87">
        <v>1638607983.4100001</v>
      </c>
      <c r="C118" s="88">
        <v>93</v>
      </c>
      <c r="D118" s="88">
        <v>229246</v>
      </c>
      <c r="E118" s="181">
        <f t="shared" si="15"/>
        <v>0.10123738648168258</v>
      </c>
      <c r="F118" s="181">
        <f t="shared" si="16"/>
        <v>0.060069545545071858</v>
      </c>
      <c r="G118" s="181">
        <f t="shared" si="17"/>
        <v>0.080653466013377223</v>
      </c>
      <c r="H118" s="181">
        <f>AVERAGE($N$113,$T$113,$N$168:$N$173,$T$114,$T$116,$T$117,$T$118,$T$121,$T$122,$T$123,$T$125,$T$126,$T$127,$T$128,$T$129,$T$130,$T$131,$T$132,$T$133,$T$134,$T$135,$T$136,$T$137,$T$138,$T$139,$T$140,$T$141,$T$142,$T$143,$T$149,$T$150,$T$151,$T$152,$T$155,$T$156,$T$157,$T$159,$T$160,$T$162,$T$163)</f>
        <v>0.077833298455991809</v>
      </c>
      <c r="I118" s="182">
        <f t="shared" si="18"/>
        <v>0.079243382234684523</v>
      </c>
      <c r="J118" s="183"/>
      <c r="K118" s="184"/>
      <c r="L118" s="105"/>
      <c r="M118" s="105" t="s">
        <v>234</v>
      </c>
      <c r="N118" s="105"/>
      <c r="O118" s="106">
        <v>3661110520.6900001</v>
      </c>
      <c r="P118" s="145">
        <v>1445</v>
      </c>
      <c r="Q118" s="146">
        <v>390650</v>
      </c>
      <c r="R118" s="108">
        <f t="shared" si="19"/>
        <v>0.22619275902948449</v>
      </c>
      <c r="S118" s="108">
        <f t="shared" si="20"/>
        <v>0.10405965537712721</v>
      </c>
      <c r="T118" s="109">
        <f t="shared" si="21"/>
        <v>0.16512620720330584</v>
      </c>
      <c r="V118" s="14"/>
    </row>
    <row r="119">
      <c r="A119" s="180" t="s">
        <v>235</v>
      </c>
      <c r="B119" s="87">
        <v>864411649.16999996</v>
      </c>
      <c r="C119" s="88">
        <v>46</v>
      </c>
      <c r="D119" s="88">
        <v>101669</v>
      </c>
      <c r="E119" s="181">
        <f t="shared" si="15"/>
        <v>0.053405559531193622</v>
      </c>
      <c r="F119" s="181">
        <f t="shared" si="16"/>
        <v>0.026646697255091986</v>
      </c>
      <c r="G119" s="181">
        <f t="shared" si="17"/>
        <v>0.040026128393142804</v>
      </c>
      <c r="H119" s="181">
        <f>AVERAGE($N$112,$T$112,$N$168:$N$173,$T$114,$T$116,$T$117,$T$118,$T$121,$T$122,$T$123,$T$125,$T$126,$T$127,$T$128,$T$129,$T$130,$T$131,$T$132,$T$133,$T$134,$T$135,$T$136,$T$137,$T$138,$T$139,$T$140,$T$141,$T$142,$T$143,$T$149,$T$150,$T$151,$T$152,$T$155,$T$156,$T$157,$T$159,$T$160,$T$162,$T$163)</f>
        <v>0.080710237896861839</v>
      </c>
      <c r="I119" s="182">
        <f t="shared" si="18"/>
        <v>0.060368183145002322</v>
      </c>
      <c r="J119" s="183"/>
      <c r="K119" s="184"/>
      <c r="L119" s="105"/>
      <c r="M119" s="105" t="s">
        <v>236</v>
      </c>
      <c r="N119" s="105"/>
      <c r="O119" s="106">
        <v>673795571.58000004</v>
      </c>
      <c r="P119" s="145">
        <v>1071</v>
      </c>
      <c r="Q119" s="146">
        <v>91664</v>
      </c>
      <c r="R119" s="108">
        <f t="shared" si="19"/>
        <v>0.041628811393763891</v>
      </c>
      <c r="S119" s="108">
        <f t="shared" si="20"/>
        <v>0.025382682204285273</v>
      </c>
      <c r="T119" s="109">
        <f t="shared" si="21"/>
        <v>0.033505746799024586</v>
      </c>
      <c r="V119" s="14"/>
    </row>
    <row r="120">
      <c r="A120" s="180" t="s">
        <v>237</v>
      </c>
      <c r="B120" s="87">
        <v>1243973566.95</v>
      </c>
      <c r="C120" s="88">
        <v>206</v>
      </c>
      <c r="D120" s="88">
        <v>117396</v>
      </c>
      <c r="E120" s="181">
        <f t="shared" si="15"/>
        <v>0.076855864273427915</v>
      </c>
      <c r="F120" s="181">
        <f t="shared" si="16"/>
        <v>0.030970323747984547</v>
      </c>
      <c r="G120" s="181">
        <f t="shared" si="17"/>
        <v>0.053913094010706229</v>
      </c>
      <c r="H120" s="181">
        <f>AVERAGE($N$111,$T$111,$N$168:$N$173,$T$114,$T$116,$T$117,$T$118,$T$121,$T$122,$T$123,$T$125,$T$126,$T$127,$T$128,$T$129,$T$130,$T$131,$T$132,$T$133,$T$135,$T$136,$T$137,$T$138,$T$139,$T$140,$T$142,$T$143,$T$149,$T$150,$T$151,$T$152,$T$155,$T$156,$T$157,$T$158,$T$159,$T$160,$T$162,$T$163)</f>
        <v>0.086391145314312079</v>
      </c>
      <c r="I120" s="182">
        <f t="shared" si="18"/>
        <v>0.070152119662509158</v>
      </c>
      <c r="J120" s="183"/>
      <c r="K120" s="184"/>
      <c r="L120" s="105"/>
      <c r="M120" s="105" t="s">
        <v>238</v>
      </c>
      <c r="N120" s="105"/>
      <c r="O120" s="106">
        <v>275566706.62</v>
      </c>
      <c r="P120" s="145">
        <v>737</v>
      </c>
      <c r="Q120" s="146">
        <v>34338</v>
      </c>
      <c r="R120" s="108">
        <f t="shared" si="19"/>
        <v>0.017025214976383426</v>
      </c>
      <c r="S120" s="108">
        <f t="shared" si="20"/>
        <v>0.0099515415441573281</v>
      </c>
      <c r="T120" s="109">
        <f t="shared" si="21"/>
        <v>0.013488378260270377</v>
      </c>
      <c r="V120" s="14"/>
    </row>
    <row r="121">
      <c r="A121" s="180" t="s">
        <v>239</v>
      </c>
      <c r="B121" s="87">
        <v>494227198.80000001</v>
      </c>
      <c r="C121" s="88">
        <v>50</v>
      </c>
      <c r="D121" s="88">
        <v>76805</v>
      </c>
      <c r="E121" s="181">
        <f t="shared" si="15"/>
        <v>0.030534618677099275</v>
      </c>
      <c r="F121" s="181">
        <f t="shared" si="16"/>
        <v>0.020150144119073544</v>
      </c>
      <c r="G121" s="181">
        <f t="shared" si="17"/>
        <v>0.025342381398086408</v>
      </c>
      <c r="H121" s="181">
        <f>AVERAGE($N$110,$T$110,$N$168:$N$173,$T$114,$T$115,$T$116,$T$117,$T$118,$T$121,$T$122,$T$123,$T$125,$T$126,$T$127,$T$128,$T$129,$T$130,$T$131,$T$132,$T$133,$T$135,$T$136,$T$137,$T$138,$T$139,$T$140,$T$141,$T$142,$T$143,$T$149,$T$150,$T$151,$T$152,$T$155,$T$156,$T$157,$T$159,$T$160,$T$162,$T$163)</f>
        <v>0.085511565035275489</v>
      </c>
      <c r="I121" s="182">
        <f t="shared" si="18"/>
        <v>0.055426973216680948</v>
      </c>
      <c r="J121" s="183"/>
      <c r="K121" s="184"/>
      <c r="L121" s="105"/>
      <c r="M121" s="105" t="s">
        <v>240</v>
      </c>
      <c r="N121" s="105"/>
      <c r="O121" s="106">
        <v>228852357.88999999</v>
      </c>
      <c r="P121" s="145">
        <v>703</v>
      </c>
      <c r="Q121" s="146">
        <v>29236</v>
      </c>
      <c r="R121" s="108">
        <f t="shared" si="19"/>
        <v>0.014139083195933167</v>
      </c>
      <c r="S121" s="108">
        <f t="shared" si="20"/>
        <v>0.0085725351341640402</v>
      </c>
      <c r="T121" s="109">
        <f t="shared" si="21"/>
        <v>0.011355809165048605</v>
      </c>
      <c r="V121" s="14"/>
    </row>
    <row r="122">
      <c r="A122" s="180" t="s">
        <v>241</v>
      </c>
      <c r="B122" s="87">
        <v>2070938662.7</v>
      </c>
      <c r="C122" s="88">
        <v>242</v>
      </c>
      <c r="D122" s="88">
        <v>228761</v>
      </c>
      <c r="E122" s="181">
        <f t="shared" si="15"/>
        <v>0.12794788008985317</v>
      </c>
      <c r="F122" s="181">
        <f t="shared" si="16"/>
        <v>0.060139291066806627</v>
      </c>
      <c r="G122" s="181">
        <f t="shared" si="17"/>
        <v>0.094043585578329897</v>
      </c>
      <c r="H122" s="181">
        <f>AVERAGE($N$108,$T$108,$N$168:$N$173)</f>
        <v>0.43102348622118092</v>
      </c>
      <c r="I122" s="182">
        <f t="shared" si="18"/>
        <v>0.26253353589975542</v>
      </c>
      <c r="J122" s="183"/>
      <c r="K122" s="184"/>
      <c r="L122" s="105"/>
      <c r="M122" s="105" t="s">
        <v>242</v>
      </c>
      <c r="N122" s="105"/>
      <c r="O122" s="106">
        <v>53889663.899999999</v>
      </c>
      <c r="P122" s="145">
        <v>149</v>
      </c>
      <c r="Q122" s="146">
        <v>5524</v>
      </c>
      <c r="R122" s="108">
        <f t="shared" si="19"/>
        <v>0.0033294410785543</v>
      </c>
      <c r="S122" s="108">
        <f t="shared" si="20"/>
        <v>0.00164107345465797</v>
      </c>
      <c r="T122" s="109">
        <f t="shared" si="21"/>
        <v>0.002485257266606135</v>
      </c>
      <c r="V122" s="14"/>
    </row>
    <row r="123">
      <c r="A123" s="180" t="s">
        <v>243</v>
      </c>
      <c r="B123" s="87">
        <v>54796515.82</v>
      </c>
      <c r="C123" s="88">
        <v>23</v>
      </c>
      <c r="D123" s="88">
        <v>7674</v>
      </c>
      <c r="E123" s="181">
        <f t="shared" si="15"/>
        <v>0.003385468706416604</v>
      </c>
      <c r="F123" s="181">
        <f t="shared" si="16"/>
        <v>0.0020370615167235747</v>
      </c>
      <c r="G123" s="181">
        <f t="shared" si="17"/>
        <v>0.0027112651115700891</v>
      </c>
      <c r="H123" s="181">
        <f>AVERAGE($N$111,$T$111,$N$168:$N$173,$T$114,$T$116,$T$117,$T$118,$T$121,$T$122,$T$123,$T$125,$T$126,$T$127,$T$128,$T$129,$T$130,$T$131,$T$132,$T$133,$T$134,$T$135,$T$136,$T$137,$T$138,$T$139,$T$140,$T$141,$T$142,$T$143,$T$149,$T$150,$T$151,$T$152,$T$155,$T$156,$T$157,$T$159,$T$160,$T$162,$T$163)</f>
        <v>0.084472580623071503</v>
      </c>
      <c r="I123" s="182">
        <f t="shared" si="18"/>
        <v>0.043591922867320797</v>
      </c>
      <c r="J123" s="183"/>
      <c r="K123" s="184"/>
      <c r="L123" s="105"/>
      <c r="M123" s="105" t="s">
        <v>244</v>
      </c>
      <c r="N123" s="105"/>
      <c r="O123" s="106">
        <v>112239927.03</v>
      </c>
      <c r="P123" s="145">
        <v>274</v>
      </c>
      <c r="Q123" s="146">
        <v>15661</v>
      </c>
      <c r="R123" s="108">
        <f t="shared" si="19"/>
        <v>0.0069344693706211661</v>
      </c>
      <c r="S123" s="108">
        <f t="shared" si="20"/>
        <v>0.0044567643457227493</v>
      </c>
      <c r="T123" s="109">
        <f t="shared" si="21"/>
        <v>0.0056956168581719577</v>
      </c>
      <c r="V123" s="14"/>
    </row>
    <row r="124">
      <c r="A124" s="180" t="s">
        <v>245</v>
      </c>
      <c r="B124" s="87">
        <v>90884676.469999999</v>
      </c>
      <c r="C124" s="88">
        <v>33</v>
      </c>
      <c r="D124" s="88">
        <v>11530</v>
      </c>
      <c r="E124" s="181">
        <f t="shared" si="15"/>
        <v>0.0056150874463022108</v>
      </c>
      <c r="F124" s="181">
        <f t="shared" si="16"/>
        <v>0.0030585817919808775</v>
      </c>
      <c r="G124" s="181">
        <f t="shared" si="17"/>
        <v>0.0043368346191415439</v>
      </c>
      <c r="H124" s="181">
        <f>AVERAGE($N$112,$T$112,$N$168:$N$173,$T$114,$T$116,$T$118,$T$121,$T$122,$T$123,$T$125,$T$126,$T$127,$T$128,$T$129,$T$130,$T$132,$T$133,$T$135,$T$137,$T$138,$T$139,$T$140,$T$142,$T$143,$T$149,$T$150,$T$151,$T$152,$T$155,$T$156,$T$157,$T$159,$T$160,$T$162,$T$163)</f>
        <v>0.090675957233098584</v>
      </c>
      <c r="I124" s="182">
        <f t="shared" si="18"/>
        <v>0.047506395926120062</v>
      </c>
      <c r="J124" s="183"/>
      <c r="K124" s="184"/>
      <c r="L124" s="105"/>
      <c r="M124" s="105" t="s">
        <v>246</v>
      </c>
      <c r="N124" s="105"/>
      <c r="O124" s="106">
        <v>5909527.4800000004</v>
      </c>
      <c r="P124" s="145">
        <v>37</v>
      </c>
      <c r="Q124" s="146">
        <v>845</v>
      </c>
      <c r="R124" s="108">
        <f t="shared" si="19"/>
        <v>0.00036510570159183119</v>
      </c>
      <c r="S124" s="108">
        <f t="shared" si="20"/>
        <v>0.00026977682719193989</v>
      </c>
      <c r="T124" s="109">
        <f t="shared" si="21"/>
        <v>0.00031744126439188557</v>
      </c>
      <c r="V124" s="14"/>
    </row>
    <row r="125">
      <c r="A125" s="180" t="s">
        <v>247</v>
      </c>
      <c r="B125" s="87">
        <f>32977205.79+27644880.57</f>
        <v>60622086.359999999</v>
      </c>
      <c r="C125" s="88">
        <v>18</v>
      </c>
      <c r="D125" s="88">
        <f>3176+2823</f>
        <v>5999</v>
      </c>
      <c r="E125" s="181">
        <f t="shared" si="15"/>
        <v>0.0037453873338157955</v>
      </c>
      <c r="F125" s="181">
        <f t="shared" si="16"/>
        <v>0.0015924598026312139</v>
      </c>
      <c r="G125" s="181">
        <f t="shared" si="17"/>
        <v>0.0026689235682235048</v>
      </c>
      <c r="H125" s="181">
        <f>AVERAGE($N$113,$T$113,$N$168:$N$173,$T$114,$T$116,$T$117,$T$118,$T$121,$T$123,$T$125,$T$126,$T$127,$T$128,$T$129,$T$130,$T$131,$T$132,$T$133,$T$135,$T$137,$T$138,$T$139,$T$140,$T$142,$T$143,$T$149,$T$150,$T$151,$T$152,$T$155,$T$156,$T$157,$T$159,$T$160,$T$162,$T$163)</f>
        <v>0.0853549126185882</v>
      </c>
      <c r="I125" s="182">
        <f t="shared" si="18"/>
        <v>0.04401191809340585</v>
      </c>
      <c r="J125" s="183"/>
      <c r="K125" s="184"/>
      <c r="L125" s="105"/>
      <c r="M125" s="105" t="s">
        <v>248</v>
      </c>
      <c r="N125" s="105"/>
      <c r="O125" s="106">
        <v>1485211609.05</v>
      </c>
      <c r="P125" s="145">
        <v>1202</v>
      </c>
      <c r="Q125" s="146">
        <v>181627</v>
      </c>
      <c r="R125" s="108">
        <f t="shared" si="19"/>
        <v>0.091760166674871385</v>
      </c>
      <c r="S125" s="108">
        <f t="shared" si="20"/>
        <v>0.049080448060956509</v>
      </c>
      <c r="T125" s="109">
        <f t="shared" si="21"/>
        <v>0.070420307367913951</v>
      </c>
      <c r="V125" s="14"/>
    </row>
    <row r="126">
      <c r="A126" s="180" t="s">
        <v>249</v>
      </c>
      <c r="B126" s="87">
        <v>2444221741</v>
      </c>
      <c r="C126" s="88">
        <v>161</v>
      </c>
      <c r="D126" s="88">
        <v>253737</v>
      </c>
      <c r="E126" s="181">
        <f t="shared" si="15"/>
        <v>0.15101026209185375</v>
      </c>
      <c r="F126" s="181">
        <f t="shared" si="16"/>
        <v>0.066563548076769841</v>
      </c>
      <c r="G126" s="181">
        <f t="shared" si="17"/>
        <v>0.1087869050843118</v>
      </c>
      <c r="H126" s="181">
        <f>AVERAGE($N$113,$T$113,$N$168:$N$173,$T$114,$T$118,$T$121,$T$123,$T$125,$T$126,$T$127,$T$128,$T$129,$T$130,$T$131,$T$132,$T$133,$T$135,$T$137,$T$138,$T$139,$T$140,$T$149,$T$150,$T$151,$T$155,$T$156,$T$157,$T$159,$T$160,$T$162)</f>
        <v>0.099113427610867361</v>
      </c>
      <c r="I126" s="182">
        <f t="shared" si="18"/>
        <v>0.10395016634758958</v>
      </c>
      <c r="J126" s="183"/>
      <c r="K126" s="184"/>
      <c r="L126" s="105"/>
      <c r="M126" s="105" t="s">
        <v>250</v>
      </c>
      <c r="N126" s="105"/>
      <c r="O126" s="106">
        <v>629677955.11000001</v>
      </c>
      <c r="P126" s="145">
        <v>979</v>
      </c>
      <c r="Q126" s="146">
        <v>76996</v>
      </c>
      <c r="R126" s="108">
        <f t="shared" si="19"/>
        <v>0.038903112364805537</v>
      </c>
      <c r="S126" s="108">
        <f t="shared" si="20"/>
        <v>0.021425689941500327</v>
      </c>
      <c r="T126" s="109">
        <f t="shared" si="21"/>
        <v>0.030164401153152932</v>
      </c>
      <c r="V126" s="14"/>
    </row>
    <row r="127">
      <c r="A127" s="180" t="s">
        <v>251</v>
      </c>
      <c r="B127" s="87">
        <v>654227688.03999996</v>
      </c>
      <c r="C127" s="88">
        <v>109</v>
      </c>
      <c r="D127" s="88">
        <v>104105</v>
      </c>
      <c r="E127" s="181">
        <f t="shared" si="15"/>
        <v>0.040419857569161492</v>
      </c>
      <c r="F127" s="181">
        <f t="shared" si="16"/>
        <v>0.02736681478546597</v>
      </c>
      <c r="G127" s="181">
        <f t="shared" si="17"/>
        <v>0.033893336177313729</v>
      </c>
      <c r="H127" s="181">
        <f>AVERAGE($N$112,$T$112,$N$168:$N$173,$T$114,$T$116,$T$117,$T$118,$T$121,$T$122,$T$123,$T$125,$T$126,$T$127,$T$128,$T$129,$T$130,$T$131,$T$132,$T$133,$T$135,$T$136,$T$137,$T$138,$T$139,$T$140,$T$142,$T$143,$T$149,$T$150,$T$151,$T$152,$T$155,$T$156,$T$157,$T$159,$T$160,$T$162,$T$163)</f>
        <v>0.084462786885360505</v>
      </c>
      <c r="I127" s="182">
        <f t="shared" si="18"/>
        <v>0.059178061531337117</v>
      </c>
      <c r="J127" s="183"/>
      <c r="K127" s="184"/>
      <c r="L127" s="105"/>
      <c r="M127" s="105" t="s">
        <v>252</v>
      </c>
      <c r="N127" s="105"/>
      <c r="O127" s="106">
        <v>189948695.83000001</v>
      </c>
      <c r="P127" s="145">
        <v>514</v>
      </c>
      <c r="Q127" s="146">
        <v>18421</v>
      </c>
      <c r="R127" s="108">
        <f t="shared" si="19"/>
        <v>0.01173551558769729</v>
      </c>
      <c r="S127" s="108">
        <f t="shared" si="20"/>
        <v>0.0054951169646161209</v>
      </c>
      <c r="T127" s="109">
        <f t="shared" si="21"/>
        <v>0.0086153162761567065</v>
      </c>
      <c r="V127" s="14"/>
    </row>
    <row r="128">
      <c r="A128" s="180" t="s">
        <v>253</v>
      </c>
      <c r="B128" s="87">
        <v>676497406.96000004</v>
      </c>
      <c r="C128" s="88">
        <v>44</v>
      </c>
      <c r="D128" s="88">
        <v>59860</v>
      </c>
      <c r="E128" s="181">
        <f t="shared" si="15"/>
        <v>0.041795737684459558</v>
      </c>
      <c r="F128" s="181">
        <f t="shared" si="16"/>
        <v>0.01571118310755994</v>
      </c>
      <c r="G128" s="181">
        <f t="shared" si="17"/>
        <v>0.028753460396009747</v>
      </c>
      <c r="H128" s="181">
        <f>AVERAGE($N$113,$T$113,$N$168:$N$173,$T$114,$T$116,$T$117,$T$118,$T$121,$T$122,$T$123,$T$125,$T$126,$T$127,$T$128,$T$129,$T$130,$T$131,$T$132,$T$133,$T$135,$T$136,$T$137,$T$138,$T$139,$T$140,$T$141,$T$142,$T$143,$T$149,$T$150,$T$151,$T$152,$T$155,$T$156,$T$157,$T$159,$T$160,$T$162,$T$163)</f>
        <v>0.079602111076436458</v>
      </c>
      <c r="I128" s="182">
        <f t="shared" si="18"/>
        <v>0.054177785736223102</v>
      </c>
      <c r="J128" s="183"/>
      <c r="K128" s="184"/>
      <c r="L128" s="105"/>
      <c r="M128" s="105" t="s">
        <v>254</v>
      </c>
      <c r="N128" s="105"/>
      <c r="O128" s="106">
        <v>711792411.51999998</v>
      </c>
      <c r="P128" s="145">
        <v>932</v>
      </c>
      <c r="Q128" s="146">
        <v>89330</v>
      </c>
      <c r="R128" s="108">
        <f t="shared" si="19"/>
        <v>0.043976353215257571</v>
      </c>
      <c r="S128" s="108">
        <f t="shared" si="20"/>
        <v>0.02458897285857959</v>
      </c>
      <c r="T128" s="109">
        <f t="shared" si="21"/>
        <v>0.034282663036918584</v>
      </c>
      <c r="V128" s="14"/>
    </row>
    <row r="129">
      <c r="A129" s="180" t="s">
        <v>255</v>
      </c>
      <c r="B129" s="87">
        <v>1319194.48</v>
      </c>
      <c r="C129" s="88">
        <v>4</v>
      </c>
      <c r="D129" s="88">
        <v>213</v>
      </c>
      <c r="E129" s="181">
        <f t="shared" si="15"/>
        <v>8.1503204407887937e-05</v>
      </c>
      <c r="F129" s="181">
        <f t="shared" si="16"/>
        <v>6.0975666430412067e-05</v>
      </c>
      <c r="G129" s="181">
        <f t="shared" si="17"/>
        <v>7.1239435419149995e-05</v>
      </c>
      <c r="H129" s="181">
        <f>AVERAGE($N$111,$T$111,$N$168:$N$173,$T$114,$T$116,$T$117,$T$118,$T$121,$T$122,$T$123,$T$125,$T$126,$T$127,$T$128,$T$129,$T$130,$T$131,$T$132,$T$133,$T$135,$T$136,$T$137,$T$138,$T$139,$T$140,$T$141,$T$142,$T$143,$T$149,$T$150,$T$151,$T$152,$T$155,$T$156,$T$157,$T$159,$T$160,$T$162,$T$163)</f>
        <v>0.08639228602004069</v>
      </c>
      <c r="I129" s="182">
        <f t="shared" si="18"/>
        <v>0.043231762727729918</v>
      </c>
      <c r="J129" s="183"/>
      <c r="K129" s="184"/>
      <c r="L129" s="105"/>
      <c r="M129" s="105" t="s">
        <v>256</v>
      </c>
      <c r="N129" s="105"/>
      <c r="O129" s="106">
        <v>96788766.230000004</v>
      </c>
      <c r="P129" s="145">
        <v>517</v>
      </c>
      <c r="Q129" s="146">
        <v>11530</v>
      </c>
      <c r="R129" s="108">
        <f t="shared" si="19"/>
        <v>0.0059798571916636362</v>
      </c>
      <c r="S129" s="108">
        <f t="shared" si="20"/>
        <v>0.0036971075889507821</v>
      </c>
      <c r="T129" s="109">
        <f t="shared" si="21"/>
        <v>0.0048384823903072091</v>
      </c>
      <c r="V129" s="14"/>
    </row>
    <row r="130">
      <c r="A130" s="180" t="s">
        <v>257</v>
      </c>
      <c r="B130" s="87">
        <f>642268085.34+564607265.43</f>
        <v>1206875350.77</v>
      </c>
      <c r="C130" s="88">
        <v>85</v>
      </c>
      <c r="D130" s="88">
        <f>78639+69685</f>
        <v>148324</v>
      </c>
      <c r="E130" s="181">
        <f t="shared" si="15"/>
        <v>0.07456384172305569</v>
      </c>
      <c r="F130" s="181">
        <f t="shared" si="16"/>
        <v>0.038898232706372098</v>
      </c>
      <c r="G130" s="181">
        <f t="shared" si="17"/>
        <v>0.056731037214713897</v>
      </c>
      <c r="H130" s="181">
        <f>AVERAGE($N$111,$T$111,$N$168:$N$173,$T$114,$T$118,$T$125,$T$126,$T$128,$T$129,$T$130,$T$132,$T$138,$T$139,$T$142,$T$151,$T$152,$T$155,$T$156,$T$159,$T$160)</f>
        <v>0.14810535001986089</v>
      </c>
      <c r="I130" s="182">
        <f t="shared" si="18"/>
        <v>0.10241819361728739</v>
      </c>
      <c r="J130" s="183"/>
      <c r="K130" s="184"/>
      <c r="L130" s="105"/>
      <c r="M130" s="105" t="s">
        <v>258</v>
      </c>
      <c r="N130" s="105"/>
      <c r="O130" s="106">
        <v>91255868.739999995</v>
      </c>
      <c r="P130" s="145">
        <v>402</v>
      </c>
      <c r="Q130" s="146">
        <v>10358</v>
      </c>
      <c r="R130" s="108">
        <f t="shared" si="19"/>
        <v>0.0056380206528271783</v>
      </c>
      <c r="S130" s="108">
        <f t="shared" si="20"/>
        <v>0.0032389187353840522</v>
      </c>
      <c r="T130" s="109">
        <f t="shared" si="21"/>
        <v>0.0044384696941056154</v>
      </c>
      <c r="V130" s="14"/>
    </row>
    <row r="131">
      <c r="A131" s="180" t="s">
        <v>259</v>
      </c>
      <c r="B131" s="87">
        <v>17286647.010000002</v>
      </c>
      <c r="C131" s="88">
        <v>20</v>
      </c>
      <c r="D131" s="88">
        <v>3097</v>
      </c>
      <c r="E131" s="181">
        <f t="shared" si="15"/>
        <v>0.0010680132051363912</v>
      </c>
      <c r="F131" s="181">
        <f t="shared" si="16"/>
        <v>0.00083623768640400729</v>
      </c>
      <c r="G131" s="181">
        <f t="shared" si="17"/>
        <v>0.00095212544577019925</v>
      </c>
      <c r="H131" s="181">
        <f>AVERAGE($N$111,$T$111,$N$168:$N$173,$T$114,$T$116,$T$117,$T$118,$T$121,$T$122,$T$123,$T$125,$T$126,$T$127,$T$128,$T$129,$T$130,$T$131,$T$132,$T$133,$T$135,$T$136,$T$137,$T$138,$T$139,$T$140,$T$141,$T$142,$T$143,$T$149,$T$150,$T$151,$T$152,$T$155,$T$156,$T$157,$T$159,$T$160,$T$162,$T$163)</f>
        <v>0.08639228602004069</v>
      </c>
      <c r="I131" s="182">
        <f t="shared" si="18"/>
        <v>0.043672205732905443</v>
      </c>
      <c r="J131" s="183"/>
      <c r="K131" s="184"/>
      <c r="L131" s="105"/>
      <c r="M131" s="105" t="s">
        <v>260</v>
      </c>
      <c r="N131" s="105"/>
      <c r="O131" s="106">
        <v>80574296.650000006</v>
      </c>
      <c r="P131" s="145">
        <v>422</v>
      </c>
      <c r="Q131" s="146">
        <v>11251</v>
      </c>
      <c r="R131" s="108">
        <f t="shared" si="19"/>
        <v>0.0049780858466651184</v>
      </c>
      <c r="S131" s="108">
        <f t="shared" si="20"/>
        <v>0.0034988197993612432</v>
      </c>
      <c r="T131" s="109">
        <f t="shared" si="21"/>
        <v>0.0042384528230131804</v>
      </c>
      <c r="V131" s="14"/>
    </row>
    <row r="132">
      <c r="A132" s="180" t="s">
        <v>261</v>
      </c>
      <c r="B132" s="87">
        <v>1205974.6000000001</v>
      </c>
      <c r="C132" s="88">
        <v>27</v>
      </c>
      <c r="D132" s="88">
        <v>374</v>
      </c>
      <c r="E132" s="181">
        <f t="shared" si="15"/>
        <v>7.4508191039823703e-05</v>
      </c>
      <c r="F132" s="181">
        <f t="shared" si="16"/>
        <v>0.00013341964944587763</v>
      </c>
      <c r="G132" s="181">
        <f t="shared" si="17"/>
        <v>0.00010396392024285067</v>
      </c>
      <c r="H132" s="181">
        <f>AVERAGE($N$112,$T$112,$N$168:$N$173,$T$114,$T$116,$T$118,$T$121,$T$125,$T$126,$T$127,$T$128,$T$129,$T$130,$T$131,$T$132,$T$133,$T$135,$T$137,$T$138,$T$139,$T$140,$T$142,$T$143,$T$149,$T$150,$T$151,$T$152,$T$155,$T$156,$T$157,$T$159,$T$160,$T$162)</f>
        <v>0.095333361190271054</v>
      </c>
      <c r="I132" s="182">
        <f t="shared" si="18"/>
        <v>0.047718662555256953</v>
      </c>
      <c r="J132" s="183"/>
      <c r="K132" s="184"/>
      <c r="L132" s="105"/>
      <c r="M132" s="105" t="s">
        <v>262</v>
      </c>
      <c r="N132" s="105"/>
      <c r="O132" s="106">
        <v>155097568.84999999</v>
      </c>
      <c r="P132" s="154">
        <v>561</v>
      </c>
      <c r="Q132" s="146">
        <v>18753</v>
      </c>
      <c r="R132" s="108">
        <f t="shared" si="19"/>
        <v>0.0095823239475259347</v>
      </c>
      <c r="S132" s="108">
        <f t="shared" si="20"/>
        <v>0.0056439391562746362</v>
      </c>
      <c r="T132" s="109">
        <f t="shared" si="21"/>
        <v>0.0076131315519002854</v>
      </c>
      <c r="V132" s="14"/>
    </row>
    <row r="133">
      <c r="A133" s="180" t="s">
        <v>263</v>
      </c>
      <c r="B133" s="87">
        <v>71948378.079999998</v>
      </c>
      <c r="C133" s="88">
        <v>20</v>
      </c>
      <c r="D133" s="88">
        <v>8727</v>
      </c>
      <c r="E133" s="181">
        <f t="shared" si="15"/>
        <v>0.0044451545654362072</v>
      </c>
      <c r="F133" s="181">
        <f t="shared" si="16"/>
        <v>0.0023084587318953761</v>
      </c>
      <c r="G133" s="181">
        <f t="shared" si="17"/>
        <v>0.0033768066486657916</v>
      </c>
      <c r="H133" s="181">
        <f>AVERAGE($N$112,$T$112,$N$168:$N$173,$T$114,$T$115,$T$116,$T$118,$T$121,$T$122,$T$125,$T$126,$T$127,$T$128,$T$129,$T$130,$T$132,$T$137,$T$139,$T$140,$T$142,$T$150,$T$151,$T$152,$T$155,$T$156,$T$157,$T$160,$T$162,$T$163)</f>
        <v>0.10519289534631668</v>
      </c>
      <c r="I133" s="182">
        <f t="shared" si="18"/>
        <v>0.054284850997491238</v>
      </c>
      <c r="J133" s="183"/>
      <c r="K133" s="184"/>
      <c r="L133" s="105"/>
      <c r="M133" s="105" t="s">
        <v>264</v>
      </c>
      <c r="N133" s="105"/>
      <c r="O133" s="106">
        <v>61664486.539999999</v>
      </c>
      <c r="P133" s="145">
        <v>291</v>
      </c>
      <c r="Q133" s="146">
        <v>6079</v>
      </c>
      <c r="R133" s="108">
        <f t="shared" si="19"/>
        <v>0.0038097894793928141</v>
      </c>
      <c r="S133" s="108">
        <f t="shared" si="20"/>
        <v>0.0019735396741746721</v>
      </c>
      <c r="T133" s="109">
        <f t="shared" si="21"/>
        <v>0.0028916645767837431</v>
      </c>
      <c r="V133" s="14"/>
    </row>
    <row r="134">
      <c r="A134" s="180" t="s">
        <v>265</v>
      </c>
      <c r="B134" s="87">
        <v>10986934.380000001</v>
      </c>
      <c r="C134" s="88">
        <v>4</v>
      </c>
      <c r="D134" s="88">
        <v>2178</v>
      </c>
      <c r="E134" s="181">
        <f t="shared" si="15"/>
        <v>0.00067880086838234153</v>
      </c>
      <c r="F134" s="181">
        <f t="shared" si="16"/>
        <v>0.00057481480575377619</v>
      </c>
      <c r="G134" s="181">
        <f t="shared" si="17"/>
        <v>0.00062680783706805881</v>
      </c>
      <c r="H134" s="181">
        <f>AVERAGE($N$112,$T$112,$N$168:$N$173,$T$114,$T$116,$T$117,$T$118,$T$121,$T$122,$T$123,$T$125,$T$126,$T$127,$T$128,$T$129,$T$130,$T$131,$T$132,$T$133,$T$135,$T$137,$T$139,$T$140,$T$142,$T$143,$T$149,$T$150,$T$151,$T$152,$T$155,$T$156,$T$159,$T$160)</f>
        <v>0.09523438560655674</v>
      </c>
      <c r="I134" s="182">
        <f t="shared" si="18"/>
        <v>0.0479305967218124</v>
      </c>
      <c r="J134" s="183"/>
      <c r="K134" s="184"/>
      <c r="L134" s="105"/>
      <c r="M134" s="105" t="s">
        <v>266</v>
      </c>
      <c r="N134" s="105"/>
      <c r="O134" s="106">
        <v>47469.5</v>
      </c>
      <c r="P134" s="145">
        <v>4</v>
      </c>
      <c r="Q134" s="146">
        <v>11</v>
      </c>
      <c r="R134" s="108">
        <f t="shared" si="19"/>
        <v>2.9327869546878611e-06</v>
      </c>
      <c r="S134" s="108">
        <f t="shared" si="20"/>
        <v>8.1535258994606453e-06</v>
      </c>
      <c r="T134" s="109">
        <f t="shared" si="21"/>
        <v>5.5431564270742536e-06</v>
      </c>
      <c r="V134" s="14"/>
    </row>
    <row r="135" ht="64.5" customHeight="1">
      <c r="A135" s="180" t="s">
        <v>267</v>
      </c>
      <c r="B135" s="87">
        <v>575781541.20000005</v>
      </c>
      <c r="C135" s="88">
        <v>80</v>
      </c>
      <c r="D135" s="88">
        <v>75232</v>
      </c>
      <c r="E135" s="181">
        <f t="shared" si="15"/>
        <v>0.035573254253392833</v>
      </c>
      <c r="F135" s="181">
        <f t="shared" si="16"/>
        <v>0.01977838935713638</v>
      </c>
      <c r="G135" s="181">
        <f t="shared" si="17"/>
        <v>0.027675821805264608</v>
      </c>
      <c r="H135" s="181">
        <f>AVERAGE($N$113,$T$113,$N$168:$N$173,$T$114,$T$118,$T$121,$T$122,$T$123,$T$125,$T$126,$T$136,$T$137,$T$143,$T$152,$T$157,$T$159,$T$160)</f>
        <v>0.14745513016925907</v>
      </c>
      <c r="I135" s="182">
        <f t="shared" si="18"/>
        <v>0.087565475987261832</v>
      </c>
      <c r="J135" s="183"/>
      <c r="K135" s="184"/>
      <c r="L135" s="105"/>
      <c r="M135" s="105" t="s">
        <v>268</v>
      </c>
      <c r="N135" s="105"/>
      <c r="O135" s="106">
        <v>74444456.25</v>
      </c>
      <c r="P135" s="145">
        <v>296</v>
      </c>
      <c r="Q135" s="146">
        <v>11886</v>
      </c>
      <c r="R135" s="108">
        <f t="shared" si="19"/>
        <v>0.0045993686501612863</v>
      </c>
      <c r="S135" s="108">
        <f t="shared" si="20"/>
        <v>0.0034986418074447125</v>
      </c>
      <c r="T135" s="109">
        <f t="shared" si="21"/>
        <v>0.0040490052288029996</v>
      </c>
      <c r="V135" s="14"/>
    </row>
    <row r="136">
      <c r="A136" s="180" t="s">
        <v>269</v>
      </c>
      <c r="B136" s="87">
        <f>374675387.05+429735029.46</f>
        <v>804410416.50999999</v>
      </c>
      <c r="C136" s="88">
        <v>15</v>
      </c>
      <c r="D136" s="88">
        <f>31081+35651</f>
        <v>66732</v>
      </c>
      <c r="E136" s="181">
        <f t="shared" si="15"/>
        <v>0.049698530124723382</v>
      </c>
      <c r="F136" s="181">
        <f t="shared" si="16"/>
        <v>0.017469923091501929</v>
      </c>
      <c r="G136" s="181">
        <f t="shared" si="17"/>
        <v>0.033584226608112652</v>
      </c>
      <c r="H136" s="181">
        <f>AVERAGE($N$113,$T$113,$N$168:$N$173,$T$114,$T$116,$T$117,$T$118,$T$121,$T$122,$T$123,$T$125,$T$126,$T$127,$T$128,$T$129,$T$130,$T$131,$T$132,$T$133,$T$135,$T$137,$T$138,$T$139,$T$140,$T$142,$T$143,$T$149,$T$150,$T$151,$T$152,$T$155,$T$156,$T$157,$T$159,$T$160,$T$162,$T$163)</f>
        <v>0.083381825586398159</v>
      </c>
      <c r="I136" s="182">
        <f t="shared" si="18"/>
        <v>0.058483026097255406</v>
      </c>
      <c r="J136" s="183"/>
      <c r="K136" s="184"/>
      <c r="L136" s="105"/>
      <c r="M136" s="105" t="s">
        <v>270</v>
      </c>
      <c r="N136" s="105"/>
      <c r="O136" s="106">
        <v>8381310.7999999998</v>
      </c>
      <c r="P136" s="145">
        <v>64</v>
      </c>
      <c r="Q136" s="146">
        <v>763</v>
      </c>
      <c r="R136" s="108">
        <f t="shared" si="19"/>
        <v>0.00051781878843098149</v>
      </c>
      <c r="S136" s="108">
        <f t="shared" si="20"/>
        <v>0.00028395441682537272</v>
      </c>
      <c r="T136" s="109">
        <f t="shared" si="21"/>
        <v>0.00040088660262817711</v>
      </c>
      <c r="V136" s="14"/>
    </row>
    <row r="137" ht="16.5">
      <c r="A137" s="180" t="s">
        <v>271</v>
      </c>
      <c r="B137" s="87">
        <v>734877973.51999998</v>
      </c>
      <c r="C137" s="88">
        <v>74</v>
      </c>
      <c r="D137" s="88">
        <v>107041</v>
      </c>
      <c r="E137" s="181">
        <f t="shared" si="15"/>
        <v>0.045402638199831626</v>
      </c>
      <c r="F137" s="181">
        <f t="shared" si="16"/>
        <v>0.028088391907236665</v>
      </c>
      <c r="G137" s="181">
        <f t="shared" si="17"/>
        <v>0.036745515053534142</v>
      </c>
      <c r="H137" s="181">
        <f>AVERAGE($N$113,$T$113,$N$168:$N$173,$T$114,$T$116,$T$118,$T$121,$T$125,$T$127,$T$131,$T$132,$T$138,$T$139,$T$140,$T$143,$T$149,$T$151,$T$152,$T$155,$T$156,$T$157,$T$159,$T$160)</f>
        <v>0.12074788894198342</v>
      </c>
      <c r="I137" s="182">
        <f t="shared" si="18"/>
        <v>0.078746701997758781</v>
      </c>
      <c r="J137" s="183"/>
      <c r="K137" s="184"/>
      <c r="L137" s="105"/>
      <c r="M137" s="105" t="s">
        <v>272</v>
      </c>
      <c r="N137" s="105"/>
      <c r="O137" s="106">
        <v>364671555.31</v>
      </c>
      <c r="P137" s="145">
        <v>730</v>
      </c>
      <c r="Q137" s="146">
        <v>37061</v>
      </c>
      <c r="R137" s="108">
        <f t="shared" si="19"/>
        <v>0.022530340116472699</v>
      </c>
      <c r="S137" s="108">
        <f t="shared" si="20"/>
        <v>0.010654359581115457</v>
      </c>
      <c r="T137" s="109">
        <f t="shared" si="21"/>
        <v>0.016592349848794076</v>
      </c>
      <c r="V137" s="14"/>
    </row>
    <row r="138" ht="16.5">
      <c r="F138" s="188" t="s">
        <v>46</v>
      </c>
      <c r="G138" s="189">
        <f>AVERAGE(G108:G137)</f>
        <v>0.025041688874347625</v>
      </c>
      <c r="H138" s="189">
        <f>AVERAGE(H108:H137)</f>
        <v>0.12015413148989544</v>
      </c>
      <c r="I138" s="190">
        <f>IF((AVERAGE($G$138:$H$138)=AVERAGE($I$108:$I$137)),AVERAGE($G$138:$H$138),"ERROR")</f>
        <v>0.072597910182121528</v>
      </c>
      <c r="J138" s="183"/>
      <c r="K138" s="184"/>
      <c r="L138" s="105"/>
      <c r="M138" s="105" t="s">
        <v>273</v>
      </c>
      <c r="N138" s="105"/>
      <c r="O138" s="106">
        <v>83830661.299999997</v>
      </c>
      <c r="P138" s="145">
        <v>362</v>
      </c>
      <c r="Q138" s="146">
        <v>10010</v>
      </c>
      <c r="R138" s="108">
        <f t="shared" si="19"/>
        <v>0.0051792723720177486</v>
      </c>
      <c r="S138" s="108">
        <f t="shared" si="20"/>
        <v>0.0030951474890311961</v>
      </c>
      <c r="T138" s="109">
        <f t="shared" si="21"/>
        <v>0.0041372099305244728</v>
      </c>
      <c r="V138" s="14"/>
    </row>
    <row r="139">
      <c r="C139" s="3"/>
      <c r="D139" s="3"/>
      <c r="E139" s="117"/>
      <c r="J139" s="183"/>
      <c r="K139" s="184"/>
      <c r="L139" s="105"/>
      <c r="M139" s="105" t="s">
        <v>274</v>
      </c>
      <c r="N139" s="105"/>
      <c r="O139" s="106">
        <v>119376455.41</v>
      </c>
      <c r="P139" s="145">
        <v>412</v>
      </c>
      <c r="Q139" s="146">
        <v>12143</v>
      </c>
      <c r="R139" s="108">
        <f t="shared" si="19"/>
        <v>0.0073753823217713498</v>
      </c>
      <c r="S139" s="108">
        <f t="shared" si="20"/>
        <v>0.0037188813223265017</v>
      </c>
      <c r="T139" s="109">
        <f t="shared" si="21"/>
        <v>0.0055471318220489257</v>
      </c>
      <c r="V139" s="14"/>
    </row>
    <row r="140">
      <c r="C140" s="3"/>
      <c r="D140" s="3"/>
      <c r="E140" s="117"/>
      <c r="F140" s="117"/>
      <c r="G140" s="117"/>
      <c r="H140" s="117"/>
      <c r="I140" s="117"/>
      <c r="J140" s="183"/>
      <c r="K140" s="184"/>
      <c r="L140" s="105"/>
      <c r="M140" s="105" t="s">
        <v>275</v>
      </c>
      <c r="N140" s="105"/>
      <c r="O140" s="106">
        <v>148462676.15000001</v>
      </c>
      <c r="P140" s="145">
        <v>394</v>
      </c>
      <c r="Q140" s="146">
        <v>11481</v>
      </c>
      <c r="R140" s="108">
        <f t="shared" si="19"/>
        <v>0.00917240332994383</v>
      </c>
      <c r="S140" s="108">
        <f t="shared" si="20"/>
        <v>0.0035220243118422572</v>
      </c>
      <c r="T140" s="109">
        <f t="shared" si="21"/>
        <v>0.0063472138208930436</v>
      </c>
      <c r="V140" s="14"/>
    </row>
    <row r="141">
      <c r="C141" s="3"/>
      <c r="D141" s="3"/>
      <c r="E141" s="117"/>
      <c r="F141" s="117"/>
      <c r="G141" s="117"/>
      <c r="H141" s="117"/>
      <c r="I141" s="117"/>
      <c r="J141" s="183"/>
      <c r="K141" s="184"/>
      <c r="L141" s="105"/>
      <c r="M141" s="105" t="s">
        <v>276</v>
      </c>
      <c r="N141" s="105"/>
      <c r="O141" s="106">
        <v>979149.65000000002</v>
      </c>
      <c r="P141" s="145">
        <v>18</v>
      </c>
      <c r="Q141" s="146">
        <v>101</v>
      </c>
      <c r="R141" s="108">
        <f t="shared" si="19"/>
        <v>6.0494366281658433e-05</v>
      </c>
      <c r="S141" s="108">
        <f t="shared" si="20"/>
        <v>5.0157897425513494e-05</v>
      </c>
      <c r="T141" s="109">
        <f t="shared" si="21"/>
        <v>5.5326131853585964e-05</v>
      </c>
      <c r="V141" s="14"/>
    </row>
    <row r="142" ht="63.75" customHeight="1">
      <c r="A142" s="4"/>
      <c r="B142" s="110"/>
      <c r="C142" s="111"/>
      <c r="D142" s="111"/>
      <c r="E142" s="117"/>
      <c r="F142" s="117"/>
      <c r="G142" s="117"/>
      <c r="H142" s="117"/>
      <c r="I142" s="117"/>
      <c r="J142" s="183"/>
      <c r="K142" s="184"/>
      <c r="L142" s="105"/>
      <c r="M142" s="105" t="s">
        <v>277</v>
      </c>
      <c r="N142" s="105"/>
      <c r="O142" s="106">
        <v>86301899.359999999</v>
      </c>
      <c r="P142" s="145">
        <v>413</v>
      </c>
      <c r="Q142" s="146">
        <v>9262</v>
      </c>
      <c r="R142" s="108">
        <f t="shared" si="19"/>
        <v>0.0053319517713014174</v>
      </c>
      <c r="S142" s="108">
        <f t="shared" si="20"/>
        <v>0.0029668313485729948</v>
      </c>
      <c r="T142" s="109">
        <f t="shared" si="21"/>
        <v>0.0041493915599372065</v>
      </c>
      <c r="V142" s="14"/>
    </row>
    <row r="143">
      <c r="A143" s="4"/>
      <c r="B143" s="110"/>
      <c r="C143" s="111"/>
      <c r="D143" s="111"/>
      <c r="E143" s="117"/>
      <c r="F143" s="117"/>
      <c r="G143" s="117"/>
      <c r="H143" s="117"/>
      <c r="I143" s="117"/>
      <c r="J143" s="183"/>
      <c r="K143" s="184"/>
      <c r="L143" s="105"/>
      <c r="M143" s="105" t="s">
        <v>278</v>
      </c>
      <c r="N143" s="105"/>
      <c r="O143" s="106">
        <v>204765185.03999999</v>
      </c>
      <c r="P143" s="145">
        <v>605</v>
      </c>
      <c r="Q143" s="146">
        <v>25707</v>
      </c>
      <c r="R143" s="108">
        <f t="shared" si="19"/>
        <v>0.012650916134771968</v>
      </c>
      <c r="S143" s="108">
        <f t="shared" si="20"/>
        <v>0.007520428368138956</v>
      </c>
      <c r="T143" s="109">
        <f t="shared" si="21"/>
        <v>0.010085672251455461</v>
      </c>
      <c r="V143" s="14"/>
    </row>
    <row r="144">
      <c r="A144" s="4"/>
      <c r="B144" s="110"/>
      <c r="C144" s="111"/>
      <c r="D144" s="111"/>
      <c r="E144" s="117"/>
      <c r="F144" s="117"/>
      <c r="G144" s="117"/>
      <c r="H144" s="117"/>
      <c r="I144" s="117"/>
      <c r="J144" s="183"/>
      <c r="K144" s="184"/>
      <c r="L144" s="105"/>
      <c r="M144" s="105" t="s">
        <v>279</v>
      </c>
      <c r="N144" s="105"/>
      <c r="O144" s="106">
        <v>17116059.52</v>
      </c>
      <c r="P144" s="145">
        <v>39</v>
      </c>
      <c r="Q144" s="146">
        <v>1467</v>
      </c>
      <c r="R144" s="108">
        <f t="shared" si="19"/>
        <v>0.0010574738742964843</v>
      </c>
      <c r="S144" s="108">
        <f t="shared" si="20"/>
        <v>0.00043506571705915315</v>
      </c>
      <c r="T144" s="109">
        <f t="shared" si="21"/>
        <v>0.0007462697956778187</v>
      </c>
      <c r="V144" s="14"/>
    </row>
    <row r="145">
      <c r="J145" s="183"/>
      <c r="K145" s="184"/>
      <c r="L145" s="105"/>
      <c r="M145" s="105" t="s">
        <v>280</v>
      </c>
      <c r="N145" s="105"/>
      <c r="O145" s="106">
        <v>4805942.0700000003</v>
      </c>
      <c r="P145" s="145">
        <v>45</v>
      </c>
      <c r="Q145" s="146">
        <v>367</v>
      </c>
      <c r="R145" s="108">
        <f t="shared" si="19"/>
        <v>0.00029692337622855888</v>
      </c>
      <c r="S145" s="108">
        <f t="shared" si="20"/>
        <v>0.0001553360063894963</v>
      </c>
      <c r="T145" s="109">
        <f t="shared" si="21"/>
        <v>0.00022612969130902759</v>
      </c>
      <c r="V145" s="14"/>
    </row>
    <row r="146">
      <c r="J146" s="183"/>
      <c r="K146" s="184"/>
      <c r="L146" s="105"/>
      <c r="M146" s="105" t="s">
        <v>281</v>
      </c>
      <c r="N146" s="105"/>
      <c r="O146" s="106">
        <v>255134813.84</v>
      </c>
      <c r="P146" s="145">
        <v>445</v>
      </c>
      <c r="Q146" s="146">
        <v>35689</v>
      </c>
      <c r="R146" s="108">
        <f t="shared" si="19"/>
        <v>0.015762880454116179</v>
      </c>
      <c r="S146" s="108">
        <f t="shared" si="20"/>
        <v>0.0099195959886633801</v>
      </c>
      <c r="T146" s="109">
        <f t="shared" si="21"/>
        <v>0.012841238221389779</v>
      </c>
      <c r="V146" s="14"/>
    </row>
    <row r="147">
      <c r="J147" s="183"/>
      <c r="K147" s="184"/>
      <c r="L147" s="105"/>
      <c r="M147" s="105" t="s">
        <v>282</v>
      </c>
      <c r="N147" s="105"/>
      <c r="O147" s="106">
        <v>612944205.80999994</v>
      </c>
      <c r="P147" s="145">
        <v>506</v>
      </c>
      <c r="Q147" s="146">
        <v>68004</v>
      </c>
      <c r="R147" s="108">
        <f t="shared" si="19"/>
        <v>0.037869258592382035</v>
      </c>
      <c r="S147" s="108">
        <f t="shared" si="20"/>
        <v>0.018450306353598608</v>
      </c>
      <c r="T147" s="109">
        <f t="shared" si="21"/>
        <v>0.028159782472990322</v>
      </c>
      <c r="V147" s="14"/>
    </row>
    <row r="148">
      <c r="J148" s="183"/>
      <c r="K148" s="184"/>
      <c r="L148" s="105"/>
      <c r="M148" s="105" t="s">
        <v>283</v>
      </c>
      <c r="N148" s="105"/>
      <c r="O148" s="106">
        <v>64396802.689999998</v>
      </c>
      <c r="P148" s="145">
        <v>178</v>
      </c>
      <c r="Q148" s="146">
        <v>8737</v>
      </c>
      <c r="R148" s="108">
        <f t="shared" si="19"/>
        <v>0.0039785989499118409</v>
      </c>
      <c r="S148" s="108">
        <f t="shared" si="20"/>
        <v>0.0025195180610855131</v>
      </c>
      <c r="T148" s="109">
        <f t="shared" si="21"/>
        <v>0.0032490585054986768</v>
      </c>
      <c r="V148" s="14"/>
    </row>
    <row r="149">
      <c r="J149" s="183"/>
      <c r="K149" s="184"/>
      <c r="L149" s="105"/>
      <c r="M149" s="105" t="s">
        <v>284</v>
      </c>
      <c r="N149" s="105"/>
      <c r="O149" s="106">
        <v>176754610.18000001</v>
      </c>
      <c r="P149" s="145">
        <v>528</v>
      </c>
      <c r="Q149" s="146">
        <v>19970</v>
      </c>
      <c r="R149" s="108">
        <f t="shared" si="19"/>
        <v>0.010920351276437338</v>
      </c>
      <c r="S149" s="108">
        <f t="shared" si="20"/>
        <v>0.0059186436283929561</v>
      </c>
      <c r="T149" s="109">
        <f t="shared" si="21"/>
        <v>0.0084194974524151468</v>
      </c>
      <c r="V149" s="14"/>
    </row>
    <row r="150">
      <c r="J150" s="183"/>
      <c r="K150" s="184"/>
      <c r="L150" s="105"/>
      <c r="M150" s="105" t="s">
        <v>285</v>
      </c>
      <c r="N150" s="105"/>
      <c r="O150" s="106">
        <v>136858023.94</v>
      </c>
      <c r="P150" s="145">
        <v>395</v>
      </c>
      <c r="Q150" s="146">
        <v>18298</v>
      </c>
      <c r="R150" s="108">
        <f t="shared" si="19"/>
        <v>0.0084554382762740479</v>
      </c>
      <c r="S150" s="108">
        <f t="shared" si="20"/>
        <v>0.0053059600750648235</v>
      </c>
      <c r="T150" s="109">
        <f t="shared" si="21"/>
        <v>0.0068806991756694361</v>
      </c>
      <c r="V150" s="14"/>
    </row>
    <row r="151">
      <c r="J151" s="183"/>
      <c r="K151" s="184"/>
      <c r="L151" s="105"/>
      <c r="M151" s="105" t="s">
        <v>286</v>
      </c>
      <c r="N151" s="105"/>
      <c r="O151" s="106">
        <v>589646470.15999997</v>
      </c>
      <c r="P151" s="145">
        <v>862</v>
      </c>
      <c r="Q151" s="146">
        <v>62148</v>
      </c>
      <c r="R151" s="108">
        <f t="shared" si="19"/>
        <v>0.036429864977785588</v>
      </c>
      <c r="S151" s="108">
        <f t="shared" si="20"/>
        <v>0.017388646740189952</v>
      </c>
      <c r="T151" s="109">
        <f t="shared" si="21"/>
        <v>0.02690925585898777</v>
      </c>
      <c r="V151" s="14"/>
    </row>
    <row r="152">
      <c r="J152" s="183"/>
      <c r="K152" s="184"/>
      <c r="L152" s="105"/>
      <c r="M152" s="105" t="s">
        <v>287</v>
      </c>
      <c r="N152" s="105"/>
      <c r="O152" s="106">
        <v>290353132.58999997</v>
      </c>
      <c r="P152" s="145">
        <v>540</v>
      </c>
      <c r="Q152" s="146">
        <v>34675</v>
      </c>
      <c r="R152" s="108">
        <f t="shared" si="19"/>
        <v>0.017938758139704584</v>
      </c>
      <c r="S152" s="108">
        <f t="shared" si="20"/>
        <v>0.0097797697797057902</v>
      </c>
      <c r="T152" s="109">
        <f t="shared" si="21"/>
        <v>0.013859263959705187</v>
      </c>
      <c r="V152" s="14"/>
    </row>
    <row r="153">
      <c r="J153" s="183"/>
      <c r="K153" s="184"/>
      <c r="L153" s="105"/>
      <c r="M153" s="105" t="s">
        <v>288</v>
      </c>
      <c r="N153" s="105"/>
      <c r="O153" s="106">
        <v>18899823.699999999</v>
      </c>
      <c r="P153" s="145">
        <v>33</v>
      </c>
      <c r="Q153" s="146">
        <v>1759</v>
      </c>
      <c r="R153" s="108">
        <f t="shared" si="19"/>
        <v>0.0011676793813556168</v>
      </c>
      <c r="S153" s="108">
        <f t="shared" si="20"/>
        <v>0.00050350686560500437</v>
      </c>
      <c r="T153" s="109">
        <f t="shared" si="21"/>
        <v>0.00083559312348031054</v>
      </c>
      <c r="V153" s="14"/>
    </row>
    <row r="154">
      <c r="J154" s="183"/>
      <c r="K154" s="184"/>
      <c r="L154" s="105"/>
      <c r="M154" s="105" t="s">
        <v>289</v>
      </c>
      <c r="N154" s="105"/>
      <c r="O154" s="106">
        <v>20815879.760000002</v>
      </c>
      <c r="P154" s="145">
        <v>160</v>
      </c>
      <c r="Q154" s="146">
        <v>2086</v>
      </c>
      <c r="R154" s="108">
        <f t="shared" si="19"/>
        <v>0.0012860582186557492</v>
      </c>
      <c r="S154" s="108">
        <f t="shared" si="20"/>
        <v>0.0007565630325821191</v>
      </c>
      <c r="T154" s="109">
        <f t="shared" si="21"/>
        <v>0.0010213106256189341</v>
      </c>
      <c r="V154" s="14"/>
    </row>
    <row r="155">
      <c r="J155" s="183"/>
      <c r="K155" s="184"/>
      <c r="L155" s="105"/>
      <c r="M155" s="105" t="s">
        <v>290</v>
      </c>
      <c r="N155" s="105"/>
      <c r="O155" s="106">
        <v>502535597.17000002</v>
      </c>
      <c r="P155" s="145">
        <v>868</v>
      </c>
      <c r="Q155" s="146">
        <v>58305</v>
      </c>
      <c r="R155" s="108">
        <f t="shared" si="19"/>
        <v>0.031047932749374861</v>
      </c>
      <c r="S155" s="108">
        <f t="shared" si="20"/>
        <v>0.016391634200429207</v>
      </c>
      <c r="T155" s="109">
        <f t="shared" si="21"/>
        <v>0.023719783474902036</v>
      </c>
      <c r="V155" s="14"/>
    </row>
    <row r="156">
      <c r="J156" s="183"/>
      <c r="K156" s="184"/>
      <c r="L156" s="105"/>
      <c r="M156" s="105" t="s">
        <v>291</v>
      </c>
      <c r="N156" s="105"/>
      <c r="O156" s="106">
        <v>1932730482.3299999</v>
      </c>
      <c r="P156" s="145">
        <v>1157</v>
      </c>
      <c r="Q156" s="146">
        <v>263217</v>
      </c>
      <c r="R156" s="108">
        <f t="shared" si="19"/>
        <v>0.11940902570081845</v>
      </c>
      <c r="S156" s="108">
        <f t="shared" si="20"/>
        <v>0.070356518844147134</v>
      </c>
      <c r="T156" s="109">
        <f t="shared" si="21"/>
        <v>0.09488277227248279</v>
      </c>
      <c r="V156" s="14"/>
    </row>
    <row r="157">
      <c r="J157" s="183"/>
      <c r="K157" s="184"/>
      <c r="L157" s="105"/>
      <c r="M157" s="105" t="s">
        <v>292</v>
      </c>
      <c r="N157" s="105"/>
      <c r="O157" s="106">
        <v>80607671.420000002</v>
      </c>
      <c r="P157" s="145">
        <v>356</v>
      </c>
      <c r="Q157" s="146">
        <v>10131</v>
      </c>
      <c r="R157" s="108">
        <f t="shared" si="19"/>
        <v>0.0049801478252002136</v>
      </c>
      <c r="S157" s="108">
        <f t="shared" si="20"/>
        <v>0.0031188728651473808</v>
      </c>
      <c r="T157" s="109">
        <f t="shared" si="21"/>
        <v>0.0040495103451737968</v>
      </c>
      <c r="V157" s="14"/>
    </row>
    <row r="158">
      <c r="J158" s="183"/>
      <c r="K158" s="184"/>
      <c r="L158" s="105"/>
      <c r="M158" s="105" t="s">
        <v>293</v>
      </c>
      <c r="N158" s="105"/>
      <c r="O158" s="106">
        <v>46956.959999999999</v>
      </c>
      <c r="P158" s="145">
        <v>4</v>
      </c>
      <c r="Q158" s="146">
        <v>8</v>
      </c>
      <c r="R158" s="108">
        <f t="shared" si="19"/>
        <v>2.9011209243788051e-06</v>
      </c>
      <c r="S158" s="108">
        <f t="shared" si="20"/>
        <v>7.3690386638524568e-06</v>
      </c>
      <c r="T158" s="109">
        <f t="shared" si="21"/>
        <v>5.1350797941156314e-06</v>
      </c>
      <c r="V158" s="14"/>
    </row>
    <row r="159">
      <c r="J159" s="183"/>
      <c r="K159" s="184"/>
      <c r="L159" s="105"/>
      <c r="M159" s="105" t="s">
        <v>294</v>
      </c>
      <c r="N159" s="105"/>
      <c r="O159" s="106">
        <v>321133102.75</v>
      </c>
      <c r="P159" s="145">
        <v>677</v>
      </c>
      <c r="Q159" s="146">
        <v>37015</v>
      </c>
      <c r="R159" s="108">
        <f t="shared" si="19"/>
        <v>0.019840423313151317</v>
      </c>
      <c r="S159" s="108">
        <f t="shared" si="20"/>
        <v>0.010572409563531575</v>
      </c>
      <c r="T159" s="109">
        <f t="shared" si="21"/>
        <v>0.015206416438341447</v>
      </c>
      <c r="V159" s="14"/>
    </row>
    <row r="160">
      <c r="J160" s="183"/>
      <c r="K160" s="184"/>
      <c r="L160" s="105"/>
      <c r="M160" s="105" t="s">
        <v>295</v>
      </c>
      <c r="N160" s="105"/>
      <c r="O160" s="106">
        <v>1017667349.78</v>
      </c>
      <c r="P160" s="145">
        <v>1161</v>
      </c>
      <c r="Q160" s="146">
        <v>113933</v>
      </c>
      <c r="R160" s="108">
        <f t="shared" si="19"/>
        <v>0.062874088154426577</v>
      </c>
      <c r="S160" s="108">
        <f t="shared" si="20"/>
        <v>0.031324665090005054</v>
      </c>
      <c r="T160" s="109">
        <f t="shared" si="21"/>
        <v>0.047099376622215819</v>
      </c>
      <c r="V160" s="14"/>
    </row>
    <row r="161">
      <c r="J161" s="183"/>
      <c r="K161" s="184"/>
      <c r="L161" s="105"/>
      <c r="M161" s="105" t="s">
        <v>296</v>
      </c>
      <c r="N161" s="105"/>
      <c r="O161" s="106">
        <v>7148214.6299999999</v>
      </c>
      <c r="P161" s="145">
        <v>49</v>
      </c>
      <c r="Q161" s="146">
        <v>631</v>
      </c>
      <c r="R161" s="108">
        <f t="shared" si="19"/>
        <v>0.0004416349575237345</v>
      </c>
      <c r="S161" s="108">
        <f t="shared" si="20"/>
        <v>0.0002296479558252476</v>
      </c>
      <c r="T161" s="109">
        <f t="shared" si="21"/>
        <v>0.00033564145667449105</v>
      </c>
    </row>
    <row r="162">
      <c r="J162" s="183"/>
      <c r="K162" s="184"/>
      <c r="L162" s="105"/>
      <c r="M162" s="105" t="s">
        <v>297</v>
      </c>
      <c r="N162" s="105"/>
      <c r="O162" s="106">
        <v>80257444.530000001</v>
      </c>
      <c r="P162" s="145">
        <v>411</v>
      </c>
      <c r="Q162" s="146">
        <v>9385</v>
      </c>
      <c r="R162" s="108">
        <f t="shared" si="19"/>
        <v>0.0049585099134005755</v>
      </c>
      <c r="S162" s="108">
        <f t="shared" si="20"/>
        <v>0.0029963567888818153</v>
      </c>
      <c r="T162" s="109">
        <f t="shared" si="21"/>
        <v>0.003977433351141195</v>
      </c>
      <c r="V162" s="14"/>
    </row>
    <row r="163" ht="38.25" customHeight="1">
      <c r="J163" s="186"/>
      <c r="K163" s="184"/>
      <c r="L163" s="105"/>
      <c r="M163" s="105" t="s">
        <v>298</v>
      </c>
      <c r="N163" s="105"/>
      <c r="O163" s="106">
        <v>8381365.3300000001</v>
      </c>
      <c r="P163" s="145">
        <v>74</v>
      </c>
      <c r="Q163" s="146">
        <v>921</v>
      </c>
      <c r="R163" s="108">
        <f t="shared" si="19"/>
        <v>0.00051782215743365989</v>
      </c>
      <c r="S163" s="108">
        <f t="shared" si="20"/>
        <v>0.00033846342632298061</v>
      </c>
      <c r="T163" s="109">
        <f t="shared" si="21"/>
        <v>0.00042814279187832025</v>
      </c>
      <c r="V163" s="14"/>
    </row>
    <row r="164" ht="38.25">
      <c r="J164" s="187" t="s">
        <v>299</v>
      </c>
      <c r="K164" s="184" t="s">
        <v>300</v>
      </c>
      <c r="L164" s="105" t="s">
        <v>301</v>
      </c>
      <c r="M164" s="105" t="s">
        <v>302</v>
      </c>
      <c r="N164" s="105"/>
      <c r="O164" s="106">
        <f>SUM(O$156,O$154,O$143,O$125,O$123)</f>
        <v>3755763083.2100005</v>
      </c>
      <c r="P164" s="145">
        <f>SUM(P$156,P$154,P$143,P$125,P$123)</f>
        <v>3398</v>
      </c>
      <c r="Q164" s="146">
        <f>SUM(Q$156,Q$154,Q$143,Q$125,Q$123)</f>
        <v>488298</v>
      </c>
      <c r="R164" s="108">
        <f t="shared" si="19"/>
        <v>0.23204063609973874</v>
      </c>
      <c r="S164" s="108">
        <f t="shared" si="20"/>
        <v>0.13217072265154747</v>
      </c>
      <c r="T164" s="109">
        <f t="shared" si="21"/>
        <v>0.18210567937564309</v>
      </c>
      <c r="V164" s="14"/>
    </row>
    <row r="165" ht="25.5">
      <c r="J165" s="183"/>
      <c r="K165" s="184" t="s">
        <v>303</v>
      </c>
      <c r="L165" s="105" t="s">
        <v>304</v>
      </c>
      <c r="M165" s="105" t="s">
        <v>305</v>
      </c>
      <c r="N165" s="105"/>
      <c r="O165" s="106"/>
      <c r="P165" s="145"/>
      <c r="Q165" s="146"/>
      <c r="R165" s="108"/>
      <c r="S165" s="108"/>
      <c r="T165" s="109"/>
      <c r="V165" s="14"/>
    </row>
    <row r="166" ht="25.5">
      <c r="J166" s="183"/>
      <c r="K166" s="184" t="s">
        <v>306</v>
      </c>
      <c r="L166" s="105" t="s">
        <v>307</v>
      </c>
      <c r="M166" s="105" t="s">
        <v>308</v>
      </c>
      <c r="N166" s="105"/>
      <c r="O166" s="106"/>
      <c r="P166" s="145"/>
      <c r="Q166" s="146"/>
      <c r="R166" s="108"/>
      <c r="S166" s="108"/>
      <c r="T166" s="109"/>
      <c r="V166" s="14"/>
    </row>
    <row r="167" ht="51">
      <c r="J167" s="186"/>
      <c r="K167" s="184" t="s">
        <v>309</v>
      </c>
      <c r="L167" s="105" t="s">
        <v>310</v>
      </c>
      <c r="M167" s="105" t="s">
        <v>311</v>
      </c>
      <c r="N167" s="105"/>
      <c r="O167" s="106"/>
      <c r="P167" s="145"/>
      <c r="Q167" s="146"/>
      <c r="R167" s="108"/>
      <c r="S167" s="108"/>
      <c r="T167" s="109"/>
      <c r="V167" s="14"/>
    </row>
    <row r="168" ht="31.5">
      <c r="J168" s="191" t="s">
        <v>312</v>
      </c>
      <c r="K168" s="192"/>
      <c r="L168" s="193" t="s">
        <v>313</v>
      </c>
      <c r="M168" s="193" t="s">
        <v>314</v>
      </c>
      <c r="N168" s="194">
        <v>0.1832</v>
      </c>
      <c r="O168" s="195"/>
      <c r="P168" s="196"/>
      <c r="Q168" s="196"/>
      <c r="R168" s="197"/>
      <c r="S168" s="198"/>
      <c r="T168" s="199"/>
      <c r="V168" s="14"/>
    </row>
    <row r="169" ht="78.75">
      <c r="J169" s="200"/>
      <c r="K169" s="192"/>
      <c r="L169" s="193" t="s">
        <v>315</v>
      </c>
      <c r="M169" s="193" t="s">
        <v>316</v>
      </c>
      <c r="N169" s="201">
        <f>AVERAGE((1),(14*2),(31*3),(2*4))/100</f>
        <v>0.32500000000000001</v>
      </c>
      <c r="O169" s="195"/>
      <c r="P169" s="196"/>
      <c r="Q169" s="196"/>
      <c r="R169" s="197"/>
      <c r="S169" s="198"/>
      <c r="T169" s="199"/>
      <c r="V169" s="14"/>
    </row>
    <row r="170" ht="110.25" customHeight="1">
      <c r="J170" s="191" t="s">
        <v>317</v>
      </c>
      <c r="K170" s="192"/>
      <c r="L170" s="202" t="s">
        <v>318</v>
      </c>
      <c r="M170" s="193" t="s">
        <v>319</v>
      </c>
      <c r="N170" s="194">
        <v>0.68999999999999995</v>
      </c>
      <c r="O170" s="203"/>
      <c r="P170" s="196"/>
      <c r="Q170" s="196"/>
      <c r="R170" s="204"/>
      <c r="S170" s="204"/>
      <c r="T170" s="205"/>
      <c r="V170" s="14"/>
    </row>
    <row r="171" ht="94.5" customHeight="1">
      <c r="J171" s="206"/>
      <c r="K171" s="192"/>
      <c r="L171" s="202" t="s">
        <v>320</v>
      </c>
      <c r="M171" s="193" t="s">
        <v>321</v>
      </c>
      <c r="N171" s="194">
        <v>0.57999999999999996</v>
      </c>
      <c r="O171" s="203"/>
      <c r="P171" s="196"/>
      <c r="Q171" s="196"/>
      <c r="R171" s="204"/>
      <c r="S171" s="204"/>
      <c r="T171" s="205"/>
      <c r="V171" s="14"/>
    </row>
    <row r="172" ht="94.5">
      <c r="J172" s="200"/>
      <c r="K172" s="192"/>
      <c r="L172" s="202" t="s">
        <v>322</v>
      </c>
      <c r="M172" s="193" t="s">
        <v>323</v>
      </c>
      <c r="N172" s="194">
        <v>0.45419999999999999</v>
      </c>
      <c r="O172" s="203"/>
      <c r="P172" s="196"/>
      <c r="Q172" s="196"/>
      <c r="R172" s="204"/>
      <c r="S172" s="204"/>
      <c r="T172" s="205"/>
      <c r="V172" s="14"/>
    </row>
    <row r="173" ht="51">
      <c r="J173" s="207" t="s">
        <v>324</v>
      </c>
      <c r="K173" s="184"/>
      <c r="L173" s="105" t="s">
        <v>325</v>
      </c>
      <c r="M173" s="105" t="s">
        <v>326</v>
      </c>
      <c r="N173" s="194">
        <v>0.29039999999999999</v>
      </c>
      <c r="O173" s="208"/>
      <c r="P173" s="209"/>
      <c r="Q173" s="210"/>
      <c r="R173" s="158"/>
      <c r="S173" s="105"/>
      <c r="T173" s="159"/>
      <c r="V173" s="14"/>
    </row>
    <row r="174" ht="16.5">
      <c r="J174" s="211"/>
      <c r="K174" s="212"/>
      <c r="L174" s="124"/>
      <c r="M174" s="124"/>
      <c r="N174" s="124"/>
      <c r="O174" s="213"/>
      <c r="P174" s="214"/>
      <c r="Q174" s="215"/>
      <c r="R174" s="216"/>
      <c r="S174" s="124"/>
      <c r="T174" s="217"/>
      <c r="V174" s="14"/>
    </row>
    <row r="175">
      <c r="O175" s="218"/>
      <c r="V175" s="14"/>
    </row>
    <row r="176" ht="16.5">
      <c r="V176" s="14"/>
    </row>
    <row r="177" ht="61.5">
      <c r="B177" s="219" t="s">
        <v>17</v>
      </c>
      <c r="C177" s="220" t="s">
        <v>95</v>
      </c>
      <c r="D177" s="221" t="s">
        <v>18</v>
      </c>
      <c r="E177" s="222" t="s">
        <v>19</v>
      </c>
      <c r="F177" s="223" t="s">
        <v>20</v>
      </c>
      <c r="G177" s="222" t="s">
        <v>21</v>
      </c>
      <c r="H177" s="223" t="s">
        <v>22</v>
      </c>
      <c r="I177" s="224" t="s">
        <v>23</v>
      </c>
      <c r="V177" s="14"/>
    </row>
    <row r="178" ht="39">
      <c r="A178" s="72" t="s">
        <v>327</v>
      </c>
      <c r="B178" s="225"/>
      <c r="C178" s="136"/>
      <c r="D178" s="226">
        <f>(SUM($B$179:$B$181))/$A$5</f>
        <v>1</v>
      </c>
      <c r="E178" s="227">
        <f>(SUM($D$180:$D$182))/$C$5</f>
        <v>0</v>
      </c>
      <c r="F178" s="227">
        <f>+AVERAGE(SUM($E$179:$E$181),SUM($F$179:$F$181))</f>
        <v>1</v>
      </c>
      <c r="G178" s="135"/>
      <c r="H178" s="165"/>
      <c r="I178" s="166"/>
      <c r="J178" s="77" t="s">
        <v>26</v>
      </c>
      <c r="K178" s="78" t="s">
        <v>27</v>
      </c>
      <c r="L178" s="79" t="s">
        <v>28</v>
      </c>
      <c r="M178" s="80" t="s">
        <v>29</v>
      </c>
      <c r="N178" s="79" t="s">
        <v>30</v>
      </c>
      <c r="O178" s="80" t="s">
        <v>31</v>
      </c>
      <c r="P178" s="81" t="s">
        <v>10</v>
      </c>
      <c r="Q178" s="82" t="s">
        <v>32</v>
      </c>
      <c r="R178" s="83" t="s">
        <v>33</v>
      </c>
      <c r="S178" s="84" t="s">
        <v>34</v>
      </c>
      <c r="T178" s="85" t="s">
        <v>35</v>
      </c>
      <c r="V178" s="14"/>
    </row>
    <row r="179" ht="38.25">
      <c r="A179" s="86" t="s">
        <v>328</v>
      </c>
      <c r="B179" s="228">
        <f>A$5</f>
        <v>16185798945.99</v>
      </c>
      <c r="C179" s="229">
        <f t="shared" ref="C179:D190" si="22">B$5</f>
        <v>1897</v>
      </c>
      <c r="D179" s="229">
        <f t="shared" si="22"/>
        <v>1912077</v>
      </c>
      <c r="E179" s="181">
        <f>($B179)/$A$5</f>
        <v>1</v>
      </c>
      <c r="F179" s="181">
        <f>AVERAGE(($C179/$B$5),($D179/$C$5))</f>
        <v>1</v>
      </c>
      <c r="G179" s="181">
        <f>+AVERAGE(E179,F179)</f>
        <v>1</v>
      </c>
      <c r="H179" s="181">
        <f>(AVERAGE($T$179:$T$183))</f>
        <v>0.20018117412190356</v>
      </c>
      <c r="I179" s="230">
        <f>AVERAGE(G179:H179)</f>
        <v>0.60009058706095175</v>
      </c>
      <c r="J179" s="231" t="s">
        <v>329</v>
      </c>
      <c r="K179" s="93" t="s">
        <v>330</v>
      </c>
      <c r="L179" s="93" t="s">
        <v>331</v>
      </c>
      <c r="M179" s="93" t="s">
        <v>332</v>
      </c>
      <c r="N179" s="93"/>
      <c r="O179" s="232">
        <v>16185798945.99</v>
      </c>
      <c r="P179" s="95">
        <v>378998</v>
      </c>
      <c r="Q179" s="95">
        <v>1912077</v>
      </c>
      <c r="R179" s="96">
        <f t="shared" ref="R172:R193" si="23">(O179)/$A$5</f>
        <v>1</v>
      </c>
      <c r="S179" s="96">
        <f t="shared" ref="S172:S190" si="24">AVERAGE((P179/$D$5),(Q179/$C$5))</f>
        <v>1</v>
      </c>
      <c r="T179" s="97">
        <f t="shared" ref="T172:T193" si="25">+AVERAGE(R179,S179)</f>
        <v>1</v>
      </c>
      <c r="V179" s="14"/>
    </row>
    <row r="180" ht="38.25">
      <c r="A180" s="86"/>
      <c r="B180" s="233"/>
      <c r="C180" s="234"/>
      <c r="D180" s="234"/>
      <c r="E180" s="181"/>
      <c r="F180" s="181"/>
      <c r="G180" s="181"/>
      <c r="H180" s="181"/>
      <c r="I180" s="230"/>
      <c r="J180" s="121"/>
      <c r="K180" s="105"/>
      <c r="L180" s="105" t="s">
        <v>333</v>
      </c>
      <c r="M180" s="105" t="s">
        <v>334</v>
      </c>
      <c r="N180" s="105"/>
      <c r="O180" s="235">
        <v>7388049.7300000004</v>
      </c>
      <c r="P180" s="107">
        <v>70</v>
      </c>
      <c r="Q180" s="107">
        <v>84</v>
      </c>
      <c r="R180" s="108">
        <f t="shared" si="23"/>
        <v>0.00045645258257890172</v>
      </c>
      <c r="S180" s="108">
        <f t="shared" si="24"/>
        <v>0.00011431441488606514</v>
      </c>
      <c r="T180" s="109">
        <f t="shared" si="25"/>
        <v>0.00028538349873248343</v>
      </c>
      <c r="V180" s="14"/>
    </row>
    <row r="181" ht="26.25">
      <c r="A181" s="98"/>
      <c r="B181" s="236"/>
      <c r="C181" s="237"/>
      <c r="D181" s="237"/>
      <c r="E181" s="238"/>
      <c r="F181" s="238"/>
      <c r="G181" s="238"/>
      <c r="H181" s="238"/>
      <c r="I181" s="239"/>
      <c r="J181" s="121"/>
      <c r="K181" s="105" t="s">
        <v>335</v>
      </c>
      <c r="L181" s="105" t="s">
        <v>336</v>
      </c>
      <c r="M181" s="105" t="s">
        <v>337</v>
      </c>
      <c r="N181" s="105"/>
      <c r="O181" s="235">
        <v>1623583.28</v>
      </c>
      <c r="P181" s="107">
        <v>1</v>
      </c>
      <c r="Q181" s="107">
        <v>35</v>
      </c>
      <c r="R181" s="108">
        <f t="shared" si="23"/>
        <v>0.00010030912192951956</v>
      </c>
      <c r="S181" s="108">
        <f t="shared" si="24"/>
        <v>1.0471619257653198e-05</v>
      </c>
      <c r="T181" s="109">
        <f t="shared" si="25"/>
        <v>5.539037059358638e-05</v>
      </c>
      <c r="V181" s="14"/>
    </row>
    <row r="182" ht="63.75">
      <c r="A182" s="4"/>
      <c r="D182" s="3"/>
      <c r="E182" s="117"/>
      <c r="F182" s="113" t="s">
        <v>46</v>
      </c>
      <c r="G182" s="240">
        <f>AVERAGE(G179:G181)</f>
        <v>1</v>
      </c>
      <c r="H182" s="240">
        <f>AVERAGE(H179:H181)</f>
        <v>0.20018117412190356</v>
      </c>
      <c r="I182" s="241">
        <f>IF((AVERAGE($G$182:$H$182)=AVERAGE($I$179:$I$181)),AVERAGE($G$182:$H$182),"ERROR")</f>
        <v>0.60009058706095175</v>
      </c>
      <c r="J182" s="121"/>
      <c r="K182" s="105" t="s">
        <v>338</v>
      </c>
      <c r="L182" s="242" t="s">
        <v>339</v>
      </c>
      <c r="M182" s="105" t="s">
        <v>340</v>
      </c>
      <c r="N182" s="105"/>
      <c r="O182" s="235">
        <v>3957.5900000000001</v>
      </c>
      <c r="P182" s="107">
        <v>154</v>
      </c>
      <c r="Q182" s="107">
        <v>157</v>
      </c>
      <c r="R182" s="108">
        <f t="shared" si="23"/>
        <v>2.4451001851721909e-07</v>
      </c>
      <c r="S182" s="108">
        <f t="shared" si="24"/>
        <v>0.00024422213103270741</v>
      </c>
      <c r="T182" s="109">
        <f t="shared" si="25"/>
        <v>0.00012223332052561231</v>
      </c>
      <c r="V182" s="14"/>
    </row>
    <row r="183" ht="39">
      <c r="J183" s="243"/>
      <c r="K183" s="124" t="s">
        <v>341</v>
      </c>
      <c r="L183" s="244"/>
      <c r="M183" s="124" t="s">
        <v>342</v>
      </c>
      <c r="N183" s="124"/>
      <c r="O183" s="106">
        <v>7222980.25</v>
      </c>
      <c r="P183" s="107">
        <v>191</v>
      </c>
      <c r="Q183" s="107">
        <f>SUM(361,325,31)</f>
        <v>717</v>
      </c>
      <c r="R183" s="127">
        <f t="shared" si="23"/>
        <v>0.00044625416849067431</v>
      </c>
      <c r="S183" s="127">
        <f t="shared" si="24"/>
        <v>0.00043947267084186936</v>
      </c>
      <c r="T183" s="128">
        <f t="shared" si="25"/>
        <v>0.00044286341966627183</v>
      </c>
      <c r="V183" s="14"/>
    </row>
    <row r="184">
      <c r="V184" s="14"/>
    </row>
    <row r="185">
      <c r="V185" s="14"/>
    </row>
    <row r="186" ht="16.5">
      <c r="V186" s="14"/>
    </row>
    <row r="187" ht="61.5">
      <c r="B187" s="219" t="s">
        <v>17</v>
      </c>
      <c r="C187" s="220" t="s">
        <v>95</v>
      </c>
      <c r="D187" s="221" t="s">
        <v>18</v>
      </c>
      <c r="E187" s="222" t="s">
        <v>19</v>
      </c>
      <c r="F187" s="223" t="s">
        <v>20</v>
      </c>
      <c r="G187" s="222" t="s">
        <v>21</v>
      </c>
      <c r="H187" s="223" t="s">
        <v>22</v>
      </c>
      <c r="I187" s="224" t="s">
        <v>23</v>
      </c>
      <c r="S187" s="9"/>
      <c r="T187" s="5"/>
      <c r="V187" s="14"/>
    </row>
    <row r="188" ht="51" customHeight="1">
      <c r="A188" s="72" t="s">
        <v>343</v>
      </c>
      <c r="B188" s="225"/>
      <c r="C188" s="136"/>
      <c r="D188" s="226">
        <f>(SUM(B190:B191))/$A$5</f>
        <v>1</v>
      </c>
      <c r="E188" s="227">
        <f>(SUM(C190:C191))/$C$5</f>
        <v>0.0009921148572991569</v>
      </c>
      <c r="F188" s="227">
        <f>+AVERAGE(SUM($E$190:$E$191),SUM($F$190:$F$191))</f>
        <v>1</v>
      </c>
      <c r="G188" s="135"/>
      <c r="H188" s="165"/>
      <c r="I188" s="166"/>
      <c r="J188" s="167" t="s">
        <v>26</v>
      </c>
      <c r="K188" s="78" t="s">
        <v>27</v>
      </c>
      <c r="L188" s="79" t="s">
        <v>28</v>
      </c>
      <c r="M188" s="80" t="s">
        <v>29</v>
      </c>
      <c r="N188" s="79" t="s">
        <v>30</v>
      </c>
      <c r="O188" s="80" t="s">
        <v>31</v>
      </c>
      <c r="P188" s="81" t="s">
        <v>95</v>
      </c>
      <c r="Q188" s="82" t="s">
        <v>32</v>
      </c>
      <c r="R188" s="83" t="s">
        <v>33</v>
      </c>
      <c r="S188" s="84" t="s">
        <v>34</v>
      </c>
      <c r="T188" s="85" t="s">
        <v>35</v>
      </c>
      <c r="V188" s="14"/>
    </row>
    <row r="189" ht="51">
      <c r="A189" s="168"/>
      <c r="B189" s="245"/>
      <c r="C189" s="246"/>
      <c r="D189" s="247"/>
      <c r="E189" s="248"/>
      <c r="F189" s="248"/>
      <c r="G189" s="248"/>
      <c r="H189" s="248"/>
      <c r="I189" s="249"/>
      <c r="J189" s="231" t="s">
        <v>344</v>
      </c>
      <c r="K189" s="93" t="s">
        <v>345</v>
      </c>
      <c r="L189" s="93" t="s">
        <v>346</v>
      </c>
      <c r="M189" s="93" t="s">
        <v>347</v>
      </c>
      <c r="N189" s="93"/>
      <c r="O189" s="94">
        <v>12140783415.700001</v>
      </c>
      <c r="P189" s="143">
        <v>776</v>
      </c>
      <c r="Q189" s="144">
        <v>1486781</v>
      </c>
      <c r="R189" s="96">
        <f t="shared" si="23"/>
        <v>0.75008860892269125</v>
      </c>
      <c r="S189" s="96">
        <f t="shared" si="24"/>
        <v>0.38981065765249256</v>
      </c>
      <c r="T189" s="97">
        <f t="shared" si="25"/>
        <v>0.56994963328759196</v>
      </c>
      <c r="V189" s="14"/>
    </row>
    <row r="190" ht="51">
      <c r="A190" s="86" t="s">
        <v>348</v>
      </c>
      <c r="B190" s="228">
        <f>A$5</f>
        <v>16185798945.99</v>
      </c>
      <c r="C190" s="229">
        <f t="shared" si="22"/>
        <v>1897</v>
      </c>
      <c r="D190" s="229">
        <f t="shared" si="22"/>
        <v>1912077</v>
      </c>
      <c r="E190" s="181">
        <f>($B190)/$A$5</f>
        <v>1</v>
      </c>
      <c r="F190" s="181">
        <f>AVERAGE(($C190/$B$5),($D190/$C$5))</f>
        <v>1</v>
      </c>
      <c r="G190" s="181">
        <f>+AVERAGE(E190,F190)</f>
        <v>1</v>
      </c>
      <c r="H190" s="181">
        <f>(AVERAGE(T189:T194))</f>
        <v>0.28221889341840883</v>
      </c>
      <c r="I190" s="230">
        <f>AVERAGE(G190:H190)</f>
        <v>0.64110944670920444</v>
      </c>
      <c r="J190" s="121"/>
      <c r="K190" s="105" t="s">
        <v>349</v>
      </c>
      <c r="L190" s="105" t="s">
        <v>350</v>
      </c>
      <c r="M190" s="105" t="s">
        <v>351</v>
      </c>
      <c r="N190" s="105"/>
      <c r="O190" s="106">
        <v>4045015530</v>
      </c>
      <c r="P190" s="145">
        <v>1196</v>
      </c>
      <c r="Q190" s="146">
        <v>425296</v>
      </c>
      <c r="R190" s="108">
        <f t="shared" si="23"/>
        <v>0.24991139105939189</v>
      </c>
      <c r="S190" s="108">
        <f t="shared" si="24"/>
        <v>0.11279093918970713</v>
      </c>
      <c r="T190" s="109">
        <f t="shared" si="25"/>
        <v>0.18135116512454952</v>
      </c>
      <c r="V190" s="14"/>
    </row>
    <row r="191" ht="39">
      <c r="A191" s="98" t="s">
        <v>352</v>
      </c>
      <c r="B191" s="236"/>
      <c r="C191" s="237"/>
      <c r="D191" s="237"/>
      <c r="E191" s="238"/>
      <c r="F191" s="238"/>
      <c r="G191" s="238"/>
      <c r="H191" s="238"/>
      <c r="I191" s="239"/>
      <c r="J191" s="121"/>
      <c r="K191" s="105" t="s">
        <v>353</v>
      </c>
      <c r="L191" s="250" t="s">
        <v>354</v>
      </c>
      <c r="M191" s="251" t="s">
        <v>355</v>
      </c>
      <c r="N191" s="105"/>
      <c r="O191" s="106">
        <v>10575480000</v>
      </c>
      <c r="P191" s="252"/>
      <c r="Q191" s="253"/>
      <c r="R191" s="108">
        <f t="shared" si="23"/>
        <v>0.65338016586571124</v>
      </c>
      <c r="S191" s="108">
        <f>AVERAGE((Q191/$C$5))</f>
        <v>0</v>
      </c>
      <c r="T191" s="109">
        <f t="shared" si="25"/>
        <v>0.32669008293285562</v>
      </c>
      <c r="V191" s="14"/>
    </row>
    <row r="192" ht="25.5">
      <c r="A192" s="4"/>
      <c r="D192" s="3"/>
      <c r="E192" s="117"/>
      <c r="F192" s="113" t="s">
        <v>46</v>
      </c>
      <c r="G192" s="240">
        <f>AVERAGE(G190:G191)</f>
        <v>1</v>
      </c>
      <c r="H192" s="240">
        <f>AVERAGE(H190:H191)</f>
        <v>0.28221889341840883</v>
      </c>
      <c r="I192" s="241">
        <f>IF((AVERAGE($G$192:$H$192)=AVERAGE($I$190:$I$191)),AVERAGE($G$192:$H$192),"ERROR")</f>
        <v>0.64110944670920444</v>
      </c>
      <c r="J192" s="122"/>
      <c r="K192" s="155" t="s">
        <v>356</v>
      </c>
      <c r="L192" s="250" t="s">
        <v>357</v>
      </c>
      <c r="M192" s="251" t="s">
        <v>358</v>
      </c>
      <c r="N192" s="105"/>
      <c r="O192" s="153">
        <f>O$81+O$82</f>
        <v>4060287271.5500002</v>
      </c>
      <c r="P192" s="145">
        <f t="shared" ref="P192:Q192" si="26">P$81+P$82</f>
        <v>1090</v>
      </c>
      <c r="Q192" s="146">
        <f t="shared" si="26"/>
        <v>362446</v>
      </c>
      <c r="R192" s="108">
        <f t="shared" si="23"/>
        <v>0.250854918258819</v>
      </c>
      <c r="S192" s="108">
        <f>AVERAGE((P192/$D$5),(Q192/$C$5))</f>
        <v>0.096216089177106459</v>
      </c>
      <c r="T192" s="109">
        <f t="shared" si="25"/>
        <v>0.17353550371796272</v>
      </c>
      <c r="V192" s="14"/>
    </row>
    <row r="193" ht="38.25">
      <c r="F193" s="152"/>
      <c r="G193" s="117"/>
      <c r="H193" s="117"/>
      <c r="I193" s="117"/>
      <c r="J193" s="120" t="s">
        <v>359</v>
      </c>
      <c r="K193" s="155" t="s">
        <v>360</v>
      </c>
      <c r="L193" s="250" t="s">
        <v>361</v>
      </c>
      <c r="M193" s="251" t="s">
        <v>362</v>
      </c>
      <c r="N193" s="105"/>
      <c r="O193" s="106">
        <v>5165473787.8400002</v>
      </c>
      <c r="P193" s="252"/>
      <c r="Q193" s="253"/>
      <c r="R193" s="108">
        <f t="shared" si="23"/>
        <v>0.3191361640581688</v>
      </c>
      <c r="S193" s="108">
        <f>AVERAGE((Q193/$C$5))</f>
        <v>0</v>
      </c>
      <c r="T193" s="109">
        <f t="shared" si="25"/>
        <v>0.1595680820290844</v>
      </c>
      <c r="V193" s="14"/>
    </row>
    <row r="194" ht="51.75">
      <c r="J194" s="160" t="s">
        <v>363</v>
      </c>
      <c r="K194" s="254" t="s">
        <v>356</v>
      </c>
      <c r="L194" s="255"/>
      <c r="M194" s="256" t="s">
        <v>364</v>
      </c>
      <c r="N194" s="124"/>
      <c r="O194" s="257"/>
      <c r="P194" s="161"/>
      <c r="Q194" s="162"/>
      <c r="R194" s="127"/>
      <c r="S194" s="127"/>
      <c r="T194" s="128"/>
      <c r="V194" s="14"/>
    </row>
    <row r="195">
      <c r="O195" s="258"/>
      <c r="P195" s="259"/>
      <c r="Q195" s="260"/>
      <c r="V195" s="14"/>
    </row>
    <row r="196">
      <c r="V196" s="14"/>
    </row>
    <row r="197">
      <c r="V197" s="14"/>
    </row>
    <row r="198">
      <c r="V198" s="14"/>
    </row>
    <row r="199">
      <c r="V199" s="14"/>
    </row>
    <row r="200">
      <c r="V200" s="14"/>
    </row>
    <row r="201">
      <c r="V201" s="14"/>
    </row>
    <row r="202">
      <c r="V202" s="14"/>
    </row>
    <row r="203">
      <c r="V203" s="14"/>
    </row>
    <row r="204">
      <c r="V204" s="14"/>
    </row>
    <row r="205">
      <c r="V205" s="14"/>
    </row>
    <row r="206">
      <c r="V206" s="14"/>
    </row>
    <row r="207">
      <c r="V207" s="14"/>
    </row>
    <row r="208">
      <c r="V208" s="14"/>
    </row>
    <row r="209">
      <c r="V209" s="14"/>
    </row>
    <row r="210">
      <c r="V210" s="14"/>
    </row>
    <row r="211">
      <c r="V211" s="14"/>
    </row>
    <row r="212">
      <c r="V212" s="14"/>
    </row>
    <row r="213">
      <c r="V213" s="14"/>
    </row>
    <row r="214">
      <c r="V214" s="14"/>
    </row>
    <row r="215">
      <c r="V215" s="14"/>
    </row>
    <row r="216">
      <c r="V216" s="14"/>
    </row>
    <row r="217">
      <c r="V217" s="14"/>
    </row>
    <row r="218">
      <c r="V218" s="14"/>
    </row>
    <row r="219">
      <c r="V219" s="14"/>
    </row>
    <row r="220">
      <c r="V220" s="14"/>
    </row>
    <row r="221">
      <c r="V221" s="14"/>
    </row>
    <row r="222">
      <c r="V222" s="14"/>
    </row>
    <row r="223">
      <c r="V223" s="14"/>
    </row>
    <row r="224">
      <c r="V224" s="14"/>
    </row>
    <row r="225">
      <c r="V225" s="14"/>
    </row>
    <row r="226">
      <c r="V226" s="14"/>
    </row>
    <row r="227">
      <c r="V227" s="14"/>
    </row>
    <row r="228">
      <c r="V228" s="14"/>
    </row>
    <row r="229">
      <c r="V229" s="14"/>
    </row>
    <row r="230">
      <c r="V230" s="14"/>
    </row>
    <row r="231">
      <c r="V231" s="14"/>
    </row>
    <row r="232">
      <c r="V232" s="14"/>
    </row>
    <row r="233">
      <c r="V233" s="14"/>
    </row>
    <row r="234">
      <c r="V234" s="14"/>
    </row>
    <row r="235">
      <c r="V235" s="14"/>
    </row>
    <row r="236">
      <c r="V236" s="14"/>
    </row>
    <row r="237">
      <c r="V237" s="14"/>
    </row>
    <row r="238">
      <c r="V238" s="14"/>
    </row>
    <row r="239">
      <c r="V239" s="14"/>
    </row>
    <row r="240">
      <c r="V240" s="14"/>
    </row>
    <row r="241">
      <c r="V241" s="14"/>
    </row>
    <row r="242">
      <c r="V242" s="14"/>
    </row>
    <row r="243">
      <c r="V243" s="14"/>
    </row>
    <row r="244">
      <c r="V244" s="14"/>
    </row>
    <row r="245">
      <c r="V245" s="14"/>
    </row>
    <row r="246">
      <c r="V246" s="14"/>
    </row>
    <row r="247">
      <c r="V247" s="14"/>
    </row>
    <row r="248">
      <c r="V248" s="14"/>
    </row>
    <row r="249">
      <c r="V249" s="14"/>
    </row>
    <row r="250">
      <c r="V250" s="14"/>
    </row>
    <row r="251">
      <c r="V251" s="14"/>
    </row>
    <row r="252">
      <c r="V252" s="14"/>
    </row>
    <row r="253">
      <c r="V253" s="14"/>
    </row>
    <row r="254">
      <c r="V254" s="14"/>
    </row>
    <row r="255">
      <c r="V255" s="14"/>
    </row>
    <row r="256">
      <c r="V256" s="14"/>
    </row>
    <row r="257">
      <c r="V257" s="14"/>
    </row>
    <row r="258">
      <c r="V258" s="14"/>
    </row>
    <row r="259">
      <c r="V259" s="14"/>
    </row>
    <row r="260">
      <c r="V260" s="14"/>
    </row>
    <row r="261">
      <c r="V261" s="14"/>
    </row>
    <row r="262">
      <c r="V262" s="14"/>
    </row>
    <row r="263">
      <c r="V263" s="14"/>
    </row>
    <row r="264">
      <c r="V264" s="14"/>
    </row>
    <row r="265">
      <c r="V265" s="14"/>
    </row>
    <row r="266">
      <c r="V266" s="14"/>
    </row>
    <row r="267">
      <c r="V267" s="14"/>
    </row>
    <row r="268">
      <c r="V268" s="14"/>
    </row>
    <row r="269">
      <c r="V269" s="14"/>
    </row>
    <row r="270">
      <c r="V270" s="14"/>
    </row>
    <row r="271">
      <c r="V271" s="14"/>
    </row>
    <row r="272">
      <c r="V272" s="14"/>
    </row>
    <row r="273">
      <c r="V273" s="14"/>
    </row>
    <row r="274">
      <c r="V274" s="14"/>
    </row>
    <row r="275">
      <c r="V275" s="14"/>
    </row>
    <row r="276">
      <c r="V276" s="14"/>
    </row>
    <row r="277">
      <c r="V277" s="14"/>
    </row>
    <row r="278">
      <c r="V278" s="14"/>
    </row>
    <row r="279">
      <c r="V279" s="14"/>
    </row>
    <row r="280">
      <c r="V280" s="14"/>
    </row>
    <row r="281">
      <c r="V281" s="14"/>
    </row>
    <row r="282">
      <c r="V282" s="14"/>
    </row>
    <row r="283">
      <c r="V283" s="14"/>
    </row>
    <row r="284">
      <c r="V284" s="14"/>
    </row>
    <row r="285">
      <c r="V285" s="14"/>
    </row>
    <row r="286">
      <c r="V286" s="14"/>
    </row>
    <row r="287">
      <c r="V287" s="14"/>
    </row>
    <row r="288">
      <c r="V288" s="14"/>
    </row>
    <row r="289">
      <c r="V289" s="14"/>
    </row>
    <row r="290">
      <c r="V290" s="14"/>
    </row>
    <row r="291">
      <c r="V291" s="14"/>
    </row>
    <row r="292">
      <c r="V292" s="14"/>
    </row>
    <row r="293">
      <c r="V293" s="14"/>
    </row>
    <row r="294">
      <c r="V294" s="14"/>
    </row>
    <row r="295">
      <c r="V295" s="14"/>
    </row>
    <row r="296">
      <c r="V296" s="14"/>
    </row>
    <row r="297">
      <c r="V297" s="14"/>
    </row>
    <row r="298">
      <c r="V298" s="14"/>
    </row>
    <row r="299">
      <c r="V299" s="14"/>
    </row>
    <row r="300">
      <c r="V300" s="14"/>
    </row>
    <row r="301">
      <c r="V301" s="14"/>
    </row>
    <row r="302">
      <c r="V302" s="14"/>
    </row>
    <row r="303">
      <c r="V303" s="14"/>
    </row>
    <row r="304">
      <c r="V304" s="14"/>
    </row>
    <row r="305">
      <c r="V305" s="14"/>
    </row>
    <row r="306">
      <c r="V306" s="14"/>
    </row>
    <row r="307">
      <c r="V307" s="14"/>
    </row>
    <row r="308">
      <c r="V308" s="14"/>
    </row>
    <row r="309">
      <c r="V309" s="14"/>
    </row>
    <row r="310">
      <c r="V310" s="14"/>
    </row>
    <row r="311">
      <c r="V311" s="14"/>
    </row>
    <row r="312">
      <c r="V312" s="14"/>
    </row>
    <row r="313">
      <c r="V313" s="14"/>
    </row>
    <row r="314">
      <c r="V314" s="14"/>
    </row>
    <row r="315">
      <c r="V315" s="14"/>
    </row>
    <row r="316">
      <c r="V316" s="14"/>
    </row>
    <row r="317">
      <c r="V317" s="14"/>
    </row>
    <row r="318">
      <c r="V318" s="14"/>
    </row>
    <row r="319">
      <c r="V319" s="14"/>
    </row>
    <row r="320">
      <c r="V320" s="14"/>
    </row>
    <row r="321">
      <c r="V321" s="14"/>
    </row>
    <row r="322">
      <c r="V322" s="14"/>
    </row>
    <row r="323">
      <c r="V323" s="14"/>
    </row>
    <row r="324">
      <c r="V324" s="14"/>
    </row>
    <row r="325">
      <c r="V325" s="14"/>
    </row>
    <row r="326">
      <c r="V326" s="14"/>
    </row>
    <row r="327">
      <c r="V327" s="14"/>
    </row>
    <row r="328">
      <c r="V328" s="14"/>
    </row>
    <row r="329">
      <c r="V329" s="14"/>
    </row>
    <row r="330">
      <c r="V330" s="14"/>
    </row>
    <row r="331">
      <c r="V331" s="14"/>
    </row>
    <row r="332">
      <c r="V332" s="14"/>
    </row>
    <row r="333">
      <c r="V333" s="14"/>
    </row>
    <row r="334">
      <c r="V334" s="14"/>
    </row>
    <row r="335">
      <c r="V335" s="14"/>
    </row>
    <row r="336">
      <c r="V336" s="14"/>
    </row>
    <row r="337">
      <c r="V337" s="14"/>
    </row>
    <row r="338">
      <c r="V338" s="14"/>
    </row>
    <row r="339">
      <c r="V339" s="14"/>
    </row>
    <row r="340">
      <c r="V340" s="14"/>
    </row>
    <row r="341">
      <c r="V341" s="14"/>
    </row>
    <row r="342">
      <c r="V342" s="14"/>
    </row>
    <row r="343">
      <c r="V343" s="14"/>
    </row>
    <row r="344">
      <c r="V344" s="14"/>
    </row>
    <row r="345">
      <c r="V345" s="14"/>
    </row>
    <row r="346">
      <c r="V346" s="14"/>
    </row>
    <row r="347">
      <c r="V347" s="14"/>
    </row>
    <row r="348">
      <c r="V348" s="14"/>
    </row>
    <row r="349">
      <c r="V349" s="14"/>
    </row>
    <row r="350">
      <c r="V350" s="14"/>
    </row>
    <row r="351">
      <c r="V351" s="14"/>
    </row>
    <row r="352">
      <c r="V352" s="14"/>
    </row>
    <row r="353">
      <c r="V353" s="14"/>
    </row>
    <row r="354">
      <c r="V354" s="14"/>
    </row>
    <row r="355">
      <c r="V355" s="14"/>
    </row>
    <row r="356">
      <c r="V356" s="14"/>
    </row>
    <row r="357">
      <c r="V357" s="14"/>
    </row>
    <row r="358">
      <c r="V358" s="14"/>
    </row>
    <row r="359">
      <c r="V359" s="14"/>
    </row>
    <row r="360">
      <c r="V360" s="14"/>
    </row>
    <row r="361">
      <c r="V361" s="14"/>
    </row>
    <row r="362">
      <c r="V362" s="14"/>
    </row>
    <row r="363">
      <c r="V363" s="14"/>
    </row>
    <row r="364">
      <c r="V364" s="14"/>
    </row>
    <row r="365">
      <c r="V365" s="14"/>
    </row>
    <row r="366">
      <c r="V366" s="14"/>
    </row>
    <row r="367">
      <c r="V367" s="14"/>
    </row>
    <row r="368">
      <c r="V368" s="14"/>
    </row>
    <row r="369">
      <c r="V369" s="14"/>
    </row>
    <row r="370">
      <c r="V370" s="14"/>
    </row>
    <row r="371">
      <c r="V371" s="14"/>
    </row>
    <row r="372">
      <c r="V372" s="14"/>
    </row>
    <row r="373">
      <c r="V373" s="14"/>
    </row>
    <row r="374">
      <c r="V374" s="14"/>
    </row>
    <row r="375">
      <c r="V375" s="14"/>
    </row>
    <row r="376">
      <c r="V376" s="14"/>
    </row>
    <row r="377">
      <c r="V377" s="14"/>
    </row>
    <row r="378">
      <c r="V378" s="14"/>
    </row>
    <row r="379">
      <c r="V379" s="14"/>
    </row>
    <row r="380">
      <c r="V380" s="14"/>
    </row>
    <row r="381">
      <c r="V381" s="14"/>
    </row>
    <row r="382">
      <c r="V382" s="14"/>
    </row>
    <row r="383">
      <c r="V383" s="14"/>
    </row>
    <row r="384">
      <c r="V384" s="14"/>
    </row>
    <row r="385">
      <c r="V385" s="14"/>
    </row>
    <row r="386">
      <c r="V386" s="14"/>
    </row>
    <row r="387">
      <c r="V387" s="14"/>
    </row>
    <row r="388">
      <c r="V388" s="14"/>
    </row>
    <row r="389">
      <c r="V389" s="14"/>
    </row>
    <row r="390">
      <c r="V390" s="14"/>
    </row>
    <row r="391">
      <c r="V391" s="14"/>
    </row>
    <row r="392">
      <c r="V392" s="14"/>
    </row>
    <row r="393">
      <c r="V393" s="14"/>
    </row>
    <row r="394">
      <c r="V394" s="14"/>
    </row>
    <row r="395">
      <c r="V395" s="14"/>
    </row>
    <row r="396">
      <c r="V396" s="14"/>
    </row>
    <row r="397">
      <c r="V397" s="14"/>
    </row>
    <row r="398">
      <c r="V398" s="14"/>
    </row>
    <row r="399">
      <c r="V399" s="14"/>
    </row>
    <row r="400">
      <c r="V400" s="14"/>
    </row>
    <row r="401">
      <c r="V401" s="14"/>
    </row>
    <row r="402">
      <c r="V402" s="14"/>
    </row>
    <row r="403">
      <c r="V403" s="14"/>
    </row>
    <row r="404">
      <c r="V404" s="14"/>
    </row>
    <row r="405">
      <c r="V405" s="14"/>
    </row>
    <row r="406">
      <c r="V406" s="14"/>
    </row>
    <row r="407">
      <c r="V407" s="14"/>
    </row>
    <row r="408">
      <c r="V408" s="14"/>
    </row>
    <row r="409">
      <c r="V409" s="14"/>
    </row>
    <row r="410">
      <c r="V410" s="14"/>
    </row>
    <row r="411">
      <c r="V411" s="14"/>
    </row>
    <row r="412">
      <c r="V412" s="14"/>
    </row>
    <row r="413">
      <c r="V413" s="14"/>
    </row>
    <row r="414">
      <c r="V414" s="14"/>
    </row>
    <row r="415">
      <c r="V415" s="14"/>
    </row>
    <row r="416">
      <c r="V416" s="14"/>
    </row>
    <row r="417">
      <c r="V417" s="14"/>
    </row>
    <row r="418">
      <c r="V418" s="14"/>
    </row>
    <row r="419">
      <c r="V419" s="14"/>
    </row>
    <row r="420">
      <c r="V420" s="14"/>
    </row>
    <row r="421">
      <c r="V421" s="14"/>
    </row>
    <row r="422">
      <c r="V422" s="14"/>
    </row>
    <row r="423">
      <c r="V423" s="14"/>
    </row>
    <row r="424">
      <c r="V424" s="14"/>
    </row>
    <row r="425">
      <c r="V425" s="14"/>
    </row>
    <row r="426">
      <c r="V426" s="14"/>
    </row>
    <row r="427">
      <c r="V427" s="14"/>
    </row>
    <row r="428">
      <c r="V428" s="14"/>
    </row>
    <row r="429">
      <c r="V429" s="14"/>
    </row>
    <row r="430">
      <c r="V430" s="14"/>
    </row>
    <row r="431">
      <c r="V431" s="14"/>
    </row>
    <row r="432">
      <c r="V432" s="14"/>
    </row>
    <row r="433">
      <c r="V433" s="14"/>
    </row>
    <row r="434">
      <c r="V434" s="14"/>
    </row>
    <row r="435">
      <c r="V435" s="14"/>
    </row>
    <row r="436">
      <c r="V436" s="14"/>
    </row>
    <row r="437">
      <c r="V437" s="14"/>
    </row>
    <row r="438">
      <c r="V438" s="14"/>
    </row>
    <row r="439">
      <c r="V439" s="14"/>
    </row>
    <row r="440">
      <c r="V440" s="14"/>
    </row>
    <row r="441">
      <c r="V441" s="14"/>
    </row>
    <row r="442">
      <c r="V442" s="14"/>
    </row>
    <row r="443">
      <c r="V443" s="14"/>
    </row>
    <row r="444">
      <c r="V444" s="14"/>
    </row>
    <row r="445">
      <c r="V445" s="14"/>
    </row>
    <row r="446">
      <c r="V446" s="14"/>
    </row>
    <row r="447">
      <c r="V447" s="14"/>
    </row>
    <row r="448">
      <c r="V448" s="14"/>
    </row>
    <row r="449">
      <c r="V449" s="14"/>
    </row>
    <row r="450">
      <c r="V450" s="14"/>
    </row>
    <row r="451">
      <c r="V451" s="14"/>
    </row>
    <row r="452">
      <c r="V452" s="14"/>
    </row>
    <row r="453">
      <c r="V453" s="14"/>
    </row>
    <row r="454">
      <c r="V454" s="14"/>
    </row>
    <row r="455">
      <c r="V455" s="14"/>
    </row>
    <row r="456">
      <c r="V456" s="14"/>
    </row>
    <row r="457">
      <c r="V457" s="14"/>
    </row>
    <row r="458">
      <c r="V458" s="14"/>
    </row>
    <row r="459">
      <c r="V459" s="14"/>
    </row>
    <row r="460">
      <c r="V460" s="14"/>
    </row>
    <row r="461">
      <c r="V461" s="14"/>
    </row>
    <row r="462">
      <c r="V462" s="14"/>
    </row>
    <row r="463">
      <c r="V463" s="14"/>
    </row>
    <row r="464">
      <c r="V464" s="14"/>
    </row>
    <row r="465">
      <c r="V465" s="14"/>
    </row>
    <row r="466">
      <c r="V466" s="14"/>
    </row>
    <row r="467">
      <c r="V467" s="14"/>
    </row>
    <row r="468">
      <c r="V468" s="14"/>
    </row>
    <row r="469">
      <c r="V469" s="14"/>
    </row>
    <row r="470">
      <c r="V470" s="14"/>
    </row>
    <row r="471">
      <c r="V471" s="14"/>
    </row>
    <row r="472">
      <c r="V472" s="14"/>
    </row>
    <row r="473">
      <c r="V473" s="14"/>
    </row>
    <row r="474">
      <c r="V474" s="14"/>
    </row>
    <row r="475">
      <c r="V475" s="14"/>
    </row>
    <row r="476">
      <c r="V476" s="14"/>
    </row>
    <row r="477">
      <c r="V477" s="14"/>
    </row>
    <row r="478">
      <c r="V478" s="14"/>
    </row>
    <row r="479">
      <c r="V479" s="14"/>
    </row>
    <row r="480">
      <c r="V480" s="14"/>
    </row>
    <row r="481">
      <c r="V481" s="14"/>
    </row>
    <row r="482">
      <c r="V482" s="14"/>
    </row>
    <row r="483">
      <c r="V483" s="14"/>
    </row>
    <row r="484">
      <c r="V484" s="14"/>
    </row>
    <row r="485">
      <c r="V485" s="14"/>
    </row>
    <row r="486">
      <c r="V486" s="14"/>
    </row>
    <row r="487">
      <c r="V487" s="14"/>
    </row>
    <row r="488">
      <c r="V488" s="14"/>
    </row>
    <row r="489">
      <c r="V489" s="14"/>
    </row>
    <row r="490">
      <c r="V490" s="14"/>
    </row>
    <row r="491">
      <c r="V491" s="14"/>
    </row>
    <row r="492">
      <c r="V492" s="14"/>
    </row>
    <row r="493">
      <c r="V493" s="14"/>
    </row>
    <row r="494">
      <c r="V494" s="14"/>
    </row>
    <row r="495">
      <c r="V495" s="14"/>
    </row>
    <row r="496">
      <c r="V496" s="14"/>
    </row>
    <row r="497">
      <c r="V497" s="14"/>
    </row>
    <row r="498">
      <c r="V498" s="14"/>
    </row>
    <row r="499">
      <c r="V499" s="14"/>
    </row>
    <row r="500">
      <c r="V500" s="14"/>
    </row>
    <row r="501">
      <c r="V501" s="14"/>
    </row>
    <row r="502">
      <c r="V502" s="14"/>
    </row>
    <row r="503">
      <c r="V503" s="14"/>
    </row>
    <row r="504">
      <c r="V504" s="14"/>
    </row>
    <row r="505">
      <c r="V505" s="14"/>
    </row>
    <row r="506">
      <c r="V506" s="14"/>
    </row>
    <row r="507">
      <c r="V507" s="14"/>
    </row>
    <row r="508">
      <c r="V508" s="14"/>
    </row>
    <row r="509">
      <c r="V509" s="14"/>
    </row>
    <row r="510">
      <c r="V510" s="14"/>
    </row>
    <row r="511">
      <c r="V511" s="14"/>
    </row>
    <row r="512">
      <c r="V512" s="14"/>
    </row>
    <row r="513">
      <c r="V513" s="14"/>
    </row>
    <row r="514">
      <c r="V514" s="14"/>
    </row>
    <row r="515">
      <c r="V515" s="14"/>
    </row>
    <row r="516">
      <c r="V516" s="14"/>
    </row>
  </sheetData>
  <mergeCells count="14">
    <mergeCell ref="B2:D2"/>
    <mergeCell ref="F2:G2"/>
    <mergeCell ref="I2:J4"/>
    <mergeCell ref="F3:G3"/>
    <mergeCell ref="A7:T7"/>
    <mergeCell ref="J8:T8"/>
    <mergeCell ref="J11:J12"/>
    <mergeCell ref="J13:J15"/>
    <mergeCell ref="J17:J18"/>
    <mergeCell ref="L17:L18"/>
    <mergeCell ref="J19:J26"/>
    <mergeCell ref="L20:L25"/>
    <mergeCell ref="J27:J32"/>
    <mergeCell ref="L28:L31"/>
  </mergeCells>
  <conditionalFormatting sqref="E1:I1 F2:F3 R173:T174 R105:T167 R47:T49 R77:T79 R177:T183 E35:I84 E177:I183 R35:T45 E187:I1048576 R187:T1048576 R1:T33 I2 F4:G4 E7:I21 F5:I6 E105:I137 E140:I144 E139 F138:I138 R51:T74">
    <cfRule type="colorScale" priority="11">
      <colorScale>
        <cfvo type="num" val="0"/>
        <cfvo type="num" val="0.5"/>
        <cfvo type="num" val="1"/>
        <color rgb="FF00B050"/>
        <color rgb="FFFFEB84"/>
        <color indexed="2"/>
      </colorScale>
    </cfRule>
  </conditionalFormatting>
  <conditionalFormatting sqref="R170:T172 R168:T168">
    <cfRule type="colorScale" priority="10">
      <colorScale>
        <cfvo type="num" val="0"/>
        <cfvo type="num" val="0.5"/>
        <cfvo type="num" val="1"/>
        <color rgb="FF92D050"/>
        <color rgb="FFFFEB84"/>
        <color rgb="FFFF7171"/>
      </colorScale>
    </cfRule>
  </conditionalFormatting>
  <conditionalFormatting sqref="N168:N173">
    <cfRule type="colorScale" priority="9">
      <colorScale>
        <cfvo type="min"/>
        <cfvo type="percentile" val="50"/>
        <cfvo type="max"/>
        <color rgb="FF00B050"/>
        <color rgb="FFFFEB84"/>
        <color rgb="FFFF7171"/>
      </colorScale>
    </cfRule>
  </conditionalFormatting>
  <conditionalFormatting sqref="R46:T46">
    <cfRule type="colorScale" priority="7">
      <colorScale>
        <cfvo type="num" val="0"/>
        <cfvo type="num" val="0.5"/>
        <cfvo type="num" val="1"/>
        <color rgb="FF00B050"/>
        <color rgb="FFFFEB84"/>
        <color indexed="2"/>
      </colorScale>
    </cfRule>
  </conditionalFormatting>
  <conditionalFormatting sqref="R75:T76">
    <cfRule type="colorScale" priority="6">
      <colorScale>
        <cfvo type="num" val="0"/>
        <cfvo type="num" val="0.5"/>
        <cfvo type="num" val="1"/>
        <color rgb="FF00B050"/>
        <color rgb="FFFFEB84"/>
        <color indexed="2"/>
      </colorScale>
    </cfRule>
  </conditionalFormatting>
  <conditionalFormatting sqref="R80:T82">
    <cfRule type="colorScale" priority="5">
      <colorScale>
        <cfvo type="num" val="0"/>
        <cfvo type="num" val="0.5"/>
        <cfvo type="num" val="1"/>
        <color rgb="FF00B050"/>
        <color rgb="FFFFEB84"/>
        <color indexed="2"/>
      </colorScale>
    </cfRule>
  </conditionalFormatting>
  <conditionalFormatting sqref="R83:T83">
    <cfRule type="colorScale" priority="4">
      <colorScale>
        <cfvo type="num" val="0"/>
        <cfvo type="num" val="0.5"/>
        <cfvo type="num" val="1"/>
        <color rgb="FF00B050"/>
        <color rgb="FFFFEB84"/>
        <color indexed="2"/>
      </colorScale>
    </cfRule>
  </conditionalFormatting>
  <conditionalFormatting sqref="R89:T92">
    <cfRule type="colorScale" priority="3">
      <colorScale>
        <cfvo type="num" val="0"/>
        <cfvo type="num" val="0.5"/>
        <cfvo type="num" val="1"/>
        <color rgb="FF00B050"/>
        <color rgb="FFFFEB84"/>
        <color indexed="2"/>
      </colorScale>
    </cfRule>
  </conditionalFormatting>
  <conditionalFormatting sqref="R50:T50">
    <cfRule type="colorScale" priority="1">
      <colorScale>
        <cfvo type="num" val="0"/>
        <cfvo type="num" val="0.5"/>
        <cfvo type="num" val="1"/>
        <color rgb="FF00B050"/>
        <color rgb="FFFFEB84"/>
        <color indexed="2"/>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ellIs" priority="17" operator="equal" id="{0059007E-0085-47C0-BC48-00F4003200A2}">
            <xm:f>"ERROR"</xm:f>
            <x14:dxf>
              <font>
                <color rgb="FF9C0006"/>
              </font>
              <fill>
                <patternFill patternType="solid">
                  <fgColor rgb="FFFFC7CE"/>
                  <bgColor rgb="FFFFC7CE"/>
                </patternFill>
              </fill>
            </x14:dxf>
          </x14:cfRule>
          <xm:sqref>A5:E5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15" zoomScale="76" workbookViewId="0">
      <selection activeCell="A1" activeCellId="0" sqref="A1:N1"/>
    </sheetView>
  </sheetViews>
  <sheetFormatPr baseColWidth="10" defaultColWidth="12.5703125" defaultRowHeight="15.75"/>
  <cols>
    <col customWidth="1" min="1" max="1" style="261" width="18.140625"/>
    <col customWidth="1" min="2" max="2" style="261" width="15.42578125"/>
    <col customWidth="1" min="3" max="3" style="261" width="28.140625"/>
    <col customWidth="1" min="4" max="4" style="261" width="76.7109375"/>
    <col customWidth="1" min="5" max="14" style="261" width="17.28515625"/>
    <col min="15" max="16384" style="261" width="12.5703125"/>
  </cols>
  <sheetData>
    <row r="1" ht="108.75" customHeight="1">
      <c r="A1" s="262" t="s">
        <v>365</v>
      </c>
      <c r="B1" s="263"/>
      <c r="C1" s="263"/>
      <c r="D1" s="263"/>
      <c r="E1" s="263"/>
      <c r="F1" s="263"/>
      <c r="G1" s="263"/>
      <c r="H1" s="263"/>
      <c r="I1" s="263"/>
      <c r="J1" s="263"/>
      <c r="K1" s="263"/>
      <c r="L1" s="263"/>
      <c r="M1" s="263"/>
      <c r="N1" s="264"/>
    </row>
    <row r="2" ht="20.25">
      <c r="A2" s="265"/>
      <c r="B2" s="266"/>
      <c r="C2" s="266"/>
      <c r="D2" s="267" t="s">
        <v>366</v>
      </c>
      <c r="E2" s="268"/>
      <c r="F2" s="268"/>
      <c r="G2" s="268"/>
      <c r="H2" s="268"/>
      <c r="I2" s="268"/>
      <c r="J2" s="268"/>
      <c r="K2" s="268"/>
      <c r="L2" s="268"/>
      <c r="M2" s="268"/>
      <c r="N2" s="269"/>
    </row>
    <row r="3" ht="32.25" customHeight="1">
      <c r="A3" s="270" t="s">
        <v>367</v>
      </c>
      <c r="B3" s="271"/>
      <c r="C3" s="271"/>
      <c r="D3" s="268" t="s">
        <v>368</v>
      </c>
      <c r="E3" s="268"/>
      <c r="F3" s="268"/>
      <c r="G3" s="272" t="s">
        <v>369</v>
      </c>
      <c r="H3" s="272"/>
      <c r="I3" s="272" t="s">
        <v>370</v>
      </c>
      <c r="J3" s="272"/>
      <c r="K3" s="272"/>
      <c r="L3" s="272"/>
      <c r="M3" s="268" t="s">
        <v>371</v>
      </c>
      <c r="N3" s="269" t="s">
        <v>372</v>
      </c>
    </row>
    <row r="4" ht="47.25">
      <c r="A4" s="273"/>
      <c r="B4" s="268" t="s">
        <v>27</v>
      </c>
      <c r="C4" s="268" t="s">
        <v>373</v>
      </c>
      <c r="D4" s="268" t="s">
        <v>374</v>
      </c>
      <c r="E4" s="268" t="s">
        <v>375</v>
      </c>
      <c r="F4" s="268" t="s">
        <v>376</v>
      </c>
      <c r="G4" s="268" t="s">
        <v>377</v>
      </c>
      <c r="H4" s="268" t="s">
        <v>378</v>
      </c>
      <c r="I4" s="268" t="s">
        <v>379</v>
      </c>
      <c r="J4" s="274" t="s">
        <v>380</v>
      </c>
      <c r="K4" s="274" t="s">
        <v>381</v>
      </c>
      <c r="L4" s="268" t="s">
        <v>382</v>
      </c>
      <c r="M4" s="268" t="s">
        <v>383</v>
      </c>
      <c r="N4" s="269" t="s">
        <v>384</v>
      </c>
    </row>
    <row r="5" ht="47.25">
      <c r="A5" s="275"/>
      <c r="B5" s="276" t="s">
        <v>385</v>
      </c>
      <c r="C5" s="276" t="s">
        <v>386</v>
      </c>
      <c r="D5" s="276" t="s">
        <v>387</v>
      </c>
      <c r="E5" s="277" t="s">
        <v>388</v>
      </c>
      <c r="F5" s="277"/>
      <c r="G5" s="277"/>
      <c r="H5" s="277"/>
      <c r="I5" s="277" t="s">
        <v>389</v>
      </c>
      <c r="J5" s="181">
        <f t="shared" ref="J5:J7" si="27">+_xlfn.IFS(I5="Preventivo",0.9,I5="Correctivo",0.63,I5="Detectivo",0.36,I5="Aceptación",0.1)</f>
        <v>0.90000000000000002</v>
      </c>
      <c r="K5" s="278" t="s">
        <v>390</v>
      </c>
      <c r="L5" s="181">
        <f>IF(AND(I5='Matrices Estimación'!$I$5,Mitigación!K5='Matrices Estimación'!$K$3),'Matrices Estimación'!$L$3,IF(AND(I5='Matrices Estimación'!$I$5,Mitigación!K5='Matrices Estimación'!$K$4),'Matrices Estimación'!$L$4,IF(AND(I5='Matrices Estimación'!$I$5,Mitigación!K5='Matrices Estimación'!$K$5),'Matrices Estimación'!$L$5,IF(AND(I5='Matrices Estimación'!$I$5,Mitigación!K5='Matrices Estimación'!$K$6),'Matrices Estimación'!$L$6,IF(AND(I5='Matrices Estimación'!$I$5,Mitigación!K5='Matrices Estimación'!$K$7),'Matrices Estimación'!$L$7,IF(AND(I5='Matrices Estimación'!$I$10,Mitigación!K5='Matrices Estimación'!$K$3),'Matrices Estimación'!$L$8,IF(AND(I5='Matrices Estimación'!$I$10,Mitigación!K5='Matrices Estimación'!$K$4),'Matrices Estimación'!$L$9,IF(AND(I5='Matrices Estimación'!$I$10,Mitigación!K5='Matrices Estimación'!$K$5),'Matrices Estimación'!$L$10,IF(AND(I5='Matrices Estimación'!$I$10,Mitigación!K5='Matrices Estimación'!$K$6),'Matrices Estimación'!$L$11,IF(AND(I5='Matrices Estimación'!$I$10,Mitigación!K5='Matrices Estimación'!$K$7),'Matrices Estimación'!$L$12,IF(AND(I5='Matrices Estimación'!$I$15,Mitigación!K5='Matrices Estimación'!$K$3),'Matrices Estimación'!$L$13,IF(AND(I5='Matrices Estimación'!$I$15,Mitigación!K5='Matrices Estimación'!$K$4),'Matrices Estimación'!$L$14,IF(AND(I5='Matrices Estimación'!$I$15,Mitigación!K5='Matrices Estimación'!$K$5),'Matrices Estimación'!$L$15,IF(AND(I5='Matrices Estimación'!$I$15,Mitigación!K5='Matrices Estimación'!$K$6),'Matrices Estimación'!$L$16,IF(AND(I5='Matrices Estimación'!$I$15,Mitigación!K5='Matrices Estimación'!$K$7),'Matrices Estimación'!$L$17,"")))))))))))))))</f>
        <v>0.35999999999999999</v>
      </c>
      <c r="M5" s="181">
        <f t="shared" ref="M5:M7" si="28">+AVERAGE($J5,$L5)</f>
        <v>0.63</v>
      </c>
      <c r="N5" s="279" t="str">
        <f t="shared" ref="N5:N7" si="29">IF(M5&lt;=0.3,"BAJO",IF(AND(M5&lt;=0.61,M5&gt;0.3),"MEDIO",IF(M5&gt;=0.61,"ALTO")))</f>
        <v>ALTO</v>
      </c>
    </row>
    <row r="6" ht="31.5">
      <c r="A6" s="275"/>
      <c r="B6" s="276" t="s">
        <v>391</v>
      </c>
      <c r="C6" s="276" t="s">
        <v>392</v>
      </c>
      <c r="D6" s="276" t="s">
        <v>393</v>
      </c>
      <c r="E6" s="277" t="s">
        <v>388</v>
      </c>
      <c r="F6" s="277"/>
      <c r="G6" s="280"/>
      <c r="H6" s="277"/>
      <c r="I6" s="277" t="s">
        <v>389</v>
      </c>
      <c r="J6" s="181">
        <f t="shared" si="27"/>
        <v>0.90000000000000002</v>
      </c>
      <c r="K6" s="278" t="s">
        <v>390</v>
      </c>
      <c r="L6" s="181">
        <f>IF(AND(I6='Matrices Estimación'!$I$5,Mitigación!K6='Matrices Estimación'!$K$3),'Matrices Estimación'!$L$3,IF(AND(I6='Matrices Estimación'!$I$5,Mitigación!K6='Matrices Estimación'!$K$4),'Matrices Estimación'!$L$4,IF(AND(I6='Matrices Estimación'!$I$5,Mitigación!K6='Matrices Estimación'!$K$5),'Matrices Estimación'!$L$5,IF(AND(I6='Matrices Estimación'!$I$5,Mitigación!K6='Matrices Estimación'!$K$6),'Matrices Estimación'!$L$6,IF(AND(I6='Matrices Estimación'!$I$5,Mitigación!K6='Matrices Estimación'!$K$7),'Matrices Estimación'!$L$7,IF(AND(I6='Matrices Estimación'!$I$10,Mitigación!K6='Matrices Estimación'!$K$3),'Matrices Estimación'!$L$8,IF(AND(I6='Matrices Estimación'!$I$10,Mitigación!K6='Matrices Estimación'!$K$4),'Matrices Estimación'!$L$9,IF(AND(I6='Matrices Estimación'!$I$10,Mitigación!K6='Matrices Estimación'!$K$5),'Matrices Estimación'!$L$10,IF(AND(I6='Matrices Estimación'!$I$10,Mitigación!K6='Matrices Estimación'!$K$6),'Matrices Estimación'!$L$11,IF(AND(I6='Matrices Estimación'!$I$10,Mitigación!K6='Matrices Estimación'!$K$7),'Matrices Estimación'!$L$12,IF(AND(I6='Matrices Estimación'!$I$15,Mitigación!K6='Matrices Estimación'!$K$3),'Matrices Estimación'!$L$13,IF(AND(I6='Matrices Estimación'!$I$15,Mitigación!K6='Matrices Estimación'!$K$4),'Matrices Estimación'!$L$14,IF(AND(I6='Matrices Estimación'!$I$15,Mitigación!K6='Matrices Estimación'!$K$5),'Matrices Estimación'!$L$15,IF(AND(I6='Matrices Estimación'!$I$15,Mitigación!K6='Matrices Estimación'!$K$6),'Matrices Estimación'!$L$16,IF(AND(I6='Matrices Estimación'!$I$15,Mitigación!K6='Matrices Estimación'!$K$7),'Matrices Estimación'!$L$17,"")))))))))))))))</f>
        <v>0.35999999999999999</v>
      </c>
      <c r="M6" s="181">
        <f t="shared" si="28"/>
        <v>0.63</v>
      </c>
      <c r="N6" s="279" t="str">
        <f t="shared" si="29"/>
        <v>ALTO</v>
      </c>
    </row>
    <row r="7" ht="47.25">
      <c r="A7" s="275"/>
      <c r="B7" s="276" t="s">
        <v>394</v>
      </c>
      <c r="C7" s="276" t="s">
        <v>395</v>
      </c>
      <c r="D7" s="276" t="s">
        <v>396</v>
      </c>
      <c r="E7" s="277" t="s">
        <v>388</v>
      </c>
      <c r="F7" s="277"/>
      <c r="G7" s="277"/>
      <c r="H7" s="277"/>
      <c r="I7" s="277" t="s">
        <v>389</v>
      </c>
      <c r="J7" s="181">
        <f t="shared" si="27"/>
        <v>0.90000000000000002</v>
      </c>
      <c r="K7" s="278" t="s">
        <v>397</v>
      </c>
      <c r="L7" s="181">
        <f>IF(AND(I7='Matrices Estimación'!$I$5,Mitigación!K7='Matrices Estimación'!$K$3),'Matrices Estimación'!$L$3,IF(AND(I7='Matrices Estimación'!$I$5,Mitigación!K7='Matrices Estimación'!$K$4),'Matrices Estimación'!$L$4,IF(AND(I7='Matrices Estimación'!$I$5,Mitigación!K7='Matrices Estimación'!$K$5),'Matrices Estimación'!$L$5,IF(AND(I7='Matrices Estimación'!$I$5,Mitigación!K7='Matrices Estimación'!$K$6),'Matrices Estimación'!$L$6,IF(AND(I7='Matrices Estimación'!$I$5,Mitigación!K7='Matrices Estimación'!$K$7),'Matrices Estimación'!$L$7,IF(AND(I7='Matrices Estimación'!$I$10,Mitigación!K7='Matrices Estimación'!$K$3),'Matrices Estimación'!$L$8,IF(AND(I7='Matrices Estimación'!$I$10,Mitigación!K7='Matrices Estimación'!$K$4),'Matrices Estimación'!$L$9,IF(AND(I7='Matrices Estimación'!$I$10,Mitigación!K7='Matrices Estimación'!$K$5),'Matrices Estimación'!$L$10,IF(AND(I7='Matrices Estimación'!$I$10,Mitigación!K7='Matrices Estimación'!$K$6),'Matrices Estimación'!$L$11,IF(AND(I7='Matrices Estimación'!$I$10,Mitigación!K7='Matrices Estimación'!$K$7),'Matrices Estimación'!$L$12,IF(AND(I7='Matrices Estimación'!$I$15,Mitigación!K7='Matrices Estimación'!$K$3),'Matrices Estimación'!$L$13,IF(AND(I7='Matrices Estimación'!$I$15,Mitigación!K7='Matrices Estimación'!$K$4),'Matrices Estimación'!$L$14,IF(AND(I7='Matrices Estimación'!$I$15,Mitigación!K7='Matrices Estimación'!$K$5),'Matrices Estimación'!$L$15,IF(AND(I7='Matrices Estimación'!$I$15,Mitigación!K7='Matrices Estimación'!$K$6),'Matrices Estimación'!$L$16,IF(AND(I7='Matrices Estimación'!$I$15,Mitigación!K7='Matrices Estimación'!$K$7),'Matrices Estimación'!$L$17,"")))))))))))))))</f>
        <v>0.71999999999999997</v>
      </c>
      <c r="M7" s="181">
        <f t="shared" si="28"/>
        <v>0.81000000000000005</v>
      </c>
      <c r="N7" s="279" t="str">
        <f t="shared" si="29"/>
        <v>ALTO</v>
      </c>
    </row>
    <row r="8">
      <c r="A8" s="275"/>
      <c r="B8" s="276"/>
      <c r="C8" s="276"/>
      <c r="D8" s="276"/>
      <c r="E8" s="277"/>
      <c r="F8" s="277"/>
      <c r="G8" s="277"/>
      <c r="H8" s="277"/>
      <c r="I8" s="277"/>
      <c r="J8" s="181"/>
      <c r="K8" s="278"/>
      <c r="L8" s="181"/>
      <c r="M8" s="181"/>
      <c r="N8" s="279"/>
    </row>
    <row r="9">
      <c r="A9" s="281"/>
      <c r="B9" s="276"/>
      <c r="C9" s="276"/>
      <c r="D9" s="276"/>
      <c r="E9" s="277"/>
      <c r="F9" s="277"/>
      <c r="G9" s="277"/>
      <c r="H9" s="277"/>
      <c r="I9" s="277"/>
      <c r="J9" s="282"/>
      <c r="K9" s="280"/>
      <c r="L9" s="283"/>
      <c r="M9" s="181"/>
      <c r="N9" s="279"/>
    </row>
    <row r="10" ht="19.5" customHeight="1">
      <c r="A10" s="284" t="s">
        <v>398</v>
      </c>
      <c r="B10" s="285"/>
      <c r="C10" s="285"/>
      <c r="D10" s="276"/>
      <c r="E10" s="277"/>
      <c r="F10" s="277"/>
      <c r="G10" s="277"/>
      <c r="H10" s="277"/>
      <c r="I10" s="277"/>
      <c r="J10" s="283"/>
      <c r="K10" s="277"/>
      <c r="L10" s="283"/>
      <c r="M10" s="181"/>
      <c r="N10" s="279"/>
    </row>
    <row r="11" ht="90.75" customHeight="1">
      <c r="A11" s="286"/>
      <c r="B11" s="276" t="s">
        <v>399</v>
      </c>
      <c r="C11" s="276" t="s">
        <v>400</v>
      </c>
      <c r="D11" s="276" t="s">
        <v>401</v>
      </c>
      <c r="E11" s="277" t="s">
        <v>388</v>
      </c>
      <c r="F11" s="277" t="s">
        <v>376</v>
      </c>
      <c r="G11" s="277"/>
      <c r="H11" s="277"/>
      <c r="I11" s="277" t="s">
        <v>389</v>
      </c>
      <c r="J11" s="181">
        <f>+_xlfn.IFS(I11="Preventivo",0.9,I11="Correctivo",0.63,I11="Detectivo",0.36,I11="Aceptación",0.1)</f>
        <v>0.90000000000000002</v>
      </c>
      <c r="K11" s="278" t="s">
        <v>397</v>
      </c>
      <c r="L11" s="181">
        <f>IF(AND(I11='Matrices Estimación'!$I$5,Mitigación!K11='Matrices Estimación'!$K$3),'Matrices Estimación'!$L$3,IF(AND(I11='Matrices Estimación'!$I$5,Mitigación!K11='Matrices Estimación'!$K$4),'Matrices Estimación'!$L$4,IF(AND(I11='Matrices Estimación'!$I$5,Mitigación!K11='Matrices Estimación'!$K$5),'Matrices Estimación'!$L$5,IF(AND(I11='Matrices Estimación'!$I$5,Mitigación!K11='Matrices Estimación'!$K$6),'Matrices Estimación'!$L$6,IF(AND(I11='Matrices Estimación'!$I$5,Mitigación!K11='Matrices Estimación'!$K$7),'Matrices Estimación'!$L$7,IF(AND(I11='Matrices Estimación'!$I$10,Mitigación!K11='Matrices Estimación'!$K$3),'Matrices Estimación'!$L$8,IF(AND(I11='Matrices Estimación'!$I$10,Mitigación!K11='Matrices Estimación'!$K$4),'Matrices Estimación'!$L$9,IF(AND(I11='Matrices Estimación'!$I$10,Mitigación!K11='Matrices Estimación'!$K$5),'Matrices Estimación'!$L$10,IF(AND(I11='Matrices Estimación'!$I$10,Mitigación!K11='Matrices Estimación'!$K$6),'Matrices Estimación'!$L$11,IF(AND(I11='Matrices Estimación'!$I$10,Mitigación!K11='Matrices Estimación'!$K$7),'Matrices Estimación'!$L$12,IF(AND(I11='Matrices Estimación'!$I$15,Mitigación!K11='Matrices Estimación'!$K$3),'Matrices Estimación'!$L$13,IF(AND(I11='Matrices Estimación'!$I$15,Mitigación!K11='Matrices Estimación'!$K$4),'Matrices Estimación'!$L$14,IF(AND(I11='Matrices Estimación'!$I$15,Mitigación!K11='Matrices Estimación'!$K$5),'Matrices Estimación'!$L$15,IF(AND(I11='Matrices Estimación'!$I$15,Mitigación!K11='Matrices Estimación'!$K$6),'Matrices Estimación'!$L$16,IF(AND(I11='Matrices Estimación'!$I$15,Mitigación!K11='Matrices Estimación'!$K$7),'Matrices Estimación'!$L$17,"")))))))))))))))</f>
        <v>0.71999999999999997</v>
      </c>
      <c r="M11" s="181">
        <f>+AVERAGE($J11,$L11)</f>
        <v>0.81000000000000005</v>
      </c>
      <c r="N11" s="279" t="str">
        <f>IF(M11&lt;=0.3,"BAJO",IF(AND(M11&lt;=0.61,M11&gt;0.3),"MEDIO",IF(M11&gt;=0.61,"ALTO")))</f>
        <v>ALTO</v>
      </c>
    </row>
    <row r="12">
      <c r="A12" s="287"/>
      <c r="B12" s="288"/>
      <c r="C12" s="288"/>
      <c r="D12" s="288"/>
      <c r="E12" s="288"/>
      <c r="F12" s="288"/>
      <c r="G12" s="288"/>
      <c r="H12" s="288"/>
      <c r="I12" s="288"/>
      <c r="J12" s="289"/>
      <c r="K12" s="288"/>
      <c r="L12" s="283"/>
      <c r="M12" s="181"/>
      <c r="N12" s="279"/>
    </row>
    <row r="13" ht="18.75">
      <c r="A13" s="290" t="s">
        <v>402</v>
      </c>
      <c r="B13" s="266"/>
      <c r="C13" s="266"/>
      <c r="D13" s="276"/>
      <c r="E13" s="277"/>
      <c r="F13" s="277"/>
      <c r="G13" s="277"/>
      <c r="H13" s="277"/>
      <c r="I13" s="277"/>
      <c r="J13" s="283"/>
      <c r="K13" s="277"/>
      <c r="L13" s="283"/>
      <c r="M13" s="181"/>
      <c r="N13" s="279"/>
    </row>
    <row r="14" ht="31.5">
      <c r="A14" s="286"/>
      <c r="B14" s="276" t="s">
        <v>403</v>
      </c>
      <c r="C14" s="276" t="s">
        <v>404</v>
      </c>
      <c r="D14" s="276" t="s">
        <v>405</v>
      </c>
      <c r="E14" s="277" t="s">
        <v>388</v>
      </c>
      <c r="F14" s="277"/>
      <c r="G14" s="277"/>
      <c r="H14" s="277"/>
      <c r="I14" s="277" t="s">
        <v>406</v>
      </c>
      <c r="J14" s="181">
        <f t="shared" ref="J14:J36" si="30">+_xlfn.IFS(I14="Preventivo",0.9,I14="Correctivo",0.63,I14="Detectivo",0.36,I14="Aceptación",0.1)</f>
        <v>0.35999999999999999</v>
      </c>
      <c r="K14" s="278" t="s">
        <v>397</v>
      </c>
      <c r="L14" s="181">
        <f>IF(AND(I14='Matrices Estimación'!$I$5,Mitigación!K14='Matrices Estimación'!$K$3),'Matrices Estimación'!$L$3,IF(AND(I14='Matrices Estimación'!$I$5,Mitigación!K14='Matrices Estimación'!$K$4),'Matrices Estimación'!$L$4,IF(AND(I14='Matrices Estimación'!$I$5,Mitigación!K14='Matrices Estimación'!$K$5),'Matrices Estimación'!$L$5,IF(AND(I14='Matrices Estimación'!$I$5,Mitigación!K14='Matrices Estimación'!$K$6),'Matrices Estimación'!$L$6,IF(AND(I14='Matrices Estimación'!$I$5,Mitigación!K14='Matrices Estimación'!$K$7),'Matrices Estimación'!$L$7,IF(AND(I14='Matrices Estimación'!$I$10,Mitigación!K14='Matrices Estimación'!$K$3),'Matrices Estimación'!$L$8,IF(AND(I14='Matrices Estimación'!$I$10,Mitigación!K14='Matrices Estimación'!$K$4),'Matrices Estimación'!$L$9,IF(AND(I14='Matrices Estimación'!$I$10,Mitigación!K14='Matrices Estimación'!$K$5),'Matrices Estimación'!$L$10,IF(AND(I14='Matrices Estimación'!$I$10,Mitigación!K14='Matrices Estimación'!$K$6),'Matrices Estimación'!$L$11,IF(AND(I14='Matrices Estimación'!$I$10,Mitigación!K14='Matrices Estimación'!$K$7),'Matrices Estimación'!$L$12,IF(AND(I14='Matrices Estimación'!$I$15,Mitigación!K14='Matrices Estimación'!$K$3),'Matrices Estimación'!$L$13,IF(AND(I14='Matrices Estimación'!$I$15,Mitigación!K14='Matrices Estimación'!$K$4),'Matrices Estimación'!$L$14,IF(AND(I14='Matrices Estimación'!$I$15,Mitigación!K14='Matrices Estimación'!$K$5),'Matrices Estimación'!$L$15,IF(AND(I14='Matrices Estimación'!$I$15,Mitigación!K14='Matrices Estimación'!$K$6),'Matrices Estimación'!$L$16,IF(AND(I14='Matrices Estimación'!$I$15,Mitigación!K14='Matrices Estimación'!$K$7),'Matrices Estimación'!$L$17,"")))))))))))))))</f>
        <v>0.32000000000000001</v>
      </c>
      <c r="M14" s="181">
        <f t="shared" ref="M14:M36" si="31">+AVERAGE($J14,$L14)</f>
        <v>0.33999999999999997</v>
      </c>
      <c r="N14" s="279" t="str">
        <f t="shared" ref="N14:N36" si="32">IF(M14&lt;=0.3,"BAJO",IF(AND(M14&lt;=0.61,M14&gt;0.3),"MEDIO",IF(M14&gt;=0.61,"ALTO")))</f>
        <v>MEDIO</v>
      </c>
    </row>
    <row r="15" ht="76.5" customHeight="1">
      <c r="A15" s="281"/>
      <c r="B15" s="276" t="s">
        <v>407</v>
      </c>
      <c r="C15" s="276" t="s">
        <v>408</v>
      </c>
      <c r="D15" s="276" t="s">
        <v>409</v>
      </c>
      <c r="E15" s="277" t="s">
        <v>388</v>
      </c>
      <c r="F15" s="277"/>
      <c r="G15" s="277"/>
      <c r="H15" s="277"/>
      <c r="I15" s="277" t="s">
        <v>406</v>
      </c>
      <c r="J15" s="181">
        <f t="shared" si="30"/>
        <v>0.35999999999999999</v>
      </c>
      <c r="K15" s="278" t="s">
        <v>397</v>
      </c>
      <c r="L15" s="181">
        <f>IF(AND(I15='Matrices Estimación'!$I$5,Mitigación!K15='Matrices Estimación'!$K$3),'Matrices Estimación'!$L$3,IF(AND(I15='Matrices Estimación'!$I$5,Mitigación!K15='Matrices Estimación'!$K$4),'Matrices Estimación'!$L$4,IF(AND(I15='Matrices Estimación'!$I$5,Mitigación!K15='Matrices Estimación'!$K$5),'Matrices Estimación'!$L$5,IF(AND(I15='Matrices Estimación'!$I$5,Mitigación!K15='Matrices Estimación'!$K$6),'Matrices Estimación'!$L$6,IF(AND(I15='Matrices Estimación'!$I$5,Mitigación!K15='Matrices Estimación'!$K$7),'Matrices Estimación'!$L$7,IF(AND(I15='Matrices Estimación'!$I$10,Mitigación!K15='Matrices Estimación'!$K$3),'Matrices Estimación'!$L$8,IF(AND(I15='Matrices Estimación'!$I$10,Mitigación!K15='Matrices Estimación'!$K$4),'Matrices Estimación'!$L$9,IF(AND(I15='Matrices Estimación'!$I$10,Mitigación!K15='Matrices Estimación'!$K$5),'Matrices Estimación'!$L$10,IF(AND(I15='Matrices Estimación'!$I$10,Mitigación!K15='Matrices Estimación'!$K$6),'Matrices Estimación'!$L$11,IF(AND(I15='Matrices Estimación'!$I$10,Mitigación!K15='Matrices Estimación'!$K$7),'Matrices Estimación'!$L$12,IF(AND(I15='Matrices Estimación'!$I$15,Mitigación!K15='Matrices Estimación'!$K$3),'Matrices Estimación'!$L$13,IF(AND(I15='Matrices Estimación'!$I$15,Mitigación!K15='Matrices Estimación'!$K$4),'Matrices Estimación'!$L$14,IF(AND(I15='Matrices Estimación'!$I$15,Mitigación!K15='Matrices Estimación'!$K$5),'Matrices Estimación'!$L$15,IF(AND(I15='Matrices Estimación'!$I$15,Mitigación!K15='Matrices Estimación'!$K$6),'Matrices Estimación'!$L$16,IF(AND(I15='Matrices Estimación'!$I$15,Mitigación!K15='Matrices Estimación'!$K$7),'Matrices Estimación'!$L$17,"")))))))))))))))</f>
        <v>0.32000000000000001</v>
      </c>
      <c r="M15" s="181">
        <f t="shared" si="31"/>
        <v>0.33999999999999997</v>
      </c>
      <c r="N15" s="279" t="str">
        <f t="shared" si="32"/>
        <v>MEDIO</v>
      </c>
    </row>
    <row r="16" ht="31.5">
      <c r="A16" s="281"/>
      <c r="B16" s="276" t="s">
        <v>410</v>
      </c>
      <c r="C16" s="276" t="s">
        <v>411</v>
      </c>
      <c r="D16" s="276" t="s">
        <v>412</v>
      </c>
      <c r="E16" s="277" t="s">
        <v>388</v>
      </c>
      <c r="F16" s="277"/>
      <c r="G16" s="277"/>
      <c r="H16" s="277"/>
      <c r="I16" s="277" t="s">
        <v>406</v>
      </c>
      <c r="J16" s="181">
        <f t="shared" si="30"/>
        <v>0.35999999999999999</v>
      </c>
      <c r="K16" s="278" t="s">
        <v>397</v>
      </c>
      <c r="L16" s="181">
        <f>IF(AND(I16='Matrices Estimación'!$I$5,Mitigación!K16='Matrices Estimación'!$K$3),'Matrices Estimación'!$L$3,IF(AND(I16='Matrices Estimación'!$I$5,Mitigación!K16='Matrices Estimación'!$K$4),'Matrices Estimación'!$L$4,IF(AND(I16='Matrices Estimación'!$I$5,Mitigación!K16='Matrices Estimación'!$K$5),'Matrices Estimación'!$L$5,IF(AND(I16='Matrices Estimación'!$I$5,Mitigación!K16='Matrices Estimación'!$K$6),'Matrices Estimación'!$L$6,IF(AND(I16='Matrices Estimación'!$I$5,Mitigación!K16='Matrices Estimación'!$K$7),'Matrices Estimación'!$L$7,IF(AND(I16='Matrices Estimación'!$I$10,Mitigación!K16='Matrices Estimación'!$K$3),'Matrices Estimación'!$L$8,IF(AND(I16='Matrices Estimación'!$I$10,Mitigación!K16='Matrices Estimación'!$K$4),'Matrices Estimación'!$L$9,IF(AND(I16='Matrices Estimación'!$I$10,Mitigación!K16='Matrices Estimación'!$K$5),'Matrices Estimación'!$L$10,IF(AND(I16='Matrices Estimación'!$I$10,Mitigación!K16='Matrices Estimación'!$K$6),'Matrices Estimación'!$L$11,IF(AND(I16='Matrices Estimación'!$I$10,Mitigación!K16='Matrices Estimación'!$K$7),'Matrices Estimación'!$L$12,IF(AND(I16='Matrices Estimación'!$I$15,Mitigación!K16='Matrices Estimación'!$K$3),'Matrices Estimación'!$L$13,IF(AND(I16='Matrices Estimación'!$I$15,Mitigación!K16='Matrices Estimación'!$K$4),'Matrices Estimación'!$L$14,IF(AND(I16='Matrices Estimación'!$I$15,Mitigación!K16='Matrices Estimación'!$K$5),'Matrices Estimación'!$L$15,IF(AND(I16='Matrices Estimación'!$I$15,Mitigación!K16='Matrices Estimación'!$K$6),'Matrices Estimación'!$L$16,IF(AND(I16='Matrices Estimación'!$I$15,Mitigación!K16='Matrices Estimación'!$K$7),'Matrices Estimación'!$L$17,"")))))))))))))))</f>
        <v>0.32000000000000001</v>
      </c>
      <c r="M16" s="181">
        <f t="shared" si="31"/>
        <v>0.33999999999999997</v>
      </c>
      <c r="N16" s="279" t="str">
        <f t="shared" si="32"/>
        <v>MEDIO</v>
      </c>
    </row>
    <row r="17" ht="78.75">
      <c r="A17" s="291"/>
      <c r="B17" s="276" t="s">
        <v>413</v>
      </c>
      <c r="C17" s="276" t="s">
        <v>414</v>
      </c>
      <c r="D17" s="276" t="s">
        <v>415</v>
      </c>
      <c r="E17" s="277" t="s">
        <v>388</v>
      </c>
      <c r="F17" s="277"/>
      <c r="G17" s="277"/>
      <c r="H17" s="277"/>
      <c r="I17" s="277" t="s">
        <v>406</v>
      </c>
      <c r="J17" s="181">
        <f t="shared" si="30"/>
        <v>0.35999999999999999</v>
      </c>
      <c r="K17" s="278" t="s">
        <v>397</v>
      </c>
      <c r="L17" s="181">
        <f>IF(AND(I17='Matrices Estimación'!$I$5,Mitigación!K17='Matrices Estimación'!$K$3),'Matrices Estimación'!$L$3,IF(AND(I17='Matrices Estimación'!$I$5,Mitigación!K17='Matrices Estimación'!$K$4),'Matrices Estimación'!$L$4,IF(AND(I17='Matrices Estimación'!$I$5,Mitigación!K17='Matrices Estimación'!$K$5),'Matrices Estimación'!$L$5,IF(AND(I17='Matrices Estimación'!$I$5,Mitigación!K17='Matrices Estimación'!$K$6),'Matrices Estimación'!$L$6,IF(AND(I17='Matrices Estimación'!$I$5,Mitigación!K17='Matrices Estimación'!$K$7),'Matrices Estimación'!$L$7,IF(AND(I17='Matrices Estimación'!$I$10,Mitigación!K17='Matrices Estimación'!$K$3),'Matrices Estimación'!$L$8,IF(AND(I17='Matrices Estimación'!$I$10,Mitigación!K17='Matrices Estimación'!$K$4),'Matrices Estimación'!$L$9,IF(AND(I17='Matrices Estimación'!$I$10,Mitigación!K17='Matrices Estimación'!$K$5),'Matrices Estimación'!$L$10,IF(AND(I17='Matrices Estimación'!$I$10,Mitigación!K17='Matrices Estimación'!$K$6),'Matrices Estimación'!$L$11,IF(AND(I17='Matrices Estimación'!$I$10,Mitigación!K17='Matrices Estimación'!$K$7),'Matrices Estimación'!$L$12,IF(AND(I17='Matrices Estimación'!$I$15,Mitigación!K17='Matrices Estimación'!$K$3),'Matrices Estimación'!$L$13,IF(AND(I17='Matrices Estimación'!$I$15,Mitigación!K17='Matrices Estimación'!$K$4),'Matrices Estimación'!$L$14,IF(AND(I17='Matrices Estimación'!$I$15,Mitigación!K17='Matrices Estimación'!$K$5),'Matrices Estimación'!$L$15,IF(AND(I17='Matrices Estimación'!$I$15,Mitigación!K17='Matrices Estimación'!$K$6),'Matrices Estimación'!$L$16,IF(AND(I17='Matrices Estimación'!$I$15,Mitigación!K17='Matrices Estimación'!$K$7),'Matrices Estimación'!$L$17,"")))))))))))))))</f>
        <v>0.32000000000000001</v>
      </c>
      <c r="M17" s="181">
        <f t="shared" si="31"/>
        <v>0.33999999999999997</v>
      </c>
      <c r="N17" s="279" t="str">
        <f t="shared" si="32"/>
        <v>MEDIO</v>
      </c>
    </row>
    <row r="18">
      <c r="A18" s="287"/>
      <c r="B18" s="288"/>
      <c r="C18" s="288"/>
      <c r="D18" s="288"/>
      <c r="E18" s="288"/>
      <c r="F18" s="288"/>
      <c r="G18" s="288"/>
      <c r="H18" s="288"/>
      <c r="I18" s="288"/>
      <c r="J18" s="289"/>
      <c r="K18" s="288"/>
      <c r="L18" s="283"/>
      <c r="M18" s="283"/>
      <c r="N18" s="279"/>
    </row>
    <row r="19" ht="18.75">
      <c r="A19" s="290" t="s">
        <v>416</v>
      </c>
      <c r="B19" s="266"/>
      <c r="C19" s="266"/>
      <c r="D19" s="276"/>
      <c r="E19" s="277"/>
      <c r="F19" s="277"/>
      <c r="G19" s="277"/>
      <c r="H19" s="277"/>
      <c r="I19" s="277"/>
      <c r="J19" s="283"/>
      <c r="K19" s="277"/>
      <c r="L19" s="283"/>
      <c r="M19" s="283"/>
      <c r="N19" s="279"/>
    </row>
    <row r="20" ht="42" customHeight="1">
      <c r="A20" s="286"/>
      <c r="B20" s="276" t="s">
        <v>417</v>
      </c>
      <c r="C20" s="276" t="s">
        <v>418</v>
      </c>
      <c r="D20" s="276" t="s">
        <v>419</v>
      </c>
      <c r="E20" s="277" t="s">
        <v>388</v>
      </c>
      <c r="F20" s="277"/>
      <c r="G20" s="277"/>
      <c r="H20" s="277"/>
      <c r="I20" s="277" t="s">
        <v>420</v>
      </c>
      <c r="J20" s="181">
        <f t="shared" si="30"/>
        <v>0.63</v>
      </c>
      <c r="K20" s="278" t="s">
        <v>421</v>
      </c>
      <c r="L20" s="181">
        <f>IF(AND(I20='Matrices Estimación'!$I$5,Mitigación!K20='Matrices Estimación'!$K$3),'Matrices Estimación'!$L$3,IF(AND(I20='Matrices Estimación'!$I$5,Mitigación!K20='Matrices Estimación'!$K$4),'Matrices Estimación'!$L$4,IF(AND(I20='Matrices Estimación'!$I$5,Mitigación!K20='Matrices Estimación'!$K$5),'Matrices Estimación'!$L$5,IF(AND(I20='Matrices Estimación'!$I$5,Mitigación!K20='Matrices Estimación'!$K$6),'Matrices Estimación'!$L$6,IF(AND(I20='Matrices Estimación'!$I$5,Mitigación!K20='Matrices Estimación'!$K$7),'Matrices Estimación'!$L$7,IF(AND(I20='Matrices Estimación'!$I$10,Mitigación!K20='Matrices Estimación'!$K$3),'Matrices Estimación'!$L$8,IF(AND(I20='Matrices Estimación'!$I$10,Mitigación!K20='Matrices Estimación'!$K$4),'Matrices Estimación'!$L$9,IF(AND(I20='Matrices Estimación'!$I$10,Mitigación!K20='Matrices Estimación'!$K$5),'Matrices Estimación'!$L$10,IF(AND(I20='Matrices Estimación'!$I$10,Mitigación!K20='Matrices Estimación'!$K$6),'Matrices Estimación'!$L$11,IF(AND(I20='Matrices Estimación'!$I$10,Mitigación!K20='Matrices Estimación'!$K$7),'Matrices Estimación'!$L$12,IF(AND(I20='Matrices Estimación'!$I$15,Mitigación!K20='Matrices Estimación'!$K$3),'Matrices Estimación'!$L$13,IF(AND(I20='Matrices Estimación'!$I$15,Mitigación!K20='Matrices Estimación'!$K$4),'Matrices Estimación'!$L$14,IF(AND(I20='Matrices Estimación'!$I$15,Mitigación!K20='Matrices Estimación'!$K$5),'Matrices Estimación'!$L$15,IF(AND(I20='Matrices Estimación'!$I$15,Mitigación!K20='Matrices Estimación'!$K$6),'Matrices Estimación'!$L$16,IF(AND(I20='Matrices Estimación'!$I$15,Mitigación!K20='Matrices Estimación'!$K$7),'Matrices Estimación'!$L$17,"")))))))))))))))</f>
        <v>0.39000000000000001</v>
      </c>
      <c r="M20" s="181">
        <f t="shared" si="31"/>
        <v>0.51000000000000001</v>
      </c>
      <c r="N20" s="279" t="str">
        <f t="shared" si="32"/>
        <v>MEDIO</v>
      </c>
    </row>
    <row r="21">
      <c r="A21" s="292"/>
      <c r="B21" s="276" t="s">
        <v>422</v>
      </c>
      <c r="C21" s="276" t="s">
        <v>423</v>
      </c>
      <c r="D21" s="276" t="s">
        <v>424</v>
      </c>
      <c r="E21" s="277" t="s">
        <v>388</v>
      </c>
      <c r="F21" s="277"/>
      <c r="G21" s="277"/>
      <c r="H21" s="277"/>
      <c r="I21" s="277" t="s">
        <v>420</v>
      </c>
      <c r="J21" s="181">
        <f t="shared" si="30"/>
        <v>0.63</v>
      </c>
      <c r="K21" s="278" t="s">
        <v>421</v>
      </c>
      <c r="L21" s="181">
        <f>IF(AND(I21='Matrices Estimación'!$I$5,Mitigación!K21='Matrices Estimación'!$K$3),'Matrices Estimación'!$L$3,IF(AND(I21='Matrices Estimación'!$I$5,Mitigación!K21='Matrices Estimación'!$K$4),'Matrices Estimación'!$L$4,IF(AND(I21='Matrices Estimación'!$I$5,Mitigación!K21='Matrices Estimación'!$K$5),'Matrices Estimación'!$L$5,IF(AND(I21='Matrices Estimación'!$I$5,Mitigación!K21='Matrices Estimación'!$K$6),'Matrices Estimación'!$L$6,IF(AND(I21='Matrices Estimación'!$I$5,Mitigación!K21='Matrices Estimación'!$K$7),'Matrices Estimación'!$L$7,IF(AND(I21='Matrices Estimación'!$I$10,Mitigación!K21='Matrices Estimación'!$K$3),'Matrices Estimación'!$L$8,IF(AND(I21='Matrices Estimación'!$I$10,Mitigación!K21='Matrices Estimación'!$K$4),'Matrices Estimación'!$L$9,IF(AND(I21='Matrices Estimación'!$I$10,Mitigación!K21='Matrices Estimación'!$K$5),'Matrices Estimación'!$L$10,IF(AND(I21='Matrices Estimación'!$I$10,Mitigación!K21='Matrices Estimación'!$K$6),'Matrices Estimación'!$L$11,IF(AND(I21='Matrices Estimación'!$I$10,Mitigación!K21='Matrices Estimación'!$K$7),'Matrices Estimación'!$L$12,IF(AND(I21='Matrices Estimación'!$I$15,Mitigación!K21='Matrices Estimación'!$K$3),'Matrices Estimación'!$L$13,IF(AND(I21='Matrices Estimación'!$I$15,Mitigación!K21='Matrices Estimación'!$K$4),'Matrices Estimación'!$L$14,IF(AND(I21='Matrices Estimación'!$I$15,Mitigación!K21='Matrices Estimación'!$K$5),'Matrices Estimación'!$L$15,IF(AND(I21='Matrices Estimación'!$I$15,Mitigación!K21='Matrices Estimación'!$K$6),'Matrices Estimación'!$L$16,IF(AND(I21='Matrices Estimación'!$I$15,Mitigación!K21='Matrices Estimación'!$K$7),'Matrices Estimación'!$L$17,"")))))))))))))))</f>
        <v>0.39000000000000001</v>
      </c>
      <c r="M21" s="181">
        <f t="shared" si="31"/>
        <v>0.51000000000000001</v>
      </c>
      <c r="N21" s="279" t="str">
        <f t="shared" si="32"/>
        <v>MEDIO</v>
      </c>
    </row>
    <row r="22">
      <c r="A22" s="287"/>
      <c r="B22" s="276" t="s">
        <v>425</v>
      </c>
      <c r="C22" s="276" t="s">
        <v>426</v>
      </c>
      <c r="D22" s="276" t="s">
        <v>427</v>
      </c>
      <c r="E22" s="277" t="s">
        <v>388</v>
      </c>
      <c r="F22" s="277"/>
      <c r="G22" s="277"/>
      <c r="H22" s="277"/>
      <c r="I22" s="277" t="s">
        <v>420</v>
      </c>
      <c r="J22" s="181">
        <f t="shared" si="30"/>
        <v>0.63</v>
      </c>
      <c r="K22" s="278" t="s">
        <v>421</v>
      </c>
      <c r="L22" s="181">
        <f>IF(AND(I22='Matrices Estimación'!$I$5,Mitigación!K22='Matrices Estimación'!$K$3),'Matrices Estimación'!$L$3,IF(AND(I22='Matrices Estimación'!$I$5,Mitigación!K22='Matrices Estimación'!$K$4),'Matrices Estimación'!$L$4,IF(AND(I22='Matrices Estimación'!$I$5,Mitigación!K22='Matrices Estimación'!$K$5),'Matrices Estimación'!$L$5,IF(AND(I22='Matrices Estimación'!$I$5,Mitigación!K22='Matrices Estimación'!$K$6),'Matrices Estimación'!$L$6,IF(AND(I22='Matrices Estimación'!$I$5,Mitigación!K22='Matrices Estimación'!$K$7),'Matrices Estimación'!$L$7,IF(AND(I22='Matrices Estimación'!$I$10,Mitigación!K22='Matrices Estimación'!$K$3),'Matrices Estimación'!$L$8,IF(AND(I22='Matrices Estimación'!$I$10,Mitigación!K22='Matrices Estimación'!$K$4),'Matrices Estimación'!$L$9,IF(AND(I22='Matrices Estimación'!$I$10,Mitigación!K22='Matrices Estimación'!$K$5),'Matrices Estimación'!$L$10,IF(AND(I22='Matrices Estimación'!$I$10,Mitigación!K22='Matrices Estimación'!$K$6),'Matrices Estimación'!$L$11,IF(AND(I22='Matrices Estimación'!$I$10,Mitigación!K22='Matrices Estimación'!$K$7),'Matrices Estimación'!$L$12,IF(AND(I22='Matrices Estimación'!$I$15,Mitigación!K22='Matrices Estimación'!$K$3),'Matrices Estimación'!$L$13,IF(AND(I22='Matrices Estimación'!$I$15,Mitigación!K22='Matrices Estimación'!$K$4),'Matrices Estimación'!$L$14,IF(AND(I22='Matrices Estimación'!$I$15,Mitigación!K22='Matrices Estimación'!$K$5),'Matrices Estimación'!$L$15,IF(AND(I22='Matrices Estimación'!$I$15,Mitigación!K22='Matrices Estimación'!$K$6),'Matrices Estimación'!$L$16,IF(AND(I22='Matrices Estimación'!$I$15,Mitigación!K22='Matrices Estimación'!$K$7),'Matrices Estimación'!$L$17,"")))))))))))))))</f>
        <v>0.39000000000000001</v>
      </c>
      <c r="M22" s="181">
        <f t="shared" si="31"/>
        <v>0.51000000000000001</v>
      </c>
      <c r="N22" s="279" t="str">
        <f t="shared" si="32"/>
        <v>MEDIO</v>
      </c>
    </row>
    <row r="23">
      <c r="A23" s="287"/>
      <c r="B23" s="288"/>
      <c r="C23" s="288"/>
      <c r="D23" s="288"/>
      <c r="E23" s="288"/>
      <c r="F23" s="288"/>
      <c r="G23" s="288"/>
      <c r="H23" s="288"/>
      <c r="I23" s="288"/>
      <c r="J23" s="289"/>
      <c r="K23" s="288"/>
      <c r="L23" s="289"/>
      <c r="M23" s="289"/>
      <c r="N23" s="293"/>
    </row>
    <row r="24">
      <c r="A24" s="287"/>
      <c r="B24" s="288"/>
      <c r="C24" s="288"/>
      <c r="D24" s="288"/>
      <c r="E24" s="288"/>
      <c r="F24" s="288"/>
      <c r="G24" s="288"/>
      <c r="H24" s="288"/>
      <c r="I24" s="288"/>
      <c r="J24" s="289"/>
      <c r="K24" s="288"/>
      <c r="L24" s="289"/>
      <c r="M24" s="289"/>
      <c r="N24" s="293"/>
    </row>
    <row r="25" ht="32.25" customHeight="1">
      <c r="A25" s="290" t="s">
        <v>428</v>
      </c>
      <c r="B25" s="266"/>
      <c r="C25" s="266"/>
      <c r="D25" s="276"/>
      <c r="E25" s="277"/>
      <c r="F25" s="277"/>
      <c r="G25" s="277"/>
      <c r="H25" s="277"/>
      <c r="I25" s="277"/>
      <c r="J25" s="283"/>
      <c r="K25" s="277"/>
      <c r="L25" s="283"/>
      <c r="M25" s="283"/>
      <c r="N25" s="279"/>
    </row>
    <row r="26" ht="110.25">
      <c r="A26" s="286"/>
      <c r="B26" s="276" t="s">
        <v>429</v>
      </c>
      <c r="C26" s="276" t="s">
        <v>430</v>
      </c>
      <c r="D26" s="276" t="s">
        <v>431</v>
      </c>
      <c r="E26" s="277" t="s">
        <v>388</v>
      </c>
      <c r="F26" s="277"/>
      <c r="G26" s="277"/>
      <c r="H26" s="277"/>
      <c r="I26" s="277" t="s">
        <v>389</v>
      </c>
      <c r="J26" s="181">
        <f t="shared" si="30"/>
        <v>0.90000000000000002</v>
      </c>
      <c r="K26" s="278" t="s">
        <v>390</v>
      </c>
      <c r="L26" s="181">
        <f>IF(AND(I26='Matrices Estimación'!$I$5,Mitigación!K26='Matrices Estimación'!$K$3),'Matrices Estimación'!$L$3,IF(AND(I26='Matrices Estimación'!$I$5,Mitigación!K26='Matrices Estimación'!$K$4),'Matrices Estimación'!$L$4,IF(AND(I26='Matrices Estimación'!$I$5,Mitigación!K26='Matrices Estimación'!$K$5),'Matrices Estimación'!$L$5,IF(AND(I26='Matrices Estimación'!$I$5,Mitigación!K26='Matrices Estimación'!$K$6),'Matrices Estimación'!$L$6,IF(AND(I26='Matrices Estimación'!$I$5,Mitigación!K26='Matrices Estimación'!$K$7),'Matrices Estimación'!$L$7,IF(AND(I26='Matrices Estimación'!$I$10,Mitigación!K26='Matrices Estimación'!$K$3),'Matrices Estimación'!$L$8,IF(AND(I26='Matrices Estimación'!$I$10,Mitigación!K26='Matrices Estimación'!$K$4),'Matrices Estimación'!$L$9,IF(AND(I26='Matrices Estimación'!$I$10,Mitigación!K26='Matrices Estimación'!$K$5),'Matrices Estimación'!$L$10,IF(AND(I26='Matrices Estimación'!$I$10,Mitigación!K26='Matrices Estimación'!$K$6),'Matrices Estimación'!$L$11,IF(AND(I26='Matrices Estimación'!$I$10,Mitigación!K26='Matrices Estimación'!$K$7),'Matrices Estimación'!$L$12,IF(AND(I26='Matrices Estimación'!$I$15,Mitigación!K26='Matrices Estimación'!$K$3),'Matrices Estimación'!$L$13,IF(AND(I26='Matrices Estimación'!$I$15,Mitigación!K26='Matrices Estimación'!$K$4),'Matrices Estimación'!$L$14,IF(AND(I26='Matrices Estimación'!$I$15,Mitigación!K26='Matrices Estimación'!$K$5),'Matrices Estimación'!$L$15,IF(AND(I26='Matrices Estimación'!$I$15,Mitigación!K26='Matrices Estimación'!$K$6),'Matrices Estimación'!$L$16,IF(AND(I26='Matrices Estimación'!$I$15,Mitigación!K26='Matrices Estimación'!$K$7),'Matrices Estimación'!$L$17,"")))))))))))))))</f>
        <v>0.35999999999999999</v>
      </c>
      <c r="M26" s="181">
        <f t="shared" si="31"/>
        <v>0.63</v>
      </c>
      <c r="N26" s="279" t="str">
        <f t="shared" si="32"/>
        <v>ALTO</v>
      </c>
    </row>
    <row r="27">
      <c r="A27" s="292"/>
      <c r="B27" s="276" t="s">
        <v>432</v>
      </c>
      <c r="C27" s="276" t="s">
        <v>433</v>
      </c>
      <c r="D27" s="276" t="s">
        <v>434</v>
      </c>
      <c r="E27" s="277" t="s">
        <v>388</v>
      </c>
      <c r="F27" s="277"/>
      <c r="G27" s="277"/>
      <c r="H27" s="277"/>
      <c r="I27" s="277" t="s">
        <v>389</v>
      </c>
      <c r="J27" s="181">
        <f t="shared" si="30"/>
        <v>0.90000000000000002</v>
      </c>
      <c r="K27" s="280" t="s">
        <v>390</v>
      </c>
      <c r="L27" s="181">
        <f>IF(AND(I27='Matrices Estimación'!$I$5,Mitigación!K27='Matrices Estimación'!$K$3),'Matrices Estimación'!$L$3,IF(AND(I27='Matrices Estimación'!$I$5,Mitigación!K27='Matrices Estimación'!$K$4),'Matrices Estimación'!$L$4,IF(AND(I27='Matrices Estimación'!$I$5,Mitigación!K27='Matrices Estimación'!$K$5),'Matrices Estimación'!$L$5,IF(AND(I27='Matrices Estimación'!$I$5,Mitigación!K27='Matrices Estimación'!$K$6),'Matrices Estimación'!$L$6,IF(AND(I27='Matrices Estimación'!$I$5,Mitigación!K27='Matrices Estimación'!$K$7),'Matrices Estimación'!$L$7,IF(AND(I27='Matrices Estimación'!$I$10,Mitigación!K27='Matrices Estimación'!$K$3),'Matrices Estimación'!$L$8,IF(AND(I27='Matrices Estimación'!$I$10,Mitigación!K27='Matrices Estimación'!$K$4),'Matrices Estimación'!$L$9,IF(AND(I27='Matrices Estimación'!$I$10,Mitigación!K27='Matrices Estimación'!$K$5),'Matrices Estimación'!$L$10,IF(AND(I27='Matrices Estimación'!$I$10,Mitigación!K27='Matrices Estimación'!$K$6),'Matrices Estimación'!$L$11,IF(AND(I27='Matrices Estimación'!$I$10,Mitigación!K27='Matrices Estimación'!$K$7),'Matrices Estimación'!$L$12,IF(AND(I27='Matrices Estimación'!$I$15,Mitigación!K27='Matrices Estimación'!$K$3),'Matrices Estimación'!$L$13,IF(AND(I27='Matrices Estimación'!$I$15,Mitigación!K27='Matrices Estimación'!$K$4),'Matrices Estimación'!$L$14,IF(AND(I27='Matrices Estimación'!$I$15,Mitigación!K27='Matrices Estimación'!$K$5),'Matrices Estimación'!$L$15,IF(AND(I27='Matrices Estimación'!$I$15,Mitigación!K27='Matrices Estimación'!$K$6),'Matrices Estimación'!$L$16,IF(AND(I27='Matrices Estimación'!$I$15,Mitigación!K27='Matrices Estimación'!$K$7),'Matrices Estimación'!$L$17,"")))))))))))))))</f>
        <v>0.35999999999999999</v>
      </c>
      <c r="M27" s="181">
        <f t="shared" si="31"/>
        <v>0.63</v>
      </c>
      <c r="N27" s="279" t="str">
        <f t="shared" si="32"/>
        <v>ALTO</v>
      </c>
    </row>
    <row r="28" ht="78.75">
      <c r="A28" s="292"/>
      <c r="B28" s="276" t="s">
        <v>435</v>
      </c>
      <c r="C28" s="276" t="s">
        <v>436</v>
      </c>
      <c r="D28" s="276" t="s">
        <v>437</v>
      </c>
      <c r="E28" s="277" t="s">
        <v>388</v>
      </c>
      <c r="F28" s="277"/>
      <c r="G28" s="277"/>
      <c r="H28" s="277"/>
      <c r="I28" s="277" t="s">
        <v>389</v>
      </c>
      <c r="J28" s="181">
        <f t="shared" si="30"/>
        <v>0.90000000000000002</v>
      </c>
      <c r="K28" s="280" t="s">
        <v>390</v>
      </c>
      <c r="L28" s="181">
        <f>IF(AND(I28='Matrices Estimación'!$I$5,Mitigación!K28='Matrices Estimación'!$K$3),'Matrices Estimación'!$L$3,IF(AND(I28='Matrices Estimación'!$I$5,Mitigación!K28='Matrices Estimación'!$K$4),'Matrices Estimación'!$L$4,IF(AND(I28='Matrices Estimación'!$I$5,Mitigación!K28='Matrices Estimación'!$K$5),'Matrices Estimación'!$L$5,IF(AND(I28='Matrices Estimación'!$I$5,Mitigación!K28='Matrices Estimación'!$K$6),'Matrices Estimación'!$L$6,IF(AND(I28='Matrices Estimación'!$I$5,Mitigación!K28='Matrices Estimación'!$K$7),'Matrices Estimación'!$L$7,IF(AND(I28='Matrices Estimación'!$I$10,Mitigación!K28='Matrices Estimación'!$K$3),'Matrices Estimación'!$L$8,IF(AND(I28='Matrices Estimación'!$I$10,Mitigación!K28='Matrices Estimación'!$K$4),'Matrices Estimación'!$L$9,IF(AND(I28='Matrices Estimación'!$I$10,Mitigación!K28='Matrices Estimación'!$K$5),'Matrices Estimación'!$L$10,IF(AND(I28='Matrices Estimación'!$I$10,Mitigación!K28='Matrices Estimación'!$K$6),'Matrices Estimación'!$L$11,IF(AND(I28='Matrices Estimación'!$I$10,Mitigación!K28='Matrices Estimación'!$K$7),'Matrices Estimación'!$L$12,IF(AND(I28='Matrices Estimación'!$I$15,Mitigación!K28='Matrices Estimación'!$K$3),'Matrices Estimación'!$L$13,IF(AND(I28='Matrices Estimación'!$I$15,Mitigación!K28='Matrices Estimación'!$K$4),'Matrices Estimación'!$L$14,IF(AND(I28='Matrices Estimación'!$I$15,Mitigación!K28='Matrices Estimación'!$K$5),'Matrices Estimación'!$L$15,IF(AND(I28='Matrices Estimación'!$I$15,Mitigación!K28='Matrices Estimación'!$K$6),'Matrices Estimación'!$L$16,IF(AND(I28='Matrices Estimación'!$I$15,Mitigación!K28='Matrices Estimación'!$K$7),'Matrices Estimación'!$L$17,"")))))))))))))))</f>
        <v>0.35999999999999999</v>
      </c>
      <c r="M28" s="181">
        <f t="shared" si="31"/>
        <v>0.63</v>
      </c>
      <c r="N28" s="279" t="str">
        <f t="shared" si="32"/>
        <v>ALTO</v>
      </c>
    </row>
    <row r="29">
      <c r="A29" s="287"/>
      <c r="B29" s="288"/>
      <c r="C29" s="288"/>
      <c r="D29" s="288"/>
      <c r="E29" s="288"/>
      <c r="F29" s="288"/>
      <c r="G29" s="288"/>
      <c r="H29" s="288"/>
      <c r="I29" s="288"/>
      <c r="J29" s="289"/>
      <c r="K29" s="288"/>
      <c r="L29" s="283"/>
      <c r="M29" s="283"/>
      <c r="N29" s="279"/>
    </row>
    <row r="30" ht="18.75">
      <c r="A30" s="284" t="s">
        <v>438</v>
      </c>
      <c r="B30" s="266"/>
      <c r="C30" s="266"/>
      <c r="D30" s="276"/>
      <c r="E30" s="277"/>
      <c r="F30" s="277"/>
      <c r="G30" s="277"/>
      <c r="H30" s="277"/>
      <c r="I30" s="277"/>
      <c r="J30" s="283"/>
      <c r="K30" s="277"/>
      <c r="L30" s="283"/>
      <c r="M30" s="283"/>
      <c r="N30" s="279"/>
    </row>
    <row r="31" ht="31.5" customHeight="1">
      <c r="A31" s="281"/>
      <c r="B31" s="276" t="s">
        <v>439</v>
      </c>
      <c r="C31" s="276" t="s">
        <v>440</v>
      </c>
      <c r="D31" s="171" t="s">
        <v>441</v>
      </c>
      <c r="E31" s="277" t="s">
        <v>388</v>
      </c>
      <c r="F31" s="277"/>
      <c r="G31" s="277"/>
      <c r="H31" s="277"/>
      <c r="I31" s="277" t="s">
        <v>406</v>
      </c>
      <c r="J31" s="181">
        <f t="shared" si="30"/>
        <v>0.35999999999999999</v>
      </c>
      <c r="K31" s="278" t="s">
        <v>390</v>
      </c>
      <c r="L31" s="181">
        <f>IF(AND(I31='Matrices Estimación'!$I$5,Mitigación!K31='Matrices Estimación'!$K$3),'Matrices Estimación'!$L$3,IF(AND(I31='Matrices Estimación'!$I$5,Mitigación!K31='Matrices Estimación'!$K$4),'Matrices Estimación'!$L$4,IF(AND(I31='Matrices Estimación'!$I$5,Mitigación!K31='Matrices Estimación'!$K$5),'Matrices Estimación'!$L$5,IF(AND(I31='Matrices Estimación'!$I$5,Mitigación!K31='Matrices Estimación'!$K$6),'Matrices Estimación'!$L$6,IF(AND(I31='Matrices Estimación'!$I$5,Mitigación!K31='Matrices Estimación'!$K$7),'Matrices Estimación'!$L$7,IF(AND(I31='Matrices Estimación'!$I$10,Mitigación!K31='Matrices Estimación'!$K$3),'Matrices Estimación'!$L$8,IF(AND(I31='Matrices Estimación'!$I$10,Mitigación!K31='Matrices Estimación'!$K$4),'Matrices Estimación'!$L$9,IF(AND(I31='Matrices Estimación'!$I$10,Mitigación!K31='Matrices Estimación'!$K$5),'Matrices Estimación'!$L$10,IF(AND(I31='Matrices Estimación'!$I$10,Mitigación!K31='Matrices Estimación'!$K$6),'Matrices Estimación'!$L$11,IF(AND(I31='Matrices Estimación'!$I$10,Mitigación!K31='Matrices Estimación'!$K$7),'Matrices Estimación'!$L$12,IF(AND(I31='Matrices Estimación'!$I$15,Mitigación!K31='Matrices Estimación'!$K$3),'Matrices Estimación'!$L$13,IF(AND(I31='Matrices Estimación'!$I$15,Mitigación!K31='Matrices Estimación'!$K$4),'Matrices Estimación'!$L$14,IF(AND(I31='Matrices Estimación'!$I$15,Mitigación!K31='Matrices Estimación'!$K$5),'Matrices Estimación'!$L$15,IF(AND(I31='Matrices Estimación'!$I$15,Mitigación!K31='Matrices Estimación'!$K$6),'Matrices Estimación'!$L$16,IF(AND(I31='Matrices Estimación'!$I$15,Mitigación!K31='Matrices Estimación'!$K$7),'Matrices Estimación'!$L$17,"")))))))))))))))</f>
        <v>0.16</v>
      </c>
      <c r="M31" s="181">
        <f t="shared" si="31"/>
        <v>0.26000000000000001</v>
      </c>
      <c r="N31" s="279" t="str">
        <f t="shared" si="32"/>
        <v>BAJO</v>
      </c>
    </row>
    <row r="32" ht="31.5">
      <c r="A32" s="281"/>
      <c r="B32" s="276" t="s">
        <v>442</v>
      </c>
      <c r="C32" s="276" t="s">
        <v>443</v>
      </c>
      <c r="D32" s="171"/>
      <c r="E32" s="277" t="s">
        <v>388</v>
      </c>
      <c r="F32" s="277"/>
      <c r="G32" s="277"/>
      <c r="H32" s="277"/>
      <c r="I32" s="277" t="s">
        <v>406</v>
      </c>
      <c r="J32" s="181">
        <f t="shared" si="30"/>
        <v>0.35999999999999999</v>
      </c>
      <c r="K32" s="280" t="s">
        <v>444</v>
      </c>
      <c r="L32" s="181">
        <f>IF(AND(I32='Matrices Estimación'!$I$5,Mitigación!K32='Matrices Estimación'!$K$3),'Matrices Estimación'!$L$3,IF(AND(I32='Matrices Estimación'!$I$5,Mitigación!K32='Matrices Estimación'!$K$4),'Matrices Estimación'!$L$4,IF(AND(I32='Matrices Estimación'!$I$5,Mitigación!K32='Matrices Estimación'!$K$5),'Matrices Estimación'!$L$5,IF(AND(I32='Matrices Estimación'!$I$5,Mitigación!K32='Matrices Estimación'!$K$6),'Matrices Estimación'!$L$6,IF(AND(I32='Matrices Estimación'!$I$5,Mitigación!K32='Matrices Estimación'!$K$7),'Matrices Estimación'!$L$7,IF(AND(I32='Matrices Estimación'!$I$10,Mitigación!K32='Matrices Estimación'!$K$3),'Matrices Estimación'!$L$8,IF(AND(I32='Matrices Estimación'!$I$10,Mitigación!K32='Matrices Estimación'!$K$4),'Matrices Estimación'!$L$9,IF(AND(I32='Matrices Estimación'!$I$10,Mitigación!K32='Matrices Estimación'!$K$5),'Matrices Estimación'!$L$10,IF(AND(I32='Matrices Estimación'!$I$10,Mitigación!K32='Matrices Estimación'!$K$6),'Matrices Estimación'!$L$11,IF(AND(I32='Matrices Estimación'!$I$10,Mitigación!K32='Matrices Estimación'!$K$7),'Matrices Estimación'!$L$12,IF(AND(I32='Matrices Estimación'!$I$15,Mitigación!K32='Matrices Estimación'!$K$3),'Matrices Estimación'!$L$13,IF(AND(I32='Matrices Estimación'!$I$15,Mitigación!K32='Matrices Estimación'!$K$4),'Matrices Estimación'!$L$14,IF(AND(I32='Matrices Estimación'!$I$15,Mitigación!K32='Matrices Estimación'!$K$5),'Matrices Estimación'!$L$15,IF(AND(I32='Matrices Estimación'!$I$15,Mitigación!K32='Matrices Estimación'!$K$6),'Matrices Estimación'!$L$16,IF(AND(I32='Matrices Estimación'!$I$15,Mitigación!K32='Matrices Estimación'!$K$7),'Matrices Estimación'!$L$17,"")))))))))))))))</f>
        <v>0.080000000000000002</v>
      </c>
      <c r="M32" s="181">
        <f t="shared" si="31"/>
        <v>0.22</v>
      </c>
      <c r="N32" s="279" t="str">
        <f t="shared" si="32"/>
        <v>BAJO</v>
      </c>
    </row>
    <row r="33">
      <c r="A33" s="287"/>
      <c r="B33" s="288"/>
      <c r="C33" s="288"/>
      <c r="D33" s="288"/>
      <c r="E33" s="288"/>
      <c r="F33" s="288"/>
      <c r="G33" s="288"/>
      <c r="H33" s="288"/>
      <c r="I33" s="288"/>
      <c r="J33" s="289"/>
      <c r="K33" s="288"/>
      <c r="L33" s="283"/>
      <c r="M33" s="283"/>
      <c r="N33" s="279"/>
    </row>
    <row r="34" ht="18.75">
      <c r="A34" s="290" t="s">
        <v>445</v>
      </c>
      <c r="B34" s="266"/>
      <c r="C34" s="266"/>
      <c r="D34" s="276"/>
      <c r="E34" s="277"/>
      <c r="F34" s="277"/>
      <c r="G34" s="277"/>
      <c r="H34" s="277"/>
      <c r="I34" s="277"/>
      <c r="J34" s="282"/>
      <c r="K34" s="280"/>
      <c r="L34" s="283"/>
      <c r="M34" s="283"/>
      <c r="N34" s="279"/>
    </row>
    <row r="35" ht="94.5">
      <c r="A35" s="291"/>
      <c r="B35" s="276" t="s">
        <v>446</v>
      </c>
      <c r="C35" s="276" t="s">
        <v>447</v>
      </c>
      <c r="D35" s="276" t="s">
        <v>448</v>
      </c>
      <c r="E35" s="277" t="s">
        <v>388</v>
      </c>
      <c r="F35" s="277"/>
      <c r="G35" s="277"/>
      <c r="H35" s="277"/>
      <c r="I35" s="277" t="s">
        <v>389</v>
      </c>
      <c r="J35" s="181">
        <f t="shared" si="30"/>
        <v>0.90000000000000002</v>
      </c>
      <c r="K35" s="278" t="s">
        <v>390</v>
      </c>
      <c r="L35" s="181">
        <f>IF(AND(I35='Matrices Estimación'!$I$5,Mitigación!K35='Matrices Estimación'!$K$3),'Matrices Estimación'!$L$3,IF(AND(I35='Matrices Estimación'!$I$5,Mitigación!K35='Matrices Estimación'!$K$4),'Matrices Estimación'!$L$4,IF(AND(I35='Matrices Estimación'!$I$5,Mitigación!K35='Matrices Estimación'!$K$5),'Matrices Estimación'!$L$5,IF(AND(I35='Matrices Estimación'!$I$5,Mitigación!K35='Matrices Estimación'!$K$6),'Matrices Estimación'!$L$6,IF(AND(I35='Matrices Estimación'!$I$5,Mitigación!K35='Matrices Estimación'!$K$7),'Matrices Estimación'!$L$7,IF(AND(I35='Matrices Estimación'!$I$10,Mitigación!K35='Matrices Estimación'!$K$3),'Matrices Estimación'!$L$8,IF(AND(I35='Matrices Estimación'!$I$10,Mitigación!K35='Matrices Estimación'!$K$4),'Matrices Estimación'!$L$9,IF(AND(I35='Matrices Estimación'!$I$10,Mitigación!K35='Matrices Estimación'!$K$5),'Matrices Estimación'!$L$10,IF(AND(I35='Matrices Estimación'!$I$10,Mitigación!K35='Matrices Estimación'!$K$6),'Matrices Estimación'!$L$11,IF(AND(I35='Matrices Estimación'!$I$10,Mitigación!K35='Matrices Estimación'!$K$7),'Matrices Estimación'!$L$12,IF(AND(I35='Matrices Estimación'!$I$15,Mitigación!K35='Matrices Estimación'!$K$3),'Matrices Estimación'!$L$13,IF(AND(I35='Matrices Estimación'!$I$15,Mitigación!K35='Matrices Estimación'!$K$4),'Matrices Estimación'!$L$14,IF(AND(I35='Matrices Estimación'!$I$15,Mitigación!K35='Matrices Estimación'!$K$5),'Matrices Estimación'!$L$15,IF(AND(I35='Matrices Estimación'!$I$15,Mitigación!K35='Matrices Estimación'!$K$6),'Matrices Estimación'!$L$16,IF(AND(I35='Matrices Estimación'!$I$15,Mitigación!K35='Matrices Estimación'!$K$7),'Matrices Estimación'!$L$17,"")))))))))))))))</f>
        <v>0.35999999999999999</v>
      </c>
      <c r="M35" s="181">
        <f t="shared" si="31"/>
        <v>0.63</v>
      </c>
      <c r="N35" s="279" t="str">
        <f t="shared" si="32"/>
        <v>ALTO</v>
      </c>
    </row>
    <row r="36" ht="32.25">
      <c r="A36" s="294"/>
      <c r="B36" s="295" t="s">
        <v>449</v>
      </c>
      <c r="C36" s="295" t="s">
        <v>450</v>
      </c>
      <c r="D36" s="295" t="s">
        <v>451</v>
      </c>
      <c r="E36" s="296" t="s">
        <v>452</v>
      </c>
      <c r="F36" s="296" t="s">
        <v>376</v>
      </c>
      <c r="G36" s="296"/>
      <c r="H36" s="296"/>
      <c r="I36" s="296" t="s">
        <v>406</v>
      </c>
      <c r="J36" s="238">
        <f t="shared" si="30"/>
        <v>0.35999999999999999</v>
      </c>
      <c r="K36" s="297" t="s">
        <v>397</v>
      </c>
      <c r="L36" s="238">
        <f>IF(AND(I36='Matrices Estimación'!$I$5,Mitigación!K36='Matrices Estimación'!$K$3),'Matrices Estimación'!$L$3,IF(AND(I36='Matrices Estimación'!$I$5,Mitigación!K36='Matrices Estimación'!$K$4),'Matrices Estimación'!$L$4,IF(AND(I36='Matrices Estimación'!$I$5,Mitigación!K36='Matrices Estimación'!$K$5),'Matrices Estimación'!$L$5,IF(AND(I36='Matrices Estimación'!$I$5,Mitigación!K36='Matrices Estimación'!$K$6),'Matrices Estimación'!$L$6,IF(AND(I36='Matrices Estimación'!$I$5,Mitigación!K36='Matrices Estimación'!$K$7),'Matrices Estimación'!$L$7,IF(AND(I36='Matrices Estimación'!$I$10,Mitigación!K36='Matrices Estimación'!$K$3),'Matrices Estimación'!$L$8,IF(AND(I36='Matrices Estimación'!$I$10,Mitigación!K36='Matrices Estimación'!$K$4),'Matrices Estimación'!$L$9,IF(AND(I36='Matrices Estimación'!$I$10,Mitigación!K36='Matrices Estimación'!$K$5),'Matrices Estimación'!$L$10,IF(AND(I36='Matrices Estimación'!$I$10,Mitigación!K36='Matrices Estimación'!$K$6),'Matrices Estimación'!$L$11,IF(AND(I36='Matrices Estimación'!$I$10,Mitigación!K36='Matrices Estimación'!$K$7),'Matrices Estimación'!$L$12,IF(AND(I36='Matrices Estimación'!$I$15,Mitigación!K36='Matrices Estimación'!$K$3),'Matrices Estimación'!$L$13,IF(AND(I36='Matrices Estimación'!$I$15,Mitigación!K36='Matrices Estimación'!$K$4),'Matrices Estimación'!$L$14,IF(AND(I36='Matrices Estimación'!$I$15,Mitigación!K36='Matrices Estimación'!$K$5),'Matrices Estimación'!$L$15,IF(AND(I36='Matrices Estimación'!$I$15,Mitigación!K36='Matrices Estimación'!$K$6),'Matrices Estimación'!$L$16,IF(AND(I36='Matrices Estimación'!$I$15,Mitigación!K36='Matrices Estimación'!$K$7),'Matrices Estimación'!$L$17,"")))))))))))))))</f>
        <v>0.32000000000000001</v>
      </c>
      <c r="M36" s="238">
        <f t="shared" si="31"/>
        <v>0.33999999999999997</v>
      </c>
      <c r="N36" s="298" t="str">
        <f t="shared" si="32"/>
        <v>MEDIO</v>
      </c>
    </row>
    <row r="39">
      <c r="L39" s="13"/>
      <c r="M39" s="299"/>
      <c r="N39" s="13"/>
    </row>
    <row r="40">
      <c r="L40" s="13"/>
      <c r="M40" s="13"/>
      <c r="N40" s="13"/>
    </row>
  </sheetData>
  <mergeCells count="4">
    <mergeCell ref="A1:N1"/>
    <mergeCell ref="A3:C3"/>
    <mergeCell ref="G3:H3"/>
    <mergeCell ref="I3:L3"/>
  </mergeCells>
  <dataValidations count="2" disablePrompts="0">
    <dataValidation sqref="I39:I40 I25:I36 I5:I22" type="list" allowBlank="1" errorStyle="stop" imeMode="noControl" operator="between" showDropDown="0" showErrorMessage="1" showInputMessage="1">
      <formula1>'Matrices Estimación'!$G$3:$G$6</formula1>
    </dataValidation>
    <dataValidation sqref="K39:K40 K25:K36 K5:K22" type="list" allowBlank="1" errorStyle="stop" imeMode="noControl" operator="between" showDropDown="0" showErrorMessage="1" showInputMessage="1">
      <formula1>'Matrices Estimación'!$K$3:$K$7</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0" operator="greaterThan" id="{00FA0073-0095-4583-9F1F-009800FC0027}">
            <xm:f>0.6</xm:f>
            <x14:dxf>
              <font>
                <color theme="0"/>
              </font>
              <fill>
                <patternFill patternType="solid">
                  <fgColor theme="9" tint="0.39994506668294322"/>
                  <bgColor theme="9" tint="0.39994506668294322"/>
                </patternFill>
              </fill>
            </x14:dxf>
          </x14:cfRule>
          <xm:sqref>M5:M8 M11 M26:M28 M35:M36</xm:sqref>
        </x14:conditionalFormatting>
        <x14:conditionalFormatting xmlns:xm="http://schemas.microsoft.com/office/excel/2006/main">
          <x14:cfRule type="cellIs" priority="11" operator="between" id="{00C700E3-00E9-4ACC-AC67-0010009A0079}">
            <xm:f>0.31</xm:f>
            <xm:f>0.6</xm:f>
            <x14:dxf>
              <font>
                <color theme="0"/>
              </font>
              <fill>
                <patternFill patternType="solid">
                  <fgColor theme="7" tint="0.39994506668294322"/>
                  <bgColor theme="7" tint="0.39994506668294322"/>
                </patternFill>
              </fill>
            </x14:dxf>
          </x14:cfRule>
          <xm:sqref>M5:M8 M11 M26:M28 M35:M36</xm:sqref>
        </x14:conditionalFormatting>
        <x14:conditionalFormatting xmlns:xm="http://schemas.microsoft.com/office/excel/2006/main">
          <x14:cfRule type="cellIs" priority="12" operator="between" id="{009700A0-00B6-4BF5-83FF-000200080056}">
            <xm:f>0</xm:f>
            <xm:f>0.3</xm:f>
            <x14:dxf>
              <font>
                <color theme="0"/>
              </font>
              <fill>
                <patternFill patternType="solid">
                  <fgColor rgb="FFFC634A"/>
                  <bgColor rgb="FFFC634A"/>
                </patternFill>
              </fill>
            </x14:dxf>
          </x14:cfRule>
          <xm:sqref>M5:M8 M11 M26:M28 M35:M36</xm:sqref>
        </x14:conditionalFormatting>
        <x14:conditionalFormatting xmlns:xm="http://schemas.microsoft.com/office/excel/2006/main">
          <x14:cfRule type="cellIs" priority="7" operator="greaterThan" id="{00400002-001C-4F19-B6B9-009D009400E9}">
            <xm:f>0.6</xm:f>
            <x14:dxf>
              <font>
                <color theme="0"/>
              </font>
              <fill>
                <patternFill patternType="solid">
                  <fgColor theme="9" tint="0.39994506668294322"/>
                  <bgColor theme="9" tint="0.39994506668294322"/>
                </patternFill>
              </fill>
            </x14:dxf>
          </x14:cfRule>
          <xm:sqref>M14:M17</xm:sqref>
        </x14:conditionalFormatting>
        <x14:conditionalFormatting xmlns:xm="http://schemas.microsoft.com/office/excel/2006/main">
          <x14:cfRule type="cellIs" priority="8" operator="between" id="{00A90095-007C-4530-8E05-0009009A0018}">
            <xm:f>0.31</xm:f>
            <xm:f>0.6</xm:f>
            <x14:dxf>
              <font>
                <color theme="0"/>
              </font>
              <fill>
                <patternFill patternType="solid">
                  <fgColor theme="7" tint="0.39994506668294322"/>
                  <bgColor theme="7" tint="0.39994506668294322"/>
                </patternFill>
              </fill>
            </x14:dxf>
          </x14:cfRule>
          <xm:sqref>M14:M17</xm:sqref>
        </x14:conditionalFormatting>
        <x14:conditionalFormatting xmlns:xm="http://schemas.microsoft.com/office/excel/2006/main">
          <x14:cfRule type="cellIs" priority="9" operator="between" id="{00E500AA-00D9-448E-B502-00F500A50016}">
            <xm:f>0</xm:f>
            <xm:f>0.3</xm:f>
            <x14:dxf>
              <font>
                <color theme="0"/>
              </font>
              <fill>
                <patternFill patternType="solid">
                  <fgColor rgb="FFFC634A"/>
                  <bgColor rgb="FFFC634A"/>
                </patternFill>
              </fill>
            </x14:dxf>
          </x14:cfRule>
          <xm:sqref>M14:M17</xm:sqref>
        </x14:conditionalFormatting>
        <x14:conditionalFormatting xmlns:xm="http://schemas.microsoft.com/office/excel/2006/main">
          <x14:cfRule type="cellIs" priority="4" operator="greaterThan" id="{004B006D-007A-4A62-AE4B-00DA00AC00E1}">
            <xm:f>0.6</xm:f>
            <x14:dxf>
              <font>
                <color theme="0"/>
              </font>
              <fill>
                <patternFill patternType="solid">
                  <fgColor theme="9" tint="0.39994506668294322"/>
                  <bgColor theme="9" tint="0.39994506668294322"/>
                </patternFill>
              </fill>
            </x14:dxf>
          </x14:cfRule>
          <xm:sqref>M20:M22</xm:sqref>
        </x14:conditionalFormatting>
        <x14:conditionalFormatting xmlns:xm="http://schemas.microsoft.com/office/excel/2006/main">
          <x14:cfRule type="cellIs" priority="5" operator="between" id="{003F0068-00F7-4A27-BC3A-00F5000B000E}">
            <xm:f>0.31</xm:f>
            <xm:f>0.6</xm:f>
            <x14:dxf>
              <font>
                <color theme="0"/>
              </font>
              <fill>
                <patternFill patternType="solid">
                  <fgColor theme="7" tint="0.39994506668294322"/>
                  <bgColor theme="7" tint="0.39994506668294322"/>
                </patternFill>
              </fill>
            </x14:dxf>
          </x14:cfRule>
          <xm:sqref>M20:M22</xm:sqref>
        </x14:conditionalFormatting>
        <x14:conditionalFormatting xmlns:xm="http://schemas.microsoft.com/office/excel/2006/main">
          <x14:cfRule type="cellIs" priority="6" operator="between" id="{0005006B-0070-43EE-989E-00DB00720092}">
            <xm:f>0</xm:f>
            <xm:f>0.3</xm:f>
            <x14:dxf>
              <font>
                <color theme="0"/>
              </font>
              <fill>
                <patternFill patternType="solid">
                  <fgColor rgb="FFFC634A"/>
                  <bgColor rgb="FFFC634A"/>
                </patternFill>
              </fill>
            </x14:dxf>
          </x14:cfRule>
          <xm:sqref>M20:M22</xm:sqref>
        </x14:conditionalFormatting>
        <x14:conditionalFormatting xmlns:xm="http://schemas.microsoft.com/office/excel/2006/main">
          <x14:cfRule type="cellIs" priority="1" operator="greaterThan" id="{001B0089-0092-403A-A431-00E800610016}">
            <xm:f>0.6</xm:f>
            <x14:dxf>
              <font>
                <color theme="0"/>
              </font>
              <fill>
                <patternFill patternType="solid">
                  <fgColor theme="9" tint="0.39994506668294322"/>
                  <bgColor theme="9" tint="0.39994506668294322"/>
                </patternFill>
              </fill>
            </x14:dxf>
          </x14:cfRule>
          <xm:sqref>M31:M32</xm:sqref>
        </x14:conditionalFormatting>
        <x14:conditionalFormatting xmlns:xm="http://schemas.microsoft.com/office/excel/2006/main">
          <x14:cfRule type="cellIs" priority="2" operator="between" id="{00EC00EC-005E-46DD-B771-00F10063003E}">
            <xm:f>0.31</xm:f>
            <xm:f>0.6</xm:f>
            <x14:dxf>
              <font>
                <color theme="0"/>
              </font>
              <fill>
                <patternFill patternType="solid">
                  <fgColor theme="7" tint="0.39994506668294322"/>
                  <bgColor theme="7" tint="0.39994506668294322"/>
                </patternFill>
              </fill>
            </x14:dxf>
          </x14:cfRule>
          <xm:sqref>M31:M32</xm:sqref>
        </x14:conditionalFormatting>
        <x14:conditionalFormatting xmlns:xm="http://schemas.microsoft.com/office/excel/2006/main">
          <x14:cfRule type="cellIs" priority="3" operator="between" id="{006A00D0-007C-46D8-820F-001400E10069}">
            <xm:f>0</xm:f>
            <xm:f>0.3</xm:f>
            <x14:dxf>
              <font>
                <color theme="0"/>
              </font>
              <fill>
                <patternFill patternType="solid">
                  <fgColor rgb="FFFC634A"/>
                  <bgColor rgb="FFFC634A"/>
                </patternFill>
              </fill>
            </x14:dxf>
          </x14:cfRule>
          <xm:sqref>M31:M32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70" workbookViewId="0">
      <selection activeCell="A1" activeCellId="0" sqref="A1"/>
    </sheetView>
  </sheetViews>
  <sheetFormatPr baseColWidth="10" defaultColWidth="12.5703125" defaultRowHeight="15.75"/>
  <cols>
    <col customWidth="1" min="1" max="9" style="300" width="25.7109375"/>
    <col customWidth="1" min="10" max="10" style="300" width="23.5703125"/>
    <col customWidth="1" min="11" max="18" style="300" width="17.85546875"/>
    <col bestFit="1" customWidth="1" min="19" max="19" style="300" width="6.85546875"/>
    <col min="20" max="20" style="300" width="12.5703125"/>
    <col bestFit="1" customWidth="1" min="21" max="21" style="300" width="18.7109375"/>
    <col bestFit="1" customWidth="1" min="22" max="24" style="300" width="6.85546875"/>
    <col min="25" max="16384" style="300" width="12.5703125"/>
  </cols>
  <sheetData>
    <row r="2" ht="27">
      <c r="A2" s="301" t="s">
        <v>453</v>
      </c>
      <c r="B2" s="301"/>
      <c r="C2" s="301"/>
      <c r="D2" s="301"/>
      <c r="E2" s="301"/>
      <c r="F2" s="301"/>
      <c r="G2" s="301"/>
      <c r="H2" s="301"/>
      <c r="I2" s="301"/>
    </row>
    <row r="4">
      <c r="A4" s="302" t="s">
        <v>454</v>
      </c>
      <c r="B4" s="303" t="s">
        <v>455</v>
      </c>
      <c r="C4" s="303"/>
      <c r="D4" s="303"/>
      <c r="E4" s="303"/>
      <c r="F4" s="303"/>
      <c r="G4" s="303"/>
      <c r="H4" s="303"/>
    </row>
    <row r="5">
      <c r="A5" s="266"/>
      <c r="B5" s="303" t="s">
        <v>456</v>
      </c>
      <c r="C5" s="303"/>
      <c r="D5" s="303"/>
      <c r="E5" s="303"/>
      <c r="F5" s="303"/>
      <c r="G5" s="303"/>
      <c r="H5" s="303"/>
    </row>
    <row r="6" ht="120">
      <c r="A6" s="268" t="s">
        <v>457</v>
      </c>
      <c r="B6" s="268" t="s">
        <v>458</v>
      </c>
      <c r="C6" s="268" t="s">
        <v>459</v>
      </c>
      <c r="D6" s="268" t="s">
        <v>460</v>
      </c>
      <c r="E6" s="268" t="s">
        <v>461</v>
      </c>
      <c r="F6" s="268" t="s">
        <v>462</v>
      </c>
      <c r="G6" s="268" t="s">
        <v>463</v>
      </c>
      <c r="H6" s="304" t="s">
        <v>464</v>
      </c>
    </row>
    <row r="7" ht="30">
      <c r="A7" s="268"/>
      <c r="B7" s="305">
        <f>+AVERAGE($B$13,$B$18,$G$13,$G$19,$G$25)</f>
        <v>0.22011385728156646</v>
      </c>
      <c r="C7" s="305">
        <f>+AVERAGE($C$13,$C$18,$H$13,$H$19,$H$25)</f>
        <v>0.10761636734776947</v>
      </c>
      <c r="D7" s="305">
        <f>($B$7/'Riesgo Inherente'!$B$9)</f>
        <v>0.22011385728156646</v>
      </c>
      <c r="E7" s="305">
        <f>($C$7/'Riesgo Inherente'!$C$9)</f>
        <v>0.10700244113116747</v>
      </c>
      <c r="F7" s="305">
        <f>1-D7</f>
        <v>0.77988614271843359</v>
      </c>
      <c r="G7" s="305">
        <f>1-E7</f>
        <v>0.89299755886883259</v>
      </c>
      <c r="H7" s="306">
        <f>AVERAGE(B7:C7)</f>
        <v>0.16386511231466797</v>
      </c>
    </row>
    <row r="10">
      <c r="A10" s="268" t="s">
        <v>465</v>
      </c>
      <c r="B10" s="268"/>
      <c r="C10" s="268"/>
      <c r="D10" s="268"/>
      <c r="E10" s="268"/>
      <c r="F10" s="268"/>
      <c r="G10" s="268"/>
      <c r="H10" s="268"/>
      <c r="I10" s="268"/>
    </row>
    <row r="11">
      <c r="J11" s="307"/>
      <c r="K11" s="32"/>
    </row>
    <row r="12" ht="31.5">
      <c r="A12" s="308"/>
      <c r="B12" s="268" t="s">
        <v>466</v>
      </c>
      <c r="C12" s="268" t="s">
        <v>467</v>
      </c>
      <c r="D12" s="268" t="s">
        <v>468</v>
      </c>
      <c r="F12" s="308"/>
      <c r="G12" s="268" t="s">
        <v>466</v>
      </c>
      <c r="H12" s="268" t="s">
        <v>467</v>
      </c>
      <c r="I12" s="268" t="s">
        <v>468</v>
      </c>
      <c r="J12" s="307"/>
    </row>
    <row r="13" ht="31.5">
      <c r="A13" s="285" t="str">
        <f>'Riesgo Inherente'!$A$9</f>
        <v xml:space="preserve">1. Tipos de Intermediarios.</v>
      </c>
      <c r="B13" s="305">
        <f>+AVERAGE($B$15:$B$17)</f>
        <v>0.29473514819082669</v>
      </c>
      <c r="C13" s="305">
        <f>AVERAGE($C$15:$C$17)</f>
        <v>0.072088265632848106</v>
      </c>
      <c r="D13" s="305">
        <f>+IF((AVERAGE($B$13:$C$17)=AVERAGE($D$15:$D$17)),AVERAGE($B$13:$C$13),AVERAGE($B$13:$C$17))</f>
        <v>0.18341170691183739</v>
      </c>
      <c r="F13" s="285" t="str">
        <f>'Riesgo Inherente'!$A$178</f>
        <v xml:space="preserve">4. Transacciones (Instrumentos de Pago).</v>
      </c>
      <c r="G13" s="305">
        <f>+AVERAGE($G$14:$G$16)</f>
        <v>0.33324655846590606</v>
      </c>
      <c r="H13" s="305">
        <f>+AVERAGE($H$14:$H$16)</f>
        <v>0.066716549842517889</v>
      </c>
      <c r="I13" s="305">
        <f>IF(AVERAGE($G$13:$H$13)=AVERAGE($I$14:$I$17),(AVERAGE($G$13:$H$13)),"ERROR")</f>
        <v>0.19998155415421198</v>
      </c>
      <c r="J13" s="307"/>
    </row>
    <row r="14" ht="31.5">
      <c r="A14" s="308"/>
      <c r="B14" s="309"/>
      <c r="C14" s="309"/>
      <c r="D14" s="309"/>
      <c r="E14" s="32"/>
      <c r="F14" s="276" t="str">
        <f>'Riesgo Inherente'!A179</f>
        <v xml:space="preserve">4.1. Efectivo (Pesos mexicanos)</v>
      </c>
      <c r="G14" s="181">
        <f>+('Riesgo Inherente'!$G179-('Riesgo Inherente'!$G179*(AVERAGE(Mitigación!$J$17,Mitigación!$J$14,Mitigación!$J$8,Mitigación!$J$7,Mitigación!$J$27,Mitigación!$J$31,Mitigación!$J$32,)))/'Riesgo Inherente'!$B$6)</f>
        <v>0.99973967539771813</v>
      </c>
      <c r="H14" s="181">
        <f>+('Riesgo Inherente'!$H179-('Riesgo Inherente'!$H179*(AVERAGE(Mitigación!$L$17,Mitigación!$L$14,Mitigación!$L$8,Mitigación!$L$7,Mitigación!$L$27,Mitigación!$L$31,Mitigación!$L$32,)))/'Riesgo Inherente'!$B$6)</f>
        <v>0.20014964952755365</v>
      </c>
      <c r="I14" s="305">
        <f t="shared" ref="I14:I16" si="33">+AVERAGE(G14:H14)</f>
        <v>0.59994466246263589</v>
      </c>
      <c r="J14" s="307"/>
    </row>
    <row r="15" ht="31.5">
      <c r="A15" s="310" t="str">
        <f>'Riesgo Inherente'!A10</f>
        <v xml:space="preserve">1.1. Agentes Relacionados.</v>
      </c>
      <c r="B15" s="181">
        <f>+('Riesgo Inherente'!$G10-('Riesgo Inherente'!$G10*(AVERAGE(Mitigación!$J$6,Mitigación!$J$8,Mitigación!$J$11,Mitigación!$J$26,Mitigación!$J$31,Mitigación!$J$32,Mitigación!$J$21))))</f>
        <v>0.29473514819082669</v>
      </c>
      <c r="C15" s="181">
        <f>('Riesgo Inherente'!$H10-('Riesgo Inherente'!$H10*(AVERAGE(Mitigación!$L$6,Mitigación!$L$8,Mitigación!$L$11,Mitigación!$L$26,Mitigación!$L$31,Mitigación!$L$32,Mitigación!$L$21,))))</f>
        <v>0.072088265632848106</v>
      </c>
      <c r="D15" s="305">
        <f>+AVERAGE(B15,C15)</f>
        <v>0.18341170691183739</v>
      </c>
      <c r="E15" s="307"/>
      <c r="F15" s="171">
        <f>'Riesgo Inherente'!$A180</f>
        <v>0</v>
      </c>
      <c r="G15" s="181">
        <f>+('Riesgo Inherente'!$G180-('Riesgo Inherente'!$G180*(AVERAGE(Mitigación!$J$17,Mitigación!$J$14,Mitigación!$J$8,Mitigación!$J$7,Mitigación!$J$27,Mitigación!$J$31,Mitigación!$J$32,)))/'Riesgo Inherente'!$B$6)</f>
        <v>0</v>
      </c>
      <c r="H15" s="181">
        <f>+('Riesgo Inherente'!$H180-('Riesgo Inherente'!$H180*(AVERAGE(Mitigación!$L$17,Mitigación!$L$14,Mitigación!$L$8,Mitigación!$L$7,Mitigación!$L$27,Mitigación!$L$31,Mitigación!$L$32,)))/'Riesgo Inherente'!$B$6)</f>
        <v>0</v>
      </c>
      <c r="I15" s="305">
        <f t="shared" si="33"/>
        <v>0</v>
      </c>
      <c r="J15" s="307"/>
    </row>
    <row r="16">
      <c r="A16" s="1"/>
      <c r="B16" s="311"/>
      <c r="C16" s="311"/>
      <c r="D16" s="312"/>
      <c r="E16" s="307"/>
      <c r="F16" s="171">
        <f>'Riesgo Inherente'!$A181</f>
        <v>0</v>
      </c>
      <c r="G16" s="181">
        <f>+('Riesgo Inherente'!$G181-('Riesgo Inherente'!$G181*(AVERAGE(Mitigación!$J$17,Mitigación!$J$14,Mitigación!$J$8,Mitigación!$J$7,Mitigación!$J$27,Mitigación!$J$31,Mitigación!$J$32,)))/'Riesgo Inherente'!$B$6)</f>
        <v>0</v>
      </c>
      <c r="H16" s="181">
        <f>+('Riesgo Inherente'!$H181-('Riesgo Inherente'!$H181*(AVERAGE(Mitigación!$L$17,Mitigación!$L$14,Mitigación!$L$8,Mitigación!$L$7,Mitigación!$L$27,Mitigación!$L$31,Mitigación!$L$32,)))/'Riesgo Inherente'!$B$6)</f>
        <v>0</v>
      </c>
      <c r="I16" s="305">
        <f t="shared" si="33"/>
        <v>0</v>
      </c>
      <c r="J16" s="313"/>
      <c r="P16" s="4"/>
      <c r="Q16" s="314"/>
      <c r="R16" s="314"/>
      <c r="S16" s="315"/>
    </row>
    <row r="17">
      <c r="A17" s="1"/>
      <c r="B17" s="311"/>
      <c r="C17" s="311"/>
      <c r="D17" s="312"/>
      <c r="E17" s="307"/>
      <c r="F17" s="1"/>
      <c r="G17" s="311"/>
      <c r="H17" s="311"/>
      <c r="I17" s="312"/>
      <c r="J17" s="307"/>
      <c r="P17" s="4"/>
      <c r="Q17" s="314"/>
      <c r="R17" s="314"/>
      <c r="S17" s="315"/>
    </row>
    <row r="18" ht="31.5">
      <c r="A18" s="285" t="str">
        <f>'Riesgo Inherente'!$A$106</f>
        <v xml:space="preserve">3. Países y Áreas geográficas</v>
      </c>
      <c r="B18" s="316">
        <f>+(AVERAGE(B20))</f>
        <v>0.00070961454287608383</v>
      </c>
      <c r="C18" s="316">
        <f>+(AVERAGE(C20))</f>
        <v>0.052282194238263732</v>
      </c>
      <c r="D18" s="305">
        <f>+IF(AVERAGE($B$18:$C$18)=(AVERAGE($D$20:$D$63)),(AVERAGE($B$18:$C$18)),(AVERAGE($B$18:$C$18)))</f>
        <v>0.026495904390569907</v>
      </c>
      <c r="E18" s="307"/>
      <c r="F18" s="1"/>
      <c r="G18" s="311"/>
      <c r="H18" s="311"/>
      <c r="I18" s="312"/>
      <c r="J18" s="307"/>
      <c r="P18" s="4"/>
      <c r="Q18" s="314"/>
      <c r="R18" s="314"/>
      <c r="S18" s="315"/>
    </row>
    <row r="19" ht="31.5">
      <c r="A19" s="310"/>
      <c r="B19" s="309"/>
      <c r="C19" s="309"/>
      <c r="D19" s="309"/>
      <c r="E19" s="313"/>
      <c r="F19" s="285" t="str">
        <f>'Riesgo Inherente'!$A$188</f>
        <v xml:space="preserve">5. Canales de distribución o envío</v>
      </c>
      <c r="G19" s="305">
        <f>+AVERAGE($G$21)</f>
        <v>0.27999999999999992</v>
      </c>
      <c r="H19" s="305">
        <f>+AVERAGE($H$21)</f>
        <v>0.18626446965614982</v>
      </c>
      <c r="I19" s="305">
        <f>+IF(AVERAGE($G$19:$H$19)=AVERAGE($I$21:$I$22),AVERAGE($G$19:$H$19),"ERROR")</f>
        <v>0.23313223482807488</v>
      </c>
      <c r="J19" s="307"/>
    </row>
    <row r="20">
      <c r="A20" s="171" t="str">
        <f>'Riesgo Inherente'!$A108</f>
        <v>AGUASCALIENTES</v>
      </c>
      <c r="B20" s="181">
        <f>+'Riesgo Inherente'!$G108-('Riesgo Inherente'!$G108*(AVERAGE(Mitigación!$J$7,Mitigación!$J$8,Mitigación!$J$11,Mitigación!$J$14,Mitigación!$J$26,Mitigación!$J$28,Mitigación!$J$35,Mitigación!$J$36,)))</f>
        <v>0.00070961454287608383</v>
      </c>
      <c r="C20" s="181">
        <f>+'Riesgo Inherente'!$H108-('Riesgo Inherente'!$H108*(AVERAGE(Mitigación!$L$7,Mitigación!$L$8,Mitigación!$L$11,Mitigación!$L$14,Mitigación!$L$26,Mitigación!$L$28,Mitigación!$L$35,)))</f>
        <v>0.052282194238263732</v>
      </c>
      <c r="D20" s="305">
        <f>+AVERAGE(B20,C20)</f>
        <v>0.026495904390569907</v>
      </c>
      <c r="E20" s="307"/>
      <c r="F20" s="310"/>
      <c r="G20" s="309"/>
      <c r="H20" s="309"/>
      <c r="I20" s="309"/>
      <c r="U20" s="4"/>
      <c r="V20" s="314"/>
      <c r="W20" s="314"/>
      <c r="X20" s="315"/>
    </row>
    <row r="21">
      <c r="A21" s="171"/>
      <c r="B21" s="181"/>
      <c r="C21" s="181"/>
      <c r="D21" s="305"/>
      <c r="E21" s="317"/>
      <c r="F21" s="171" t="str">
        <f>'Riesgo Inherente'!$A190</f>
        <v xml:space="preserve">5.1. Presencial</v>
      </c>
      <c r="G21" s="181">
        <f>+'Riesgo Inherente'!$G190-('Riesgo Inherente'!$G190*(AVERAGE(Mitigación!$J$35,Mitigación!$J$32,Mitigación!$J$31,Mitigación!$J$28,Mitigación!$J$26,Mitigación!$J$11)))</f>
        <v>0.27999999999999992</v>
      </c>
      <c r="H21" s="181">
        <f>+'Riesgo Inherente'!$H190-('Riesgo Inherente'!$H190*(AVERAGE(Mitigación!$L$35,Mitigación!$L$32,Mitigación!$L$31,Mitigación!$L$28,Mitigación!$L$26,Mitigación!$L$11)))</f>
        <v>0.18626446965614982</v>
      </c>
      <c r="I21" s="305">
        <f>+AVERAGE($G21,$H21)</f>
        <v>0.23313223482807488</v>
      </c>
      <c r="K21" s="4"/>
      <c r="L21" s="314"/>
      <c r="M21" s="314"/>
      <c r="N21" s="315"/>
      <c r="U21" s="4"/>
      <c r="V21" s="314"/>
      <c r="W21" s="314"/>
      <c r="X21" s="315"/>
    </row>
    <row r="22">
      <c r="E22" s="307"/>
      <c r="F22" s="171" t="str">
        <f>'Riesgo Inherente'!$A191</f>
        <v xml:space="preserve">5.2. No-Presencial</v>
      </c>
      <c r="G22" s="181"/>
      <c r="H22" s="181"/>
      <c r="I22" s="305"/>
      <c r="J22" s="307"/>
      <c r="K22" s="4"/>
      <c r="L22" s="314"/>
      <c r="M22" s="314"/>
      <c r="N22" s="315"/>
      <c r="U22" s="4"/>
      <c r="V22" s="314"/>
      <c r="W22" s="314"/>
      <c r="X22" s="315"/>
    </row>
    <row r="23">
      <c r="E23" s="307"/>
      <c r="J23" s="307"/>
      <c r="K23" s="4"/>
      <c r="L23" s="314"/>
      <c r="M23" s="314"/>
      <c r="N23" s="315"/>
      <c r="U23" s="4"/>
      <c r="V23" s="314"/>
      <c r="W23" s="314"/>
      <c r="X23" s="315"/>
    </row>
    <row r="24">
      <c r="E24" s="307"/>
      <c r="J24" s="307"/>
      <c r="K24" s="4"/>
      <c r="L24" s="314"/>
      <c r="M24" s="314"/>
      <c r="N24" s="315"/>
      <c r="U24" s="4"/>
      <c r="V24" s="314"/>
      <c r="W24" s="314"/>
      <c r="X24" s="315"/>
    </row>
    <row r="25" ht="31.5">
      <c r="E25" s="307"/>
      <c r="F25" s="285" t="str">
        <f>'Riesgo Inherente'!$A$36</f>
        <v xml:space="preserve">2. Tipo de Persona Jurídica.</v>
      </c>
      <c r="G25" s="305">
        <f>+AVERAGE($G$27:$G$34)</f>
        <v>0.19187796520822353</v>
      </c>
      <c r="H25" s="305">
        <f>+AVERAGE($H$27:$H$34)</f>
        <v>0.16073035736906788</v>
      </c>
      <c r="I25" s="305">
        <f>IF(AVERAGE($G$25:$H$25)=AVERAGE($I$27:$I$34),AVERAGE($G$25:$H$25),AVERAGE(G25:H25))</f>
        <v>0.17630416128864571</v>
      </c>
      <c r="J25" s="318"/>
      <c r="K25" s="4"/>
      <c r="L25" s="314"/>
      <c r="M25" s="314"/>
      <c r="N25" s="315"/>
      <c r="U25" s="4"/>
      <c r="V25" s="314"/>
      <c r="W25" s="314"/>
      <c r="X25" s="315"/>
    </row>
    <row r="26">
      <c r="E26" s="307"/>
      <c r="F26" s="310"/>
      <c r="G26" s="309"/>
      <c r="H26" s="309"/>
      <c r="I26" s="309"/>
      <c r="J26" s="318"/>
      <c r="K26" s="4"/>
      <c r="L26" s="314"/>
      <c r="M26" s="314"/>
      <c r="N26" s="315"/>
      <c r="U26" s="4"/>
      <c r="V26" s="314"/>
      <c r="W26" s="314"/>
      <c r="X26" s="315"/>
    </row>
    <row r="27">
      <c r="E27" s="307"/>
      <c r="F27" s="171" t="str">
        <f>'Riesgo Inherente'!$A37</f>
        <v xml:space="preserve">2.1. Persona Física.</v>
      </c>
      <c r="G27" s="181">
        <f>+('Riesgo Inherente'!$G37-('Riesgo Inherente'!$G37*(AVERAGE(Mitigación!$J$36,Mitigación!$J$35,Mitigación!$J$28,Mitigación!$J$26,Mitigación!$J$16,Mitigación!$J$14,Mitigación!$J$11,Mitigación!$J$8,Mitigación!$J$6,))))</f>
        <v>0.25524770779165257</v>
      </c>
      <c r="H27" s="181">
        <f>+('Riesgo Inherente'!$H37-('Riesgo Inherente'!$H37*(AVERAGE(Mitigación!$L$36,Mitigación!$L$35,Mitigación!$L$28,Mitigación!$L$26,Mitigación!$L$16,Mitigación!$L$14,Mitigación!$L$11,Mitigación!$L$8,Mitigación!$L$6,))))</f>
        <v>0.16073035736906788</v>
      </c>
      <c r="I27" s="305">
        <f t="shared" ref="I27:I28" si="34">+AVERAGE($G27,$H27)</f>
        <v>0.20798903258036022</v>
      </c>
      <c r="J27" s="318"/>
      <c r="K27" s="32"/>
      <c r="U27" s="4"/>
      <c r="V27" s="314"/>
      <c r="W27" s="314"/>
      <c r="X27" s="315"/>
    </row>
    <row r="28">
      <c r="E28" s="32"/>
      <c r="F28" s="171" t="str">
        <f>'Riesgo Inherente'!$A38</f>
        <v xml:space="preserve">2.2. Persona Moral.</v>
      </c>
      <c r="G28" s="181">
        <f>+('Riesgo Inherente'!$G38-('Riesgo Inherente'!$G38*(AVERAGE(Mitigación!$J$36,Mitigación!$J$35,Mitigación!$J$28,Mitigación!$J$26,Mitigación!$J$16,Mitigación!$J$14,Mitigación!$J$11,Mitigación!$J$8,Mitigación!$J$6,))))</f>
        <v>0.12850822262479447</v>
      </c>
      <c r="H28" s="181">
        <f>+('Riesgo Inherente'!$H38-('Riesgo Inherente'!$H38*(AVERAGE(Mitigación!$L$36,Mitigación!$L$35,Mitigación!$L$28,Mitigación!$L$26,Mitigación!$L$16,Mitigación!$L$14,Mitigación!$L$11,Mitigación!$L$8,Mitigación!$L$6,))))</f>
        <v>0.16073035736906788</v>
      </c>
      <c r="I28" s="305">
        <f t="shared" si="34"/>
        <v>0.14461928999693119</v>
      </c>
      <c r="J28" s="319"/>
      <c r="K28" s="32"/>
      <c r="U28" s="4"/>
      <c r="V28" s="314"/>
      <c r="W28" s="314"/>
      <c r="X28" s="315"/>
    </row>
    <row r="29">
      <c r="E29" s="32"/>
      <c r="J29" s="319"/>
      <c r="K29" s="32"/>
      <c r="U29" s="4"/>
      <c r="V29" s="314"/>
      <c r="W29" s="314"/>
      <c r="X29" s="315"/>
    </row>
    <row r="30">
      <c r="A30" s="1"/>
      <c r="B30" s="311"/>
      <c r="C30" s="311"/>
      <c r="D30" s="312"/>
      <c r="E30" s="32"/>
      <c r="J30" s="319"/>
      <c r="K30" s="32"/>
      <c r="U30" s="4"/>
      <c r="V30" s="314"/>
      <c r="W30" s="314"/>
      <c r="X30" s="315"/>
    </row>
    <row r="31">
      <c r="A31" s="1"/>
      <c r="B31" s="311"/>
      <c r="C31" s="311"/>
      <c r="D31" s="312"/>
      <c r="E31" s="319"/>
      <c r="J31" s="32"/>
      <c r="K31" s="32"/>
      <c r="U31" s="4"/>
      <c r="V31" s="314"/>
      <c r="W31" s="314"/>
      <c r="X31" s="315"/>
    </row>
    <row r="32">
      <c r="A32" s="1"/>
      <c r="B32" s="311"/>
      <c r="C32" s="311"/>
      <c r="D32" s="312"/>
      <c r="E32" s="319"/>
      <c r="J32" s="32"/>
      <c r="K32" s="32"/>
      <c r="U32" s="4"/>
      <c r="V32" s="314"/>
      <c r="W32" s="314"/>
      <c r="X32" s="315"/>
    </row>
    <row r="33">
      <c r="A33" s="1"/>
      <c r="B33" s="311"/>
      <c r="C33" s="311"/>
      <c r="D33" s="312"/>
      <c r="E33" s="319"/>
      <c r="F33" s="1"/>
      <c r="G33" s="311"/>
      <c r="H33" s="311"/>
      <c r="I33" s="312"/>
      <c r="J33" s="32"/>
      <c r="K33" s="32"/>
      <c r="U33" s="4"/>
      <c r="V33" s="314"/>
      <c r="W33" s="314"/>
      <c r="X33" s="315"/>
    </row>
    <row r="34">
      <c r="A34" s="1"/>
      <c r="B34" s="311"/>
      <c r="C34" s="311"/>
      <c r="D34" s="312"/>
      <c r="E34" s="32"/>
      <c r="F34" s="1"/>
      <c r="G34" s="311"/>
      <c r="H34" s="311"/>
      <c r="I34" s="312"/>
      <c r="J34" s="32"/>
      <c r="K34" s="32"/>
    </row>
    <row r="35">
      <c r="A35" s="1"/>
      <c r="B35" s="311"/>
      <c r="C35" s="311"/>
      <c r="D35" s="312"/>
      <c r="E35" s="32"/>
      <c r="F35" s="1"/>
      <c r="G35" s="311"/>
      <c r="H35" s="311"/>
      <c r="I35" s="312"/>
      <c r="J35" s="32"/>
      <c r="K35" s="32"/>
    </row>
    <row r="36">
      <c r="A36" s="1"/>
      <c r="B36" s="311"/>
      <c r="C36" s="311"/>
      <c r="D36" s="312"/>
      <c r="E36" s="32"/>
      <c r="F36" s="1"/>
      <c r="G36" s="311"/>
      <c r="H36" s="311"/>
      <c r="I36" s="312"/>
      <c r="J36" s="32"/>
      <c r="K36" s="32"/>
    </row>
    <row r="37">
      <c r="A37" s="1"/>
      <c r="B37" s="311"/>
      <c r="C37" s="311"/>
      <c r="D37" s="312"/>
      <c r="E37" s="32"/>
      <c r="J37" s="32"/>
      <c r="K37" s="32"/>
    </row>
    <row r="38">
      <c r="A38" s="1"/>
      <c r="B38" s="311"/>
      <c r="C38" s="311"/>
      <c r="D38" s="312"/>
      <c r="E38" s="32"/>
      <c r="J38" s="32"/>
      <c r="K38" s="32"/>
    </row>
    <row r="39">
      <c r="A39" s="1"/>
      <c r="B39" s="311"/>
      <c r="C39" s="311"/>
      <c r="D39" s="312"/>
      <c r="E39" s="32"/>
      <c r="J39" s="32"/>
      <c r="K39" s="32"/>
    </row>
    <row r="40">
      <c r="A40" s="1"/>
      <c r="B40" s="311"/>
      <c r="C40" s="311"/>
      <c r="D40" s="312"/>
      <c r="E40" s="32"/>
      <c r="J40" s="32"/>
      <c r="K40" s="32"/>
    </row>
    <row r="41">
      <c r="A41" s="1"/>
      <c r="B41" s="311"/>
      <c r="C41" s="311"/>
      <c r="D41" s="312"/>
      <c r="E41" s="32"/>
      <c r="J41" s="32"/>
      <c r="K41" s="32"/>
    </row>
    <row r="42">
      <c r="A42" s="1"/>
      <c r="B42" s="311"/>
      <c r="C42" s="311"/>
      <c r="D42" s="312"/>
      <c r="E42" s="32"/>
      <c r="J42" s="32"/>
      <c r="K42" s="32"/>
    </row>
    <row r="43">
      <c r="A43" s="1"/>
      <c r="B43" s="311"/>
      <c r="C43" s="311"/>
      <c r="D43" s="312"/>
      <c r="E43" s="32"/>
      <c r="J43" s="32"/>
      <c r="K43" s="32"/>
    </row>
    <row r="44">
      <c r="A44" s="1"/>
      <c r="B44" s="311"/>
      <c r="C44" s="311"/>
      <c r="D44" s="312"/>
      <c r="E44" s="32"/>
      <c r="J44" s="32"/>
      <c r="K44" s="32"/>
    </row>
    <row r="45">
      <c r="A45" s="1"/>
      <c r="B45" s="311"/>
      <c r="C45" s="311"/>
      <c r="D45" s="312"/>
      <c r="E45" s="32"/>
      <c r="J45" s="32"/>
      <c r="K45" s="32"/>
    </row>
    <row r="46">
      <c r="A46" s="1"/>
      <c r="B46" s="311"/>
      <c r="C46" s="311"/>
      <c r="D46" s="312"/>
      <c r="E46" s="32"/>
      <c r="J46" s="32"/>
      <c r="K46" s="32"/>
    </row>
    <row r="47">
      <c r="A47" s="1"/>
      <c r="B47" s="311"/>
      <c r="C47" s="311"/>
      <c r="D47" s="312"/>
      <c r="E47" s="32"/>
      <c r="J47" s="313"/>
      <c r="K47" s="313"/>
    </row>
    <row r="48">
      <c r="A48" s="1"/>
      <c r="B48" s="311"/>
      <c r="C48" s="311"/>
      <c r="D48" s="312"/>
      <c r="E48" s="32"/>
      <c r="J48" s="32"/>
      <c r="K48" s="32"/>
    </row>
    <row r="49">
      <c r="A49" s="1"/>
      <c r="B49" s="311"/>
      <c r="C49" s="311"/>
      <c r="D49" s="312"/>
      <c r="E49" s="32"/>
      <c r="J49" s="32"/>
      <c r="K49" s="32"/>
    </row>
    <row r="50">
      <c r="A50" s="1"/>
      <c r="B50" s="311"/>
      <c r="C50" s="311"/>
      <c r="D50" s="312"/>
      <c r="E50" s="313"/>
      <c r="F50" s="313"/>
      <c r="G50" s="313"/>
      <c r="H50" s="313"/>
      <c r="I50" s="313"/>
      <c r="J50" s="32"/>
      <c r="K50" s="32"/>
    </row>
    <row r="51">
      <c r="A51" s="1"/>
      <c r="B51" s="311"/>
      <c r="C51" s="311"/>
      <c r="D51" s="312"/>
      <c r="E51" s="32"/>
      <c r="F51" s="32"/>
      <c r="G51" s="32"/>
      <c r="H51" s="32"/>
      <c r="I51" s="32"/>
      <c r="J51" s="32"/>
      <c r="K51" s="32"/>
    </row>
    <row r="52">
      <c r="A52" s="1"/>
      <c r="B52" s="311"/>
      <c r="C52" s="311"/>
      <c r="D52" s="312"/>
      <c r="E52" s="32"/>
      <c r="F52" s="32"/>
      <c r="G52" s="32"/>
      <c r="H52" s="32"/>
      <c r="I52" s="32"/>
      <c r="J52" s="32"/>
      <c r="K52" s="32"/>
    </row>
    <row r="53">
      <c r="A53" s="1"/>
      <c r="B53" s="311"/>
      <c r="C53" s="311"/>
      <c r="D53" s="312"/>
      <c r="E53" s="32"/>
      <c r="F53" s="32"/>
      <c r="G53" s="32"/>
      <c r="H53" s="32"/>
      <c r="I53" s="32"/>
      <c r="J53" s="32"/>
      <c r="K53" s="32"/>
    </row>
    <row r="54">
      <c r="A54" s="1"/>
      <c r="B54" s="311"/>
      <c r="C54" s="311"/>
      <c r="D54" s="312"/>
      <c r="E54" s="32"/>
      <c r="F54" s="32"/>
      <c r="G54" s="32"/>
      <c r="H54" s="32"/>
      <c r="I54" s="32"/>
      <c r="J54" s="313"/>
      <c r="K54" s="313"/>
    </row>
    <row r="55">
      <c r="A55" s="1"/>
      <c r="B55" s="311"/>
      <c r="C55" s="311"/>
      <c r="D55" s="312"/>
      <c r="E55" s="32"/>
      <c r="F55" s="32"/>
      <c r="G55" s="32"/>
      <c r="H55" s="32"/>
      <c r="I55" s="32"/>
      <c r="J55" s="32"/>
      <c r="K55" s="32"/>
    </row>
    <row r="56">
      <c r="A56" s="1"/>
      <c r="B56" s="311"/>
      <c r="C56" s="311"/>
      <c r="D56" s="312"/>
      <c r="E56" s="313"/>
      <c r="F56" s="313"/>
      <c r="G56" s="313"/>
      <c r="H56" s="313"/>
      <c r="I56" s="313"/>
      <c r="J56" s="32"/>
      <c r="K56" s="32"/>
    </row>
    <row r="57">
      <c r="A57" s="1"/>
      <c r="B57" s="311"/>
      <c r="C57" s="311"/>
      <c r="D57" s="312"/>
      <c r="E57" s="32"/>
      <c r="F57" s="32"/>
      <c r="G57" s="32"/>
      <c r="H57" s="32"/>
      <c r="I57" s="32"/>
      <c r="J57" s="313"/>
      <c r="K57" s="313"/>
    </row>
    <row r="58">
      <c r="A58" s="1"/>
      <c r="B58" s="311"/>
      <c r="C58" s="311"/>
      <c r="D58" s="312"/>
      <c r="E58" s="32"/>
      <c r="F58" s="32"/>
      <c r="G58" s="32"/>
      <c r="H58" s="32"/>
      <c r="I58" s="32"/>
      <c r="J58" s="32"/>
      <c r="K58" s="32"/>
    </row>
    <row r="59">
      <c r="A59" s="1"/>
      <c r="B59" s="311"/>
      <c r="C59" s="311"/>
      <c r="D59" s="312"/>
      <c r="E59" s="32"/>
      <c r="F59" s="32"/>
      <c r="G59" s="32"/>
      <c r="H59" s="32"/>
      <c r="I59" s="32"/>
      <c r="J59" s="32"/>
      <c r="K59" s="32"/>
    </row>
    <row r="60">
      <c r="A60" s="1"/>
      <c r="B60" s="311"/>
      <c r="C60" s="311"/>
      <c r="D60" s="312"/>
      <c r="E60" s="32"/>
      <c r="F60" s="32"/>
      <c r="G60" s="32"/>
      <c r="H60" s="32"/>
      <c r="I60" s="32"/>
      <c r="J60" s="32"/>
      <c r="K60" s="32"/>
    </row>
    <row r="61">
      <c r="A61" s="1"/>
      <c r="B61" s="311"/>
      <c r="C61" s="311"/>
      <c r="D61" s="312"/>
      <c r="E61" s="32"/>
      <c r="F61" s="32"/>
      <c r="G61" s="32"/>
      <c r="H61" s="32"/>
      <c r="I61" s="32"/>
      <c r="J61" s="32"/>
      <c r="K61" s="32"/>
    </row>
    <row r="62">
      <c r="A62" s="1"/>
      <c r="B62" s="311"/>
      <c r="C62" s="311"/>
      <c r="D62" s="312"/>
      <c r="E62" s="319"/>
      <c r="F62" s="319"/>
      <c r="G62" s="319"/>
      <c r="H62" s="319"/>
      <c r="I62" s="319"/>
      <c r="J62" s="319"/>
      <c r="K62" s="32"/>
    </row>
    <row r="63">
      <c r="A63" s="1"/>
      <c r="B63" s="311"/>
      <c r="C63" s="311"/>
      <c r="D63" s="312"/>
      <c r="E63" s="319"/>
      <c r="F63" s="319"/>
      <c r="G63" s="319"/>
      <c r="H63" s="319"/>
      <c r="I63" s="319"/>
      <c r="J63" s="319"/>
      <c r="K63" s="32"/>
    </row>
    <row r="64">
      <c r="E64" s="319"/>
      <c r="F64" s="319"/>
      <c r="G64" s="319"/>
      <c r="H64" s="319"/>
      <c r="I64" s="319"/>
      <c r="J64" s="319"/>
      <c r="K64" s="32"/>
    </row>
    <row r="65">
      <c r="E65" s="32"/>
      <c r="F65" s="307"/>
      <c r="G65" s="307"/>
      <c r="H65" s="32"/>
      <c r="I65" s="307"/>
      <c r="J65" s="32"/>
      <c r="K65" s="32"/>
    </row>
    <row r="66">
      <c r="E66" s="313"/>
      <c r="F66" s="313"/>
      <c r="G66" s="313"/>
      <c r="H66" s="313"/>
      <c r="I66" s="313"/>
      <c r="J66" s="313"/>
      <c r="K66" s="313"/>
    </row>
    <row r="67">
      <c r="E67" s="32"/>
      <c r="F67" s="307"/>
      <c r="G67" s="307"/>
      <c r="H67" s="32"/>
      <c r="I67" s="307"/>
      <c r="J67" s="32"/>
      <c r="K67" s="32"/>
    </row>
    <row r="68">
      <c r="E68" s="32"/>
      <c r="F68" s="32"/>
      <c r="G68" s="32"/>
      <c r="H68" s="32"/>
      <c r="I68" s="32"/>
      <c r="J68" s="32"/>
      <c r="K68" s="32"/>
    </row>
    <row r="69">
      <c r="E69" s="32"/>
      <c r="F69" s="32"/>
      <c r="G69" s="32"/>
      <c r="H69" s="32"/>
      <c r="I69" s="32"/>
      <c r="J69" s="32"/>
      <c r="K69" s="32"/>
    </row>
    <row r="70">
      <c r="E70" s="32"/>
      <c r="F70" s="32"/>
      <c r="G70" s="32"/>
      <c r="H70" s="32"/>
      <c r="I70" s="32"/>
      <c r="J70" s="32"/>
      <c r="K70" s="32"/>
    </row>
    <row r="71">
      <c r="E71" s="32"/>
      <c r="F71" s="32"/>
      <c r="G71" s="32"/>
      <c r="H71" s="32"/>
      <c r="I71" s="32"/>
      <c r="J71" s="32"/>
      <c r="K71" s="32"/>
    </row>
    <row r="72">
      <c r="E72" s="313"/>
      <c r="F72" s="313"/>
      <c r="G72" s="313"/>
      <c r="H72" s="313"/>
      <c r="I72" s="313"/>
      <c r="J72" s="313"/>
      <c r="K72" s="313"/>
    </row>
  </sheetData>
  <mergeCells count="5">
    <mergeCell ref="A2:I2"/>
    <mergeCell ref="B4:H4"/>
    <mergeCell ref="B5:H5"/>
    <mergeCell ref="A6:A7"/>
    <mergeCell ref="A10:I10"/>
  </mergeCells>
  <conditionalFormatting sqref="B13:D13 G13:I13 G19:I19 G25:I25 B18:D18 B7:E7 H7">
    <cfRule type="colorScale" priority="2">
      <colorScale>
        <cfvo type="num" val="0"/>
        <cfvo type="num" val="0.33"/>
        <cfvo type="num" val="1"/>
        <color rgb="FF00B050"/>
        <color indexed="5"/>
        <color indexed="2"/>
      </colorScale>
    </cfRule>
  </conditionalFormatting>
  <conditionalFormatting sqref="F7:G7">
    <cfRule type="colorScale" priority="1">
      <colorScale>
        <cfvo type="num" val="0"/>
        <cfvo type="num" val="0.15"/>
        <cfvo type="num" val="1"/>
        <color indexed="2"/>
        <color indexed="5"/>
        <color rgb="FF00B050"/>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100" workbookViewId="0">
      <selection activeCell="A1" activeCellId="0" sqref="A1"/>
    </sheetView>
  </sheetViews>
  <sheetFormatPr baseColWidth="10" defaultColWidth="12.5703125" defaultRowHeight="15.75"/>
  <cols>
    <col min="1" max="8" style="320" width="12.5703125"/>
    <col customWidth="1" min="9" max="9" style="320" width="9.28515625"/>
    <col customWidth="1" min="10" max="10" style="320" width="7.85546875"/>
    <col min="11" max="18" style="320" width="12.5703125"/>
    <col customWidth="1" min="19" max="19" style="320" width="9.85546875"/>
    <col customWidth="1" min="20" max="20" style="320" width="1.85546875"/>
    <col min="21" max="16384" style="320" width="12.5703125"/>
  </cols>
  <sheetData>
    <row r="1" ht="16.5"/>
    <row r="2" ht="27.75">
      <c r="A2" s="321" t="s">
        <v>469</v>
      </c>
      <c r="B2" s="322"/>
      <c r="C2" s="322"/>
      <c r="D2" s="322"/>
      <c r="E2" s="322"/>
      <c r="F2" s="322"/>
      <c r="G2" s="322"/>
      <c r="H2" s="322"/>
      <c r="I2" s="323"/>
      <c r="J2" s="324"/>
      <c r="K2" s="321" t="s">
        <v>470</v>
      </c>
      <c r="L2" s="322"/>
      <c r="M2" s="322"/>
      <c r="N2" s="322"/>
      <c r="O2" s="322"/>
      <c r="P2" s="322"/>
      <c r="Q2" s="322"/>
      <c r="R2" s="322"/>
      <c r="S2" s="322"/>
      <c r="T2" s="323"/>
    </row>
    <row r="3" ht="27">
      <c r="A3" s="325"/>
      <c r="B3" s="325"/>
      <c r="C3" s="325"/>
      <c r="D3" s="325"/>
      <c r="E3" s="325"/>
      <c r="F3" s="325"/>
      <c r="G3" s="325"/>
      <c r="H3" s="325"/>
      <c r="I3" s="325"/>
      <c r="J3" s="325"/>
      <c r="K3" s="325"/>
      <c r="L3" s="325"/>
      <c r="M3" s="325"/>
      <c r="N3" s="325"/>
    </row>
  </sheetData>
  <mergeCells count="2">
    <mergeCell ref="A2:I2"/>
    <mergeCell ref="K2:T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selection activeCell="A1" activeCellId="0" sqref="A1:B1"/>
    </sheetView>
  </sheetViews>
  <sheetFormatPr baseColWidth="10" defaultColWidth="12.5703125" defaultRowHeight="15.75"/>
  <cols>
    <col customWidth="1" min="1" max="1" style="326" width="65.140625"/>
    <col customWidth="1" min="2" max="4" style="326" width="57.85546875"/>
    <col min="5" max="16384" style="326" width="12.5703125"/>
  </cols>
  <sheetData>
    <row r="1" s="327" customFormat="1" ht="33.75">
      <c r="A1" s="328" t="s">
        <v>471</v>
      </c>
      <c r="B1" s="329"/>
      <c r="C1" s="329" t="s">
        <v>472</v>
      </c>
      <c r="D1" s="330"/>
      <c r="E1" s="331"/>
      <c r="F1" s="331"/>
      <c r="G1" s="331"/>
      <c r="H1" s="331"/>
      <c r="I1" s="332"/>
      <c r="J1" s="333"/>
      <c r="K1" s="1"/>
      <c r="L1" s="32"/>
      <c r="O1" s="334"/>
    </row>
    <row r="2" s="335" customFormat="1" ht="28.5">
      <c r="A2" s="336" t="s">
        <v>473</v>
      </c>
      <c r="B2" s="337" t="s">
        <v>474</v>
      </c>
      <c r="C2" s="338" t="s">
        <v>475</v>
      </c>
      <c r="D2" s="339"/>
      <c r="I2" s="340"/>
      <c r="J2" s="341"/>
      <c r="K2" s="341"/>
      <c r="O2" s="342"/>
    </row>
    <row r="3" s="327" customFormat="1" ht="16.5" customHeight="1">
      <c r="A3" s="343" t="s">
        <v>476</v>
      </c>
      <c r="B3" s="344" t="s">
        <v>477</v>
      </c>
      <c r="C3" s="344" t="s">
        <v>478</v>
      </c>
      <c r="D3" s="345" t="s">
        <v>479</v>
      </c>
      <c r="E3" s="331"/>
      <c r="F3" s="335"/>
      <c r="G3" s="331"/>
      <c r="H3" s="331"/>
      <c r="I3" s="332"/>
      <c r="J3" s="333"/>
      <c r="K3" s="333"/>
      <c r="O3" s="334"/>
    </row>
    <row r="4" s="327" customFormat="1" ht="94.5" customHeight="1">
      <c r="A4" s="346" t="s">
        <v>480</v>
      </c>
      <c r="B4" s="347">
        <v>0.20000000000000001</v>
      </c>
      <c r="C4" s="348" t="s">
        <v>481</v>
      </c>
      <c r="D4" s="349" t="s">
        <v>481</v>
      </c>
      <c r="E4" s="350"/>
      <c r="F4" s="350"/>
      <c r="G4" s="350"/>
      <c r="H4" s="350"/>
      <c r="I4" s="332"/>
      <c r="J4" s="351"/>
      <c r="K4" s="351"/>
      <c r="L4" s="352"/>
      <c r="M4" s="352"/>
      <c r="N4" s="352"/>
      <c r="O4" s="353"/>
    </row>
    <row r="5" s="327" customFormat="1" ht="19.5">
      <c r="A5" s="354" t="s">
        <v>482</v>
      </c>
      <c r="B5" s="355" t="s">
        <v>483</v>
      </c>
      <c r="C5" s="356" t="s">
        <v>484</v>
      </c>
      <c r="D5" s="357"/>
      <c r="E5" s="313"/>
      <c r="F5" s="313"/>
      <c r="G5" s="313"/>
      <c r="H5" s="313"/>
      <c r="I5" s="332"/>
      <c r="J5" s="351"/>
      <c r="K5" s="351"/>
      <c r="L5" s="352"/>
      <c r="M5" s="352"/>
      <c r="N5" s="352"/>
      <c r="O5" s="353"/>
    </row>
    <row r="6" ht="21">
      <c r="A6" s="358" t="s">
        <v>485</v>
      </c>
      <c r="B6" s="359"/>
      <c r="C6" s="360" t="s">
        <v>486</v>
      </c>
      <c r="D6" s="361"/>
    </row>
    <row r="7">
      <c r="A7" s="362"/>
      <c r="B7" s="363"/>
      <c r="C7" s="364" t="s">
        <v>487</v>
      </c>
      <c r="D7" s="365" t="s">
        <v>488</v>
      </c>
    </row>
    <row r="8" ht="33" customHeight="1">
      <c r="A8" s="366" t="s">
        <v>489</v>
      </c>
      <c r="B8" s="367"/>
      <c r="C8" s="368"/>
      <c r="D8" s="369"/>
    </row>
    <row r="9">
      <c r="A9" s="370" t="s">
        <v>490</v>
      </c>
      <c r="B9" s="371"/>
      <c r="C9" s="368"/>
      <c r="D9" s="369"/>
    </row>
    <row r="10">
      <c r="A10" s="370" t="s">
        <v>491</v>
      </c>
      <c r="B10" s="371"/>
      <c r="C10" s="368"/>
      <c r="D10" s="369"/>
    </row>
    <row r="11" ht="26.25" customHeight="1">
      <c r="A11" s="366" t="s">
        <v>492</v>
      </c>
      <c r="B11" s="367"/>
      <c r="C11" s="368"/>
      <c r="D11" s="369"/>
    </row>
    <row r="12" ht="33" customHeight="1">
      <c r="A12" s="372" t="s">
        <v>493</v>
      </c>
      <c r="B12" s="373"/>
      <c r="C12" s="374"/>
      <c r="D12" s="375"/>
    </row>
    <row r="13" ht="33.75" customHeight="1">
      <c r="A13" s="376" t="s">
        <v>494</v>
      </c>
      <c r="B13" s="377"/>
      <c r="C13" s="377"/>
      <c r="D13" s="378"/>
    </row>
    <row r="14" ht="16.5">
      <c r="A14" s="343" t="s">
        <v>495</v>
      </c>
      <c r="B14" s="379" t="s">
        <v>495</v>
      </c>
      <c r="C14" s="379" t="s">
        <v>495</v>
      </c>
      <c r="D14" s="380" t="s">
        <v>495</v>
      </c>
    </row>
    <row r="15" ht="45">
      <c r="A15" s="381"/>
      <c r="B15" s="382"/>
      <c r="C15" s="383"/>
      <c r="D15" s="384"/>
    </row>
    <row r="16" ht="45.75">
      <c r="A16" s="385"/>
      <c r="B16" s="386"/>
      <c r="C16" s="386"/>
      <c r="D16" s="387"/>
    </row>
    <row r="17" ht="16.5">
      <c r="A17" s="343" t="s">
        <v>495</v>
      </c>
      <c r="B17" s="379" t="s">
        <v>495</v>
      </c>
      <c r="C17" s="379" t="s">
        <v>495</v>
      </c>
      <c r="D17" s="380" t="s">
        <v>495</v>
      </c>
    </row>
    <row r="18" ht="45">
      <c r="A18" s="381"/>
      <c r="B18" s="382"/>
      <c r="C18" s="383"/>
      <c r="D18" s="384"/>
    </row>
    <row r="19" ht="45.75">
      <c r="A19" s="385"/>
      <c r="B19" s="386"/>
      <c r="C19" s="386"/>
      <c r="D19" s="387"/>
    </row>
    <row r="20" ht="16.5">
      <c r="A20" s="343" t="s">
        <v>495</v>
      </c>
      <c r="B20" s="379" t="s">
        <v>495</v>
      </c>
      <c r="C20" s="379" t="s">
        <v>495</v>
      </c>
      <c r="D20" s="380" t="s">
        <v>495</v>
      </c>
    </row>
    <row r="21" ht="45">
      <c r="A21" s="381"/>
      <c r="B21" s="382"/>
      <c r="C21" s="383"/>
      <c r="D21" s="384"/>
    </row>
    <row r="22" ht="45.75">
      <c r="A22" s="385"/>
      <c r="B22" s="386"/>
      <c r="C22" s="386"/>
      <c r="D22" s="387"/>
    </row>
  </sheetData>
  <mergeCells count="12">
    <mergeCell ref="A13:D13"/>
    <mergeCell ref="A1:B1"/>
    <mergeCell ref="C1:D1"/>
    <mergeCell ref="C2:D2"/>
    <mergeCell ref="C5:D5"/>
    <mergeCell ref="A6:B7"/>
    <mergeCell ref="C6:D6"/>
    <mergeCell ref="A8:B8"/>
    <mergeCell ref="A9:B9"/>
    <mergeCell ref="A10:B10"/>
    <mergeCell ref="A11:B11"/>
    <mergeCell ref="A12:B1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96" workbookViewId="0">
      <selection activeCell="I1" activeCellId="0" sqref="I1:O1"/>
    </sheetView>
  </sheetViews>
  <sheetFormatPr baseColWidth="10" defaultColWidth="12.5703125" defaultRowHeight="14.25"/>
  <cols>
    <col customWidth="1" min="1" max="5" style="388" width="14.42578125"/>
    <col min="6" max="6" style="388" width="12.5703125"/>
    <col customWidth="1" hidden="1" min="7" max="7" style="388" width="16"/>
    <col min="8" max="16384" style="388" width="12.5703125"/>
  </cols>
  <sheetData>
    <row r="1" ht="26.25" customHeight="1">
      <c r="A1" s="389" t="s">
        <v>496</v>
      </c>
      <c r="B1" s="389"/>
      <c r="C1" s="389"/>
      <c r="D1" s="389"/>
      <c r="E1" s="389"/>
      <c r="I1" s="389" t="s">
        <v>497</v>
      </c>
      <c r="J1" s="389"/>
      <c r="K1" s="389"/>
      <c r="L1" s="389"/>
      <c r="M1" s="389"/>
      <c r="N1" s="389"/>
      <c r="O1" s="389"/>
    </row>
    <row r="2" ht="25.5">
      <c r="A2" s="390" t="s">
        <v>498</v>
      </c>
      <c r="B2" s="390" t="s">
        <v>499</v>
      </c>
      <c r="C2" s="390" t="s">
        <v>500</v>
      </c>
      <c r="D2" s="390" t="s">
        <v>501</v>
      </c>
      <c r="E2" s="390" t="s">
        <v>502</v>
      </c>
      <c r="I2" s="390" t="s">
        <v>379</v>
      </c>
      <c r="J2" s="390" t="s">
        <v>503</v>
      </c>
      <c r="K2" s="390" t="s">
        <v>381</v>
      </c>
      <c r="L2" s="390" t="s">
        <v>504</v>
      </c>
      <c r="M2" s="390" t="s">
        <v>372</v>
      </c>
      <c r="N2" s="390" t="s">
        <v>501</v>
      </c>
      <c r="O2" s="390" t="s">
        <v>502</v>
      </c>
    </row>
    <row r="3" ht="16.5">
      <c r="A3" s="390" t="s">
        <v>505</v>
      </c>
      <c r="B3" s="391">
        <v>95</v>
      </c>
      <c r="C3" s="392" t="s">
        <v>506</v>
      </c>
      <c r="D3" s="393"/>
      <c r="E3" s="392" t="s">
        <v>507</v>
      </c>
      <c r="G3" s="388" t="s">
        <v>389</v>
      </c>
      <c r="I3" s="394"/>
      <c r="J3" s="395">
        <v>0.90000000000000002</v>
      </c>
      <c r="K3" s="392" t="s">
        <v>508</v>
      </c>
      <c r="L3" s="396">
        <f>J3</f>
        <v>0.90000000000000002</v>
      </c>
      <c r="M3" s="392" t="s">
        <v>509</v>
      </c>
      <c r="N3" s="392" t="s">
        <v>510</v>
      </c>
      <c r="O3" s="392" t="s">
        <v>511</v>
      </c>
    </row>
    <row r="4" ht="16.5">
      <c r="A4" s="390"/>
      <c r="B4" s="391"/>
      <c r="C4" s="392"/>
      <c r="D4" s="393"/>
      <c r="E4" s="392"/>
      <c r="G4" s="388" t="s">
        <v>420</v>
      </c>
      <c r="I4" s="394"/>
      <c r="J4" s="395"/>
      <c r="K4" s="392" t="s">
        <v>397</v>
      </c>
      <c r="L4" s="396">
        <f>L7*4</f>
        <v>0.71999999999999997</v>
      </c>
      <c r="M4" s="392" t="s">
        <v>512</v>
      </c>
      <c r="N4" s="392"/>
      <c r="O4" s="392"/>
    </row>
    <row r="5" ht="16.5">
      <c r="A5" s="390"/>
      <c r="B5" s="391"/>
      <c r="C5" s="392"/>
      <c r="D5" s="392" t="s">
        <v>513</v>
      </c>
      <c r="E5" s="392"/>
      <c r="G5" s="388" t="s">
        <v>406</v>
      </c>
      <c r="I5" s="394" t="s">
        <v>389</v>
      </c>
      <c r="J5" s="395"/>
      <c r="K5" s="392" t="s">
        <v>421</v>
      </c>
      <c r="L5" s="396">
        <f>L7*3</f>
        <v>0.54000000000000004</v>
      </c>
      <c r="M5" s="392"/>
      <c r="N5" s="392"/>
      <c r="O5" s="392"/>
    </row>
    <row r="6" ht="16.5">
      <c r="A6" s="390"/>
      <c r="B6" s="391"/>
      <c r="C6" s="392"/>
      <c r="D6" s="393"/>
      <c r="E6" s="392"/>
      <c r="G6" s="388" t="s">
        <v>514</v>
      </c>
      <c r="I6" s="394"/>
      <c r="J6" s="395"/>
      <c r="K6" s="392" t="s">
        <v>390</v>
      </c>
      <c r="L6" s="396">
        <f>L7*2</f>
        <v>0.35999999999999999</v>
      </c>
      <c r="M6" s="392" t="s">
        <v>515</v>
      </c>
      <c r="N6" s="392"/>
      <c r="O6" s="392"/>
    </row>
    <row r="7">
      <c r="A7" s="390"/>
      <c r="B7" s="391"/>
      <c r="C7" s="392"/>
      <c r="D7" s="393"/>
      <c r="E7" s="392"/>
      <c r="I7" s="394"/>
      <c r="J7" s="395"/>
      <c r="K7" s="392" t="s">
        <v>444</v>
      </c>
      <c r="L7" s="396">
        <f>L3/5</f>
        <v>0.17999999999999999</v>
      </c>
      <c r="M7" s="392"/>
      <c r="N7" s="392"/>
      <c r="O7" s="392"/>
    </row>
    <row r="8" ht="24">
      <c r="A8" s="390" t="s">
        <v>516</v>
      </c>
      <c r="B8" s="397">
        <f>B3-27</f>
        <v>68</v>
      </c>
      <c r="C8" s="392" t="s">
        <v>517</v>
      </c>
      <c r="D8" s="393"/>
      <c r="E8" s="392" t="s">
        <v>518</v>
      </c>
      <c r="I8" s="394"/>
      <c r="J8" s="396">
        <v>0.65000000000000002</v>
      </c>
      <c r="K8" s="392" t="s">
        <v>508</v>
      </c>
      <c r="L8" s="396">
        <f>J8</f>
        <v>0.65000000000000002</v>
      </c>
      <c r="M8" s="392" t="s">
        <v>509</v>
      </c>
      <c r="N8" s="392" t="s">
        <v>510</v>
      </c>
      <c r="O8" s="392" t="s">
        <v>519</v>
      </c>
    </row>
    <row r="9">
      <c r="A9" s="390"/>
      <c r="B9" s="397"/>
      <c r="C9" s="392"/>
      <c r="D9" s="393"/>
      <c r="E9" s="392"/>
      <c r="I9" s="394"/>
      <c r="J9" s="396"/>
      <c r="K9" s="392" t="s">
        <v>397</v>
      </c>
      <c r="L9" s="396">
        <f>L12*4</f>
        <v>0.52000000000000002</v>
      </c>
      <c r="M9" s="392" t="s">
        <v>512</v>
      </c>
      <c r="N9" s="392"/>
      <c r="O9" s="392"/>
    </row>
    <row r="10">
      <c r="A10" s="390"/>
      <c r="B10" s="397"/>
      <c r="C10" s="392"/>
      <c r="D10" s="392" t="s">
        <v>520</v>
      </c>
      <c r="E10" s="392"/>
      <c r="I10" s="394" t="s">
        <v>420</v>
      </c>
      <c r="J10" s="396"/>
      <c r="K10" s="392" t="s">
        <v>421</v>
      </c>
      <c r="L10" s="396">
        <f>L12*3</f>
        <v>0.39000000000000001</v>
      </c>
      <c r="M10" s="392"/>
      <c r="N10" s="392"/>
      <c r="O10" s="392"/>
    </row>
    <row r="11">
      <c r="A11" s="390"/>
      <c r="B11" s="397"/>
      <c r="C11" s="392"/>
      <c r="D11" s="393"/>
      <c r="E11" s="392"/>
      <c r="I11" s="394"/>
      <c r="J11" s="396"/>
      <c r="K11" s="392" t="s">
        <v>390</v>
      </c>
      <c r="L11" s="396">
        <f>L12*2</f>
        <v>0.26000000000000001</v>
      </c>
      <c r="M11" s="392" t="s">
        <v>515</v>
      </c>
      <c r="N11" s="392"/>
      <c r="O11" s="392"/>
    </row>
    <row r="12">
      <c r="A12" s="390"/>
      <c r="B12" s="397"/>
      <c r="C12" s="392"/>
      <c r="D12" s="393"/>
      <c r="E12" s="392"/>
      <c r="I12" s="394"/>
      <c r="J12" s="396"/>
      <c r="K12" s="392" t="s">
        <v>444</v>
      </c>
      <c r="L12" s="396">
        <f>L8/5</f>
        <v>0.13</v>
      </c>
      <c r="M12" s="392"/>
      <c r="N12" s="392"/>
      <c r="O12" s="392"/>
    </row>
    <row r="13" ht="24">
      <c r="A13" s="390" t="s">
        <v>521</v>
      </c>
      <c r="B13" s="397">
        <f>B8-27</f>
        <v>41</v>
      </c>
      <c r="C13" s="392" t="s">
        <v>522</v>
      </c>
      <c r="D13" s="393"/>
      <c r="E13" s="392" t="s">
        <v>523</v>
      </c>
      <c r="I13" s="394"/>
      <c r="J13" s="396">
        <v>0.40000000000000002</v>
      </c>
      <c r="K13" s="392" t="s">
        <v>508</v>
      </c>
      <c r="L13" s="396">
        <f>J13</f>
        <v>0.40000000000000002</v>
      </c>
      <c r="M13" s="392" t="s">
        <v>509</v>
      </c>
      <c r="N13" s="392" t="s">
        <v>510</v>
      </c>
      <c r="O13" s="392" t="s">
        <v>524</v>
      </c>
    </row>
    <row r="14">
      <c r="A14" s="390"/>
      <c r="B14" s="397"/>
      <c r="C14" s="392"/>
      <c r="D14" s="393"/>
      <c r="E14" s="392"/>
      <c r="I14" s="394"/>
      <c r="J14" s="396"/>
      <c r="K14" s="392" t="s">
        <v>397</v>
      </c>
      <c r="L14" s="396">
        <f>L17*4</f>
        <v>0.32000000000000001</v>
      </c>
      <c r="M14" s="392" t="s">
        <v>512</v>
      </c>
      <c r="N14" s="392"/>
      <c r="O14" s="392"/>
    </row>
    <row r="15">
      <c r="A15" s="390"/>
      <c r="B15" s="397"/>
      <c r="C15" s="392"/>
      <c r="D15" s="392" t="s">
        <v>525</v>
      </c>
      <c r="E15" s="392"/>
      <c r="I15" s="394" t="s">
        <v>406</v>
      </c>
      <c r="J15" s="396"/>
      <c r="K15" s="392" t="s">
        <v>421</v>
      </c>
      <c r="L15" s="396">
        <f>L17*3</f>
        <v>0.23999999999999999</v>
      </c>
      <c r="M15" s="392"/>
      <c r="N15" s="392"/>
      <c r="O15" s="392"/>
    </row>
    <row r="16">
      <c r="A16" s="390"/>
      <c r="B16" s="397"/>
      <c r="C16" s="392"/>
      <c r="D16" s="393"/>
      <c r="E16" s="392"/>
      <c r="I16" s="394"/>
      <c r="J16" s="396"/>
      <c r="K16" s="392" t="s">
        <v>390</v>
      </c>
      <c r="L16" s="396">
        <f>L17*2</f>
        <v>0.16</v>
      </c>
      <c r="M16" s="392" t="s">
        <v>515</v>
      </c>
      <c r="N16" s="392"/>
      <c r="O16" s="392"/>
    </row>
    <row r="17">
      <c r="A17" s="390"/>
      <c r="B17" s="397"/>
      <c r="C17" s="392"/>
      <c r="D17" s="393"/>
      <c r="E17" s="392"/>
      <c r="I17" s="394"/>
      <c r="J17" s="396"/>
      <c r="K17" s="392" t="s">
        <v>444</v>
      </c>
      <c r="L17" s="396">
        <f>L13/5</f>
        <v>0.080000000000000002</v>
      </c>
      <c r="M17" s="392"/>
      <c r="N17" s="392"/>
      <c r="O17" s="392"/>
    </row>
    <row r="18" ht="51">
      <c r="A18" s="390" t="s">
        <v>526</v>
      </c>
      <c r="B18" s="392">
        <v>15</v>
      </c>
      <c r="C18" s="392" t="s">
        <v>527</v>
      </c>
      <c r="D18" s="392" t="s">
        <v>528</v>
      </c>
      <c r="E18" s="392" t="s">
        <v>529</v>
      </c>
      <c r="I18" s="390" t="s">
        <v>514</v>
      </c>
      <c r="J18" s="396">
        <v>0.14999999999999999</v>
      </c>
      <c r="K18" s="392" t="s">
        <v>527</v>
      </c>
      <c r="L18" s="392" t="s">
        <v>530</v>
      </c>
      <c r="M18" s="392" t="s">
        <v>531</v>
      </c>
      <c r="N18" s="392">
        <v>15</v>
      </c>
      <c r="O18" s="392" t="s">
        <v>532</v>
      </c>
    </row>
    <row r="19" ht="38.25">
      <c r="A19" s="390" t="s">
        <v>533</v>
      </c>
      <c r="B19" s="392" t="s">
        <v>527</v>
      </c>
      <c r="C19" s="392" t="s">
        <v>527</v>
      </c>
      <c r="D19" s="392" t="s">
        <v>527</v>
      </c>
      <c r="E19" s="392" t="s">
        <v>534</v>
      </c>
    </row>
    <row r="27">
      <c r="K27" s="398"/>
    </row>
  </sheetData>
  <mergeCells count="29">
    <mergeCell ref="A1:E1"/>
    <mergeCell ref="I1:O1"/>
    <mergeCell ref="A3:A7"/>
    <mergeCell ref="B3:B7"/>
    <mergeCell ref="C3:C7"/>
    <mergeCell ref="E3:E7"/>
    <mergeCell ref="J3:J7"/>
    <mergeCell ref="N3:N7"/>
    <mergeCell ref="O3:O7"/>
    <mergeCell ref="M4:M5"/>
    <mergeCell ref="M6:M7"/>
    <mergeCell ref="A8:A12"/>
    <mergeCell ref="B8:B12"/>
    <mergeCell ref="C8:C12"/>
    <mergeCell ref="E8:E12"/>
    <mergeCell ref="J8:J12"/>
    <mergeCell ref="N8:N12"/>
    <mergeCell ref="O8:O12"/>
    <mergeCell ref="M9:M10"/>
    <mergeCell ref="M11:M12"/>
    <mergeCell ref="A13:A17"/>
    <mergeCell ref="B13:B17"/>
    <mergeCell ref="C13:C17"/>
    <mergeCell ref="E13:E17"/>
    <mergeCell ref="J13:J17"/>
    <mergeCell ref="N13:N17"/>
    <mergeCell ref="O13:O17"/>
    <mergeCell ref="M14:M15"/>
    <mergeCell ref="M16:M1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Edgar Martinez Morales</dc:creator>
  <cp:keywords/>
  <dc:description/>
  <cp:revision>8</cp:revision>
  <dcterms:created xsi:type="dcterms:W3CDTF">2023-12-15T17:23:33Z</dcterms:created>
  <dcterms:modified xsi:type="dcterms:W3CDTF">2025-05-05T02:15:46Z</dcterms:modified>
  <cp:category/>
  <cp:contentStatus/>
</cp:coreProperties>
</file>