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oliden\Documents\Epsilon4\Estandares\"/>
    </mc:Choice>
  </mc:AlternateContent>
  <xr:revisionPtr revIDLastSave="0" documentId="13_ncr:1_{7D1C900A-C157-4952-BB00-F2123B4CA480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Hoja1" sheetId="1" r:id="rId1"/>
    <sheet name="Hoja2" sheetId="3" r:id="rId2"/>
    <sheet name="mg-kg" sheetId="2" r:id="rId3"/>
    <sheet name="mean" sheetId="4" r:id="rId4"/>
    <sheet name="std" sheetId="5" r:id="rId5"/>
    <sheet name="RS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2" i="6"/>
  <c r="BP34" i="2"/>
  <c r="BP35" i="2"/>
  <c r="BP36" i="2"/>
  <c r="BP37" i="2"/>
  <c r="BP38" i="2"/>
  <c r="BP39" i="2"/>
  <c r="BP40" i="2"/>
  <c r="BO34" i="2"/>
  <c r="BO35" i="2"/>
  <c r="BO36" i="2"/>
  <c r="BO37" i="2"/>
  <c r="BO38" i="2"/>
  <c r="BO39" i="2"/>
  <c r="BO40" i="2"/>
  <c r="BN34" i="2"/>
  <c r="BN35" i="2"/>
  <c r="BN39" i="2"/>
  <c r="BM34" i="2"/>
  <c r="BM35" i="2"/>
  <c r="BM39" i="2"/>
  <c r="BL34" i="2"/>
  <c r="BL35" i="2"/>
  <c r="BK34" i="2"/>
  <c r="BK35" i="2"/>
  <c r="BN33" i="2"/>
  <c r="BM33" i="2"/>
  <c r="BL33" i="2"/>
  <c r="BO33" i="2"/>
  <c r="BP33" i="2"/>
  <c r="BK33" i="2"/>
  <c r="BJ34" i="2"/>
  <c r="BJ35" i="2"/>
  <c r="BJ39" i="2"/>
  <c r="BI34" i="2"/>
  <c r="BI35" i="2"/>
  <c r="BI39" i="2"/>
  <c r="BJ33" i="2"/>
  <c r="BI33" i="2"/>
  <c r="BH37" i="2"/>
  <c r="BH38" i="2"/>
  <c r="BH39" i="2"/>
  <c r="BG37" i="2"/>
  <c r="BG38" i="2"/>
  <c r="BG39" i="2"/>
  <c r="BF34" i="2"/>
  <c r="BF35" i="2"/>
  <c r="BF38" i="2"/>
  <c r="BF39" i="2"/>
  <c r="BE34" i="2"/>
  <c r="BE35" i="2"/>
  <c r="BE38" i="2"/>
  <c r="BE39" i="2"/>
  <c r="BD34" i="2"/>
  <c r="BD35" i="2"/>
  <c r="BC34" i="2"/>
  <c r="BC35" i="2"/>
  <c r="BF33" i="2"/>
  <c r="BE33" i="2"/>
  <c r="BD33" i="2"/>
  <c r="BC33" i="2"/>
  <c r="BB34" i="2"/>
  <c r="BB35" i="2"/>
  <c r="BB37" i="2"/>
  <c r="BB39" i="2"/>
  <c r="BA34" i="2"/>
  <c r="BA35" i="2"/>
  <c r="BA37" i="2"/>
  <c r="BA39" i="2"/>
  <c r="AZ34" i="2"/>
  <c r="AZ35" i="2"/>
  <c r="AZ36" i="2"/>
  <c r="AZ37" i="2"/>
  <c r="AZ38" i="2"/>
  <c r="AZ39" i="2"/>
  <c r="AZ40" i="2"/>
  <c r="AY34" i="2"/>
  <c r="AY35" i="2"/>
  <c r="AY36" i="2"/>
  <c r="AY37" i="2"/>
  <c r="AY38" i="2"/>
  <c r="AY39" i="2"/>
  <c r="AY40" i="2"/>
  <c r="BB33" i="2"/>
  <c r="BA33" i="2"/>
  <c r="AZ33" i="2"/>
  <c r="AY33" i="2"/>
  <c r="AW37" i="2"/>
  <c r="AU36" i="2"/>
  <c r="AU37" i="2"/>
  <c r="AU38" i="2"/>
  <c r="AU39" i="2"/>
  <c r="AU40" i="2"/>
  <c r="AT34" i="2"/>
  <c r="AT35" i="2"/>
  <c r="AT37" i="2"/>
  <c r="AS34" i="2"/>
  <c r="AS35" i="2"/>
  <c r="AS36" i="2"/>
  <c r="AS37" i="2"/>
  <c r="AS39" i="2"/>
  <c r="AS40" i="2"/>
  <c r="AQ38" i="2"/>
  <c r="AQ39" i="2"/>
  <c r="AS33" i="2"/>
  <c r="AT33" i="2"/>
  <c r="AP34" i="2"/>
  <c r="AP35" i="2"/>
  <c r="AP37" i="2"/>
  <c r="AP38" i="2"/>
  <c r="AP40" i="2"/>
  <c r="AO34" i="2"/>
  <c r="AO35" i="2"/>
  <c r="AO36" i="2"/>
  <c r="AO37" i="2"/>
  <c r="AO38" i="2"/>
  <c r="AO39" i="2"/>
  <c r="AO40" i="2"/>
  <c r="AP33" i="2"/>
  <c r="AO33" i="2"/>
  <c r="AN34" i="2"/>
  <c r="AN35" i="2"/>
  <c r="AN37" i="2"/>
  <c r="AM34" i="2"/>
  <c r="AM35" i="2"/>
  <c r="AM36" i="2"/>
  <c r="AM37" i="2"/>
  <c r="AM39" i="2"/>
  <c r="AM40" i="2"/>
  <c r="AN33" i="2"/>
  <c r="AM33" i="2"/>
  <c r="AL34" i="2"/>
  <c r="AL35" i="2"/>
  <c r="AK34" i="2"/>
  <c r="AK35" i="2"/>
  <c r="AK39" i="2"/>
  <c r="AJ34" i="2"/>
  <c r="AJ35" i="2"/>
  <c r="AJ39" i="2"/>
  <c r="AJ40" i="2"/>
  <c r="AI34" i="2"/>
  <c r="AI35" i="2"/>
  <c r="AI36" i="2"/>
  <c r="AI39" i="2"/>
  <c r="AI40" i="2"/>
  <c r="AJ33" i="2"/>
  <c r="AI33" i="2"/>
  <c r="AF34" i="2"/>
  <c r="AF35" i="2"/>
  <c r="AF36" i="2"/>
  <c r="AE34" i="2"/>
  <c r="AE35" i="2"/>
  <c r="AE36" i="2"/>
  <c r="AE39" i="2"/>
  <c r="AE40" i="2"/>
  <c r="AE33" i="2"/>
  <c r="AF33" i="2"/>
  <c r="AD34" i="2"/>
  <c r="AD35" i="2"/>
  <c r="AD36" i="2"/>
  <c r="AD38" i="2"/>
  <c r="AC34" i="2"/>
  <c r="AC35" i="2"/>
  <c r="AC36" i="2"/>
  <c r="AC38" i="2"/>
  <c r="AC39" i="2"/>
  <c r="AC40" i="2"/>
  <c r="AD33" i="2"/>
  <c r="AC33" i="2"/>
  <c r="AB34" i="2"/>
  <c r="AB35" i="2"/>
  <c r="AB37" i="2"/>
  <c r="AB39" i="2"/>
  <c r="AA34" i="2"/>
  <c r="AA35" i="2"/>
  <c r="AA37" i="2"/>
  <c r="AA39" i="2"/>
  <c r="AA33" i="2"/>
  <c r="AB33" i="2"/>
  <c r="Z34" i="2"/>
  <c r="Z35" i="2"/>
  <c r="Z36" i="2"/>
  <c r="Z37" i="2"/>
  <c r="Y34" i="2"/>
  <c r="Y35" i="2"/>
  <c r="Y36" i="2"/>
  <c r="Y37" i="2"/>
  <c r="Y38" i="2"/>
  <c r="Y39" i="2"/>
  <c r="Y33" i="2"/>
  <c r="Z33" i="2"/>
  <c r="X34" i="2"/>
  <c r="X35" i="2"/>
  <c r="X39" i="2"/>
  <c r="W34" i="2"/>
  <c r="W35" i="2"/>
  <c r="W36" i="2"/>
  <c r="W37" i="2"/>
  <c r="W39" i="2"/>
  <c r="W40" i="2"/>
  <c r="X33" i="2"/>
  <c r="W33" i="2"/>
  <c r="V34" i="2"/>
  <c r="V35" i="2"/>
  <c r="U34" i="2"/>
  <c r="U35" i="2"/>
  <c r="U37" i="2"/>
  <c r="V33" i="2"/>
  <c r="U33" i="2"/>
  <c r="T36" i="2"/>
  <c r="T37" i="2"/>
  <c r="S36" i="2"/>
  <c r="S37" i="2"/>
  <c r="S38" i="2"/>
  <c r="S39" i="2"/>
  <c r="S40" i="2"/>
  <c r="R34" i="2"/>
  <c r="R35" i="2"/>
  <c r="R39" i="2"/>
  <c r="Q34" i="2"/>
  <c r="Q35" i="2"/>
  <c r="Q36" i="2"/>
  <c r="Q39" i="2"/>
  <c r="Q40" i="2"/>
  <c r="R33" i="2"/>
  <c r="Q33" i="2"/>
  <c r="P34" i="2"/>
  <c r="P35" i="2"/>
  <c r="P39" i="2"/>
  <c r="O34" i="2"/>
  <c r="O35" i="2"/>
  <c r="O37" i="2"/>
  <c r="O39" i="2"/>
  <c r="P33" i="2"/>
  <c r="O33" i="2"/>
  <c r="I39" i="2"/>
  <c r="G38" i="2"/>
  <c r="F34" i="2"/>
  <c r="F35" i="2"/>
  <c r="F39" i="2"/>
  <c r="E34" i="2"/>
  <c r="E35" i="2"/>
  <c r="E36" i="2"/>
  <c r="E38" i="2"/>
  <c r="E39" i="2"/>
  <c r="F33" i="2"/>
  <c r="E33" i="2"/>
  <c r="C39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P4" i="2"/>
  <c r="BO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9" i="2"/>
  <c r="BN20" i="2"/>
  <c r="BN21" i="2"/>
  <c r="BN22" i="2"/>
  <c r="BN23" i="2"/>
  <c r="BN24" i="2"/>
  <c r="BN27" i="2"/>
  <c r="BN30" i="2"/>
  <c r="BN32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9" i="2"/>
  <c r="BM20" i="2"/>
  <c r="BM21" i="2"/>
  <c r="BM22" i="2"/>
  <c r="BM23" i="2"/>
  <c r="BM24" i="2"/>
  <c r="BM27" i="2"/>
  <c r="BM30" i="2"/>
  <c r="BM32" i="2"/>
  <c r="BL5" i="2"/>
  <c r="BL8" i="2"/>
  <c r="BL12" i="2"/>
  <c r="BL13" i="2"/>
  <c r="BL14" i="2"/>
  <c r="BL15" i="2"/>
  <c r="BL16" i="2"/>
  <c r="BL17" i="2"/>
  <c r="BL21" i="2"/>
  <c r="BL24" i="2"/>
  <c r="BK5" i="2"/>
  <c r="BK8" i="2"/>
  <c r="BK12" i="2"/>
  <c r="BK13" i="2"/>
  <c r="BK14" i="2"/>
  <c r="BK15" i="2"/>
  <c r="BK16" i="2"/>
  <c r="BK17" i="2"/>
  <c r="BK21" i="2"/>
  <c r="BK24" i="2"/>
  <c r="BL4" i="2"/>
  <c r="BK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9" i="2"/>
  <c r="BJ30" i="2"/>
  <c r="BJ31" i="2"/>
  <c r="BJ32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9" i="2"/>
  <c r="BI30" i="2"/>
  <c r="BI31" i="2"/>
  <c r="BI32" i="2"/>
  <c r="BJ4" i="2"/>
  <c r="BI4" i="2"/>
  <c r="BH5" i="2"/>
  <c r="BH6" i="2"/>
  <c r="BH7" i="2"/>
  <c r="BH8" i="2"/>
  <c r="BH9" i="2"/>
  <c r="BH10" i="2"/>
  <c r="BH12" i="2"/>
  <c r="BH13" i="2"/>
  <c r="BH14" i="2"/>
  <c r="BH15" i="2"/>
  <c r="BH16" i="2"/>
  <c r="BH17" i="2"/>
  <c r="BH18" i="2"/>
  <c r="BH20" i="2"/>
  <c r="BH21" i="2"/>
  <c r="BH22" i="2"/>
  <c r="BH23" i="2"/>
  <c r="BH24" i="2"/>
  <c r="BH25" i="2"/>
  <c r="BH26" i="2"/>
  <c r="BH27" i="2"/>
  <c r="BH28" i="2"/>
  <c r="BG5" i="2"/>
  <c r="BG6" i="2"/>
  <c r="BG7" i="2"/>
  <c r="BG8" i="2"/>
  <c r="BG9" i="2"/>
  <c r="BG10" i="2"/>
  <c r="BG12" i="2"/>
  <c r="BG13" i="2"/>
  <c r="BG14" i="2"/>
  <c r="BG15" i="2"/>
  <c r="BG16" i="2"/>
  <c r="BG17" i="2"/>
  <c r="BG18" i="2"/>
  <c r="BG20" i="2"/>
  <c r="BG21" i="2"/>
  <c r="BG22" i="2"/>
  <c r="BG23" i="2"/>
  <c r="BG24" i="2"/>
  <c r="BG25" i="2"/>
  <c r="BG26" i="2"/>
  <c r="BG27" i="2"/>
  <c r="BG28" i="2"/>
  <c r="BF5" i="2"/>
  <c r="BF6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E5" i="2"/>
  <c r="BE6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31" i="2"/>
  <c r="BD32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31" i="2"/>
  <c r="BC32" i="2"/>
  <c r="BD4" i="2"/>
  <c r="BC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30" i="2"/>
  <c r="BB31" i="2"/>
  <c r="BB32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30" i="2"/>
  <c r="BA31" i="2"/>
  <c r="BA32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8" i="2"/>
  <c r="AZ30" i="2"/>
  <c r="AZ31" i="2"/>
  <c r="AZ32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8" i="2"/>
  <c r="AY30" i="2"/>
  <c r="AY31" i="2"/>
  <c r="AY32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30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30" i="2"/>
  <c r="AX4" i="2"/>
  <c r="AW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30" i="2"/>
  <c r="AV31" i="2"/>
  <c r="AV32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30" i="2"/>
  <c r="AU31" i="2"/>
  <c r="AU32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30" i="2"/>
  <c r="AT31" i="2"/>
  <c r="AT32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30" i="2"/>
  <c r="AS31" i="2"/>
  <c r="AS32" i="2"/>
  <c r="AT4" i="2"/>
  <c r="AS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30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30" i="2"/>
  <c r="AQ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9" i="2"/>
  <c r="AP30" i="2"/>
  <c r="AP31" i="2"/>
  <c r="AP32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9" i="2"/>
  <c r="AO30" i="2"/>
  <c r="AO31" i="2"/>
  <c r="AO32" i="2"/>
  <c r="AP4" i="2"/>
  <c r="AO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9" i="2"/>
  <c r="AN30" i="2"/>
  <c r="AN31" i="2"/>
  <c r="AN32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9" i="2"/>
  <c r="AM30" i="2"/>
  <c r="AM31" i="2"/>
  <c r="AM32" i="2"/>
  <c r="AN4" i="2"/>
  <c r="AM4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4" i="2"/>
  <c r="AL25" i="2"/>
  <c r="AL26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4" i="2"/>
  <c r="AK25" i="2"/>
  <c r="AK26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9" i="2"/>
  <c r="AJ30" i="2"/>
  <c r="AJ31" i="2"/>
  <c r="AJ32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9" i="2"/>
  <c r="AI30" i="2"/>
  <c r="AI31" i="2"/>
  <c r="AI32" i="2"/>
  <c r="AJ4" i="2"/>
  <c r="AI4" i="2"/>
  <c r="AH5" i="2"/>
  <c r="AH6" i="2"/>
  <c r="AH7" i="2"/>
  <c r="AH8" i="2"/>
  <c r="AH9" i="2"/>
  <c r="AH10" i="2"/>
  <c r="AH12" i="2"/>
  <c r="AH13" i="2"/>
  <c r="AH14" i="2"/>
  <c r="AH15" i="2"/>
  <c r="AH16" i="2"/>
  <c r="AH17" i="2"/>
  <c r="AH19" i="2"/>
  <c r="AH20" i="2"/>
  <c r="AH21" i="2"/>
  <c r="AH22" i="2"/>
  <c r="AH23" i="2"/>
  <c r="AH24" i="2"/>
  <c r="AH25" i="2"/>
  <c r="AH26" i="2"/>
  <c r="AH27" i="2"/>
  <c r="AH28" i="2"/>
  <c r="AH30" i="2"/>
  <c r="AG5" i="2"/>
  <c r="AG6" i="2"/>
  <c r="AG7" i="2"/>
  <c r="AG8" i="2"/>
  <c r="AG9" i="2"/>
  <c r="AG10" i="2"/>
  <c r="AG12" i="2"/>
  <c r="AG13" i="2"/>
  <c r="AG14" i="2"/>
  <c r="AG15" i="2"/>
  <c r="AG16" i="2"/>
  <c r="AG17" i="2"/>
  <c r="AG19" i="2"/>
  <c r="AG20" i="2"/>
  <c r="AG21" i="2"/>
  <c r="AG22" i="2"/>
  <c r="AG23" i="2"/>
  <c r="AG24" i="2"/>
  <c r="AG25" i="2"/>
  <c r="AG26" i="2"/>
  <c r="AG27" i="2"/>
  <c r="AG28" i="2"/>
  <c r="AG30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8" i="2"/>
  <c r="AF29" i="2"/>
  <c r="AF30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8" i="2"/>
  <c r="AE29" i="2"/>
  <c r="AE30" i="2"/>
  <c r="AF4" i="2"/>
  <c r="AE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D4" i="2"/>
  <c r="AC4" i="2"/>
  <c r="AB5" i="2"/>
  <c r="AB7" i="2"/>
  <c r="AB8" i="2"/>
  <c r="AB9" i="2"/>
  <c r="AB10" i="2"/>
  <c r="AB12" i="2"/>
  <c r="AB13" i="2"/>
  <c r="AB14" i="2"/>
  <c r="AB15" i="2"/>
  <c r="AB16" i="2"/>
  <c r="AB17" i="2"/>
  <c r="AB19" i="2"/>
  <c r="AB20" i="2"/>
  <c r="AB21" i="2"/>
  <c r="AB22" i="2"/>
  <c r="AB23" i="2"/>
  <c r="AB24" i="2"/>
  <c r="AB26" i="2"/>
  <c r="AB32" i="2"/>
  <c r="AA5" i="2"/>
  <c r="AA7" i="2"/>
  <c r="AA8" i="2"/>
  <c r="AA9" i="2"/>
  <c r="AA10" i="2"/>
  <c r="AA12" i="2"/>
  <c r="AA13" i="2"/>
  <c r="AA14" i="2"/>
  <c r="AA15" i="2"/>
  <c r="AA16" i="2"/>
  <c r="AA17" i="2"/>
  <c r="AA19" i="2"/>
  <c r="AA20" i="2"/>
  <c r="AA21" i="2"/>
  <c r="AA22" i="2"/>
  <c r="AA23" i="2"/>
  <c r="AA24" i="2"/>
  <c r="AA26" i="2"/>
  <c r="AA32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31" i="2"/>
  <c r="Z32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31" i="2"/>
  <c r="Y32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30" i="2"/>
  <c r="V32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30" i="2"/>
  <c r="U32" i="2"/>
  <c r="V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30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30" i="2"/>
  <c r="U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30" i="2"/>
  <c r="R31" i="2"/>
  <c r="R32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30" i="2"/>
  <c r="Q31" i="2"/>
  <c r="Q32" i="2"/>
  <c r="N8" i="2"/>
  <c r="N11" i="2"/>
  <c r="N12" i="2"/>
  <c r="N13" i="2"/>
  <c r="N14" i="2"/>
  <c r="N15" i="2"/>
  <c r="N16" i="2"/>
  <c r="N19" i="2"/>
  <c r="N20" i="2"/>
  <c r="N21" i="2"/>
  <c r="N22" i="2"/>
  <c r="N23" i="2"/>
  <c r="N24" i="2"/>
  <c r="N25" i="2"/>
  <c r="N26" i="2"/>
  <c r="M8" i="2"/>
  <c r="M11" i="2"/>
  <c r="M12" i="2"/>
  <c r="M13" i="2"/>
  <c r="M14" i="2"/>
  <c r="M15" i="2"/>
  <c r="M16" i="2"/>
  <c r="M19" i="2"/>
  <c r="M20" i="2"/>
  <c r="M21" i="2"/>
  <c r="M22" i="2"/>
  <c r="M23" i="2"/>
  <c r="M24" i="2"/>
  <c r="M25" i="2"/>
  <c r="M26" i="2"/>
  <c r="L8" i="2"/>
  <c r="L14" i="2"/>
  <c r="L15" i="2"/>
  <c r="L16" i="2"/>
  <c r="L17" i="2"/>
  <c r="L18" i="2"/>
  <c r="L19" i="2"/>
  <c r="L20" i="2"/>
  <c r="L21" i="2"/>
  <c r="L22" i="2"/>
  <c r="L23" i="2"/>
  <c r="L24" i="2"/>
  <c r="L26" i="2"/>
  <c r="K8" i="2"/>
  <c r="K14" i="2"/>
  <c r="K15" i="2"/>
  <c r="K16" i="2"/>
  <c r="K17" i="2"/>
  <c r="K18" i="2"/>
  <c r="K19" i="2"/>
  <c r="K20" i="2"/>
  <c r="K21" i="2"/>
  <c r="K22" i="2"/>
  <c r="K23" i="2"/>
  <c r="K24" i="2"/>
  <c r="K26" i="2"/>
  <c r="R4" i="2"/>
  <c r="Q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9" i="2"/>
  <c r="J30" i="2"/>
  <c r="J31" i="2"/>
  <c r="J32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9" i="2"/>
  <c r="I30" i="2"/>
  <c r="I31" i="2"/>
  <c r="I3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30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30" i="2"/>
  <c r="J4" i="2"/>
  <c r="I4" i="2"/>
  <c r="H4" i="2"/>
  <c r="G4" i="2"/>
  <c r="K4" i="2"/>
  <c r="L4" i="2"/>
  <c r="M4" i="2"/>
  <c r="N4" i="2"/>
  <c r="S4" i="2"/>
  <c r="T4" i="2"/>
  <c r="W4" i="2"/>
  <c r="X4" i="2"/>
  <c r="Y4" i="2"/>
  <c r="Z4" i="2"/>
  <c r="AA4" i="2"/>
  <c r="AB4" i="2"/>
  <c r="AG4" i="2"/>
  <c r="AH4" i="2"/>
  <c r="AK4" i="2"/>
  <c r="AL4" i="2"/>
  <c r="AR4" i="2"/>
  <c r="AU4" i="2"/>
  <c r="AV4" i="2"/>
  <c r="AY4" i="2"/>
  <c r="AZ4" i="2"/>
  <c r="BA4" i="2"/>
  <c r="BB4" i="2"/>
  <c r="BE4" i="2"/>
  <c r="BF4" i="2"/>
  <c r="BG4" i="2"/>
  <c r="BH4" i="2"/>
  <c r="BM4" i="2"/>
  <c r="BN4" i="2"/>
  <c r="E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D27" i="2"/>
  <c r="D30" i="2"/>
  <c r="D31" i="2"/>
  <c r="D32" i="2"/>
  <c r="C27" i="2"/>
  <c r="C30" i="2"/>
  <c r="C31" i="2"/>
  <c r="C32" i="2"/>
  <c r="CA8" i="1"/>
  <c r="BO8" i="1"/>
  <c r="BM8" i="1"/>
  <c r="BG8" i="1"/>
  <c r="BE8" i="1"/>
  <c r="BC8" i="1"/>
  <c r="AX37" i="2" s="1"/>
  <c r="BA8" i="1"/>
  <c r="AV37" i="2" s="1"/>
  <c r="AY8" i="1"/>
  <c r="AU8" i="1"/>
  <c r="AS8" i="1"/>
  <c r="AC8" i="1"/>
  <c r="AA8" i="1"/>
  <c r="Y8" i="1"/>
  <c r="X37" i="2" s="1"/>
  <c r="W8" i="1"/>
  <c r="V37" i="2" s="1"/>
  <c r="S8" i="1"/>
  <c r="O8" i="1"/>
  <c r="P37" i="2" s="1"/>
  <c r="CA11" i="1"/>
  <c r="BE11" i="1"/>
  <c r="BA11" i="1"/>
  <c r="AV40" i="2" s="1"/>
  <c r="AY11" i="1"/>
  <c r="AT40" i="2" s="1"/>
  <c r="AU11" i="1"/>
  <c r="AS11" i="1"/>
  <c r="AN40" i="2" s="1"/>
  <c r="AM11" i="1"/>
  <c r="AG11" i="1"/>
  <c r="AF40" i="2" s="1"/>
  <c r="AE11" i="1"/>
  <c r="AD40" i="2" s="1"/>
  <c r="S11" i="1"/>
  <c r="T40" i="2" s="1"/>
  <c r="Y11" i="1"/>
  <c r="X40" i="2" s="1"/>
  <c r="Q11" i="1"/>
  <c r="R40" i="2" s="1"/>
  <c r="BQ10" i="1"/>
  <c r="BO10" i="1"/>
  <c r="BM10" i="1"/>
  <c r="AO10" i="1"/>
  <c r="AI10" i="1"/>
  <c r="AC10" i="1"/>
  <c r="U10" i="1"/>
  <c r="M10" i="1"/>
  <c r="J39" i="2" s="1"/>
  <c r="G10" i="1"/>
  <c r="D39" i="2" s="1"/>
  <c r="E10" i="1"/>
  <c r="CA10" i="1"/>
  <c r="BY10" i="1"/>
  <c r="BU10" i="1"/>
  <c r="BK10" i="1"/>
  <c r="BG10" i="1"/>
  <c r="BE10" i="1"/>
  <c r="BA10" i="1"/>
  <c r="AV39" i="2" s="1"/>
  <c r="AY10" i="1"/>
  <c r="AT39" i="2" s="1"/>
  <c r="AW10" i="1"/>
  <c r="AR39" i="2" s="1"/>
  <c r="AU10" i="1"/>
  <c r="AP39" i="2" s="1"/>
  <c r="AS10" i="1"/>
  <c r="AN39" i="2" s="1"/>
  <c r="AQ10" i="1"/>
  <c r="AL39" i="2" s="1"/>
  <c r="AM10" i="1"/>
  <c r="AG10" i="1"/>
  <c r="AF39" i="2" s="1"/>
  <c r="AE10" i="1"/>
  <c r="AD39" i="2" s="1"/>
  <c r="AA10" i="1"/>
  <c r="Z39" i="2" s="1"/>
  <c r="Y10" i="1"/>
  <c r="S10" i="1"/>
  <c r="T39" i="2" s="1"/>
  <c r="Q10" i="1"/>
  <c r="O10" i="1"/>
  <c r="I10" i="1"/>
  <c r="I9" i="1"/>
  <c r="F38" i="2" s="1"/>
  <c r="CA9" i="1"/>
  <c r="BO9" i="1"/>
  <c r="BK9" i="1"/>
  <c r="BE9" i="1"/>
  <c r="BA9" i="1"/>
  <c r="AV38" i="2" s="1"/>
  <c r="AW9" i="1"/>
  <c r="AR38" i="2" s="1"/>
  <c r="AU9" i="1"/>
  <c r="AE9" i="1"/>
  <c r="AA9" i="1"/>
  <c r="Z38" i="2" s="1"/>
  <c r="S9" i="1"/>
  <c r="T38" i="2" s="1"/>
  <c r="K9" i="1"/>
  <c r="H38" i="2" s="1"/>
  <c r="CA7" i="1"/>
  <c r="BA7" i="1"/>
  <c r="AV36" i="2" s="1"/>
  <c r="BE7" i="1"/>
  <c r="AY7" i="1"/>
  <c r="AT36" i="2" s="1"/>
  <c r="AU7" i="1"/>
  <c r="AP36" i="2" s="1"/>
  <c r="AS7" i="1"/>
  <c r="AN36" i="2" s="1"/>
  <c r="AM7" i="1"/>
  <c r="AJ36" i="2" s="1"/>
  <c r="AG7" i="1"/>
  <c r="AE7" i="1"/>
  <c r="AA7" i="1"/>
  <c r="S7" i="1"/>
  <c r="Y7" i="1"/>
  <c r="X36" i="2" s="1"/>
  <c r="Q7" i="1"/>
  <c r="R36" i="2" s="1"/>
  <c r="I7" i="1"/>
  <c r="F3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tc={596BECBB-C724-4137-AED4-380DA5E3415A}</author>
    <author>tc={F87F945F-FB60-4B44-9B98-E41F2BFC5C83}</author>
  </authors>
  <commentList>
    <comment ref="O19" authorId="0" shapeId="0" xr:uid="{596BECBB-C724-4137-AED4-380DA5E341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mediana</t>
      </text>
    </comment>
    <comment ref="Q19" authorId="1" shapeId="0" xr:uid="{F87F945F-FB60-4B44-9B98-E41F2BFC5C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mediana</t>
      </text>
    </comment>
  </commentList>
</comments>
</file>

<file path=xl/sharedStrings.xml><?xml version="1.0" encoding="utf-8"?>
<sst xmlns="http://schemas.openxmlformats.org/spreadsheetml/2006/main" count="690" uniqueCount="173">
  <si>
    <t>Codigo IPEN</t>
  </si>
  <si>
    <t>Tipo</t>
  </si>
  <si>
    <t>Códigos</t>
  </si>
  <si>
    <t>Ag (ug/Kg)</t>
  </si>
  <si>
    <t>As(ug/kg)</t>
  </si>
  <si>
    <t>Br(mg/kg)</t>
  </si>
  <si>
    <t>Ca(g/kg)</t>
  </si>
  <si>
    <t>Cl(g/kg)</t>
  </si>
  <si>
    <t>Co(ug/kg)</t>
  </si>
  <si>
    <t>Cr(ug/kg)</t>
  </si>
  <si>
    <t>Cs(ug/kg)</t>
  </si>
  <si>
    <t>Cu(mg/kg)</t>
  </si>
  <si>
    <t>Fe(mg/kg)</t>
  </si>
  <si>
    <t>I(ug/kg)</t>
  </si>
  <si>
    <t>K(g/kg)</t>
  </si>
  <si>
    <t>Li(ug/kg)</t>
  </si>
  <si>
    <t>Mg(g/kg)</t>
  </si>
  <si>
    <t>Mn(mg/kg)</t>
  </si>
  <si>
    <t>Na(mg/kg)</t>
  </si>
  <si>
    <t>Pb(ug/kg)</t>
  </si>
  <si>
    <t>Rb(ug/kg)</t>
  </si>
  <si>
    <t>S(g/kg)</t>
  </si>
  <si>
    <t>Sb(ug/kg)</t>
  </si>
  <si>
    <t>Sn(ug/kg)</t>
  </si>
  <si>
    <t>Sr(mg/kg)</t>
  </si>
  <si>
    <t>Ti(mg/kg)</t>
  </si>
  <si>
    <t>V(ug/kg)</t>
  </si>
  <si>
    <t>Zn(mg/kg)</t>
  </si>
  <si>
    <t>mean</t>
  </si>
  <si>
    <t>st dev</t>
  </si>
  <si>
    <t>MR-PTB-24</t>
  </si>
  <si>
    <t>TURNip/ Brassaca rapa</t>
  </si>
  <si>
    <t>Codigo lab.: 4784, código muestra: 218</t>
  </si>
  <si>
    <t>MR-PTB-25</t>
  </si>
  <si>
    <t>Códgio lab: 4785, codigo muestra: 171</t>
  </si>
  <si>
    <t>Leylandcypress/ Cupressus x leylandii</t>
  </si>
  <si>
    <t>MR-PTB-26</t>
  </si>
  <si>
    <t>Gerbera / Gerbera cass.</t>
  </si>
  <si>
    <t>Codigo lab.: 4786, código muestra: 980</t>
  </si>
  <si>
    <t>Algae</t>
  </si>
  <si>
    <t>Cd(ug/kg)</t>
  </si>
  <si>
    <t>Ni(ug/kg)</t>
  </si>
  <si>
    <t>MRB-98</t>
  </si>
  <si>
    <t>RYE GRASS</t>
  </si>
  <si>
    <t>B(mg/kg)</t>
  </si>
  <si>
    <t>Mo(ug/kg)</t>
  </si>
  <si>
    <t>Se(ug/kg)</t>
  </si>
  <si>
    <t>MRB-11</t>
  </si>
  <si>
    <t>Codigo: IAEA-392, k=2, incertidumbre</t>
  </si>
  <si>
    <t>Código: CRM-281 , Incertidumbre</t>
  </si>
  <si>
    <t>MRB-28</t>
  </si>
  <si>
    <t>Fucus sp.</t>
  </si>
  <si>
    <t>Al (mg/kg)</t>
  </si>
  <si>
    <t>Ba(mg/kg)</t>
  </si>
  <si>
    <t>Ce(mg/kg)</t>
  </si>
  <si>
    <t>Hf (mg/kg)</t>
  </si>
  <si>
    <t>La (mg/kg)</t>
  </si>
  <si>
    <t>Sc(mg/kg)</t>
  </si>
  <si>
    <t>Sm(mg/kg)</t>
  </si>
  <si>
    <t>MRB-30</t>
  </si>
  <si>
    <t>Orchad leaves</t>
  </si>
  <si>
    <t>IAEA-140/TN, 95% CI</t>
  </si>
  <si>
    <t>Simulated diet F, 95% CI</t>
  </si>
  <si>
    <t>MRB-15</t>
  </si>
  <si>
    <t>Whey Powder</t>
  </si>
  <si>
    <t>IAEA-155, 95% CI</t>
  </si>
  <si>
    <t>P(mg/kg)</t>
  </si>
  <si>
    <t>COD.LAB</t>
  </si>
  <si>
    <t>SAMPLE ID</t>
  </si>
  <si>
    <t>TYPE</t>
  </si>
  <si>
    <t>ORIGIN</t>
  </si>
  <si>
    <t>Al</t>
  </si>
  <si>
    <t>As</t>
  </si>
  <si>
    <t>B</t>
  </si>
  <si>
    <t>Ba</t>
  </si>
  <si>
    <t>Be</t>
  </si>
  <si>
    <t>Bi</t>
  </si>
  <si>
    <t>Ca</t>
  </si>
  <si>
    <t>Cd</t>
  </si>
  <si>
    <t>Cl</t>
  </si>
  <si>
    <t>Co</t>
  </si>
  <si>
    <t>Cr</t>
  </si>
  <si>
    <t>Cs</t>
  </si>
  <si>
    <t>Cu</t>
  </si>
  <si>
    <t>Fe</t>
  </si>
  <si>
    <t>Hg</t>
  </si>
  <si>
    <t>K</t>
  </si>
  <si>
    <t>Li</t>
  </si>
  <si>
    <t>Mg</t>
  </si>
  <si>
    <t>Mn</t>
  </si>
  <si>
    <t>Mo</t>
  </si>
  <si>
    <t>Na</t>
  </si>
  <si>
    <t>Ni</t>
  </si>
  <si>
    <t>P</t>
  </si>
  <si>
    <t>Pb</t>
  </si>
  <si>
    <t>Rb</t>
  </si>
  <si>
    <t>S</t>
  </si>
  <si>
    <t>Sb</t>
  </si>
  <si>
    <t>Se</t>
  </si>
  <si>
    <t>Sr</t>
  </si>
  <si>
    <t>Ti</t>
  </si>
  <si>
    <t>V</t>
  </si>
  <si>
    <t>Zn</t>
  </si>
  <si>
    <t>ug/kg</t>
  </si>
  <si>
    <t>s-desv.</t>
  </si>
  <si>
    <t>mg/kg</t>
  </si>
  <si>
    <t>g/kg</t>
  </si>
  <si>
    <t>MR-PTB-11</t>
  </si>
  <si>
    <t>Grass/Poaceae</t>
  </si>
  <si>
    <t>Leeuwarden/Netherlands</t>
  </si>
  <si>
    <t>MR-PTB-9</t>
  </si>
  <si>
    <t>Lucerne/Medicago sativum</t>
  </si>
  <si>
    <t>Wageningen/Netherlands</t>
  </si>
  <si>
    <t>MR-PTB-8</t>
  </si>
  <si>
    <t>Leek/Allium porrum</t>
  </si>
  <si>
    <t>Netherlands</t>
  </si>
  <si>
    <t>MR-PTB-10</t>
  </si>
  <si>
    <t>Oil palm leaves/Elaeis guineensis</t>
  </si>
  <si>
    <t>Colombia</t>
  </si>
  <si>
    <t>MR-PTB-19</t>
  </si>
  <si>
    <t>MR-PTB-21</t>
  </si>
  <si>
    <t>Cherry laurel/prunes laurocerasus</t>
  </si>
  <si>
    <t>Heelsum/Netherlands</t>
  </si>
  <si>
    <t>MR-PTB-20</t>
  </si>
  <si>
    <t>Papikra/pepperr (fruit+leaf)/capsicum sp.</t>
  </si>
  <si>
    <t>MR-PTB-27</t>
  </si>
  <si>
    <t>Maize/zea mays</t>
  </si>
  <si>
    <t>MR-PTB-12</t>
  </si>
  <si>
    <t>Osterbeek/Netherlands</t>
  </si>
  <si>
    <t>MR-PTB-13</t>
  </si>
  <si>
    <t>Banana leaves/musa sapientum</t>
  </si>
  <si>
    <t>Philippines</t>
  </si>
  <si>
    <t>MR-PTB-14</t>
  </si>
  <si>
    <t>Beech leaf/fagus sylvatica l.</t>
  </si>
  <si>
    <t>MR-PTB-30</t>
  </si>
  <si>
    <t>Tobacco (leaf-mixture)/nicotiana solanacea</t>
  </si>
  <si>
    <t>MR-PTB-31</t>
  </si>
  <si>
    <t>Poplar (leaf)/populus l.</t>
  </si>
  <si>
    <t>MR-PTB-32</t>
  </si>
  <si>
    <t>Grass (gr94) /Poaceae</t>
  </si>
  <si>
    <t>_</t>
  </si>
  <si>
    <t>MR-PTB-33</t>
  </si>
  <si>
    <t>Maize (grain) /zea mays</t>
  </si>
  <si>
    <t>Seibersdorf/Austria</t>
  </si>
  <si>
    <t>MR-PTB-34</t>
  </si>
  <si>
    <t>Aubergine (plant)/ Solanum melongena I.</t>
  </si>
  <si>
    <t>MR-PTB-35</t>
  </si>
  <si>
    <t>Eucalyptus leaves/Eucalyptus globulus</t>
  </si>
  <si>
    <t>Portugal</t>
  </si>
  <si>
    <t>MR-PTB-36</t>
  </si>
  <si>
    <t>MR-PTB-37</t>
  </si>
  <si>
    <t>IPE-SAMP-1</t>
  </si>
  <si>
    <t>Banana (leaf)/Musa sp.</t>
  </si>
  <si>
    <t>IPE-SAMP-2</t>
  </si>
  <si>
    <t>IPE-SAMP-3</t>
  </si>
  <si>
    <t>Pepper (fruit+leaf)/Capsicum sp.</t>
  </si>
  <si>
    <t>IPE-SAMP-4</t>
  </si>
  <si>
    <t>Cabbage (leaf+stalk)/Brassica oleracea</t>
  </si>
  <si>
    <t>MRB-9</t>
  </si>
  <si>
    <t>1573a</t>
  </si>
  <si>
    <t>tomato leaves</t>
  </si>
  <si>
    <t>MRB-103</t>
  </si>
  <si>
    <t>DOLT-3</t>
  </si>
  <si>
    <t>MRB-22</t>
  </si>
  <si>
    <t>IAEA-359</t>
  </si>
  <si>
    <t>SMR 1515 -2018</t>
  </si>
  <si>
    <t>MRB97</t>
  </si>
  <si>
    <t>MIXED POLISH HERBS</t>
  </si>
  <si>
    <t>MRB96</t>
  </si>
  <si>
    <t>TEA LEAVES</t>
  </si>
  <si>
    <t>Br</t>
  </si>
  <si>
    <t>s-dev</t>
  </si>
  <si>
    <t>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</si>
</sst>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1F5A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4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5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2" borderId="0" xfId="0" applyFill="1" applyAlignment="1">
      <alignment horizontal="center"/>
    </xf>
    <xf numFmtId="0" fontId="0" fillId="8" borderId="0" xfId="0" applyFill="1"/>
    <xf numFmtId="0" fontId="0" fillId="2" borderId="4" xfId="0" applyFill="1" applyBorder="1" applyAlignment="1">
      <alignment horizontal="center"/>
    </xf>
    <xf numFmtId="0" fontId="0" fillId="9" borderId="1" xfId="0" applyFill="1" applyBorder="1"/>
    <xf numFmtId="0" fontId="2" fillId="10" borderId="1" xfId="0" applyFont="1" applyFill="1" applyBorder="1"/>
    <xf numFmtId="0" fontId="3" fillId="2" borderId="1" xfId="0" applyFont="1" applyFill="1" applyBorder="1"/>
    <xf numFmtId="0" fontId="0" fillId="9" borderId="0" xfId="0" applyFill="1"/>
    <xf numFmtId="0" fontId="0" fillId="10" borderId="1" xfId="0" applyFill="1" applyBorder="1"/>
    <xf numFmtId="0" fontId="0" fillId="0" borderId="0" xfId="0" applyAlignment="1">
      <alignment horizontal="center"/>
    </xf>
    <xf numFmtId="164" fontId="0" fillId="0" borderId="0" xfId="0" applyNumberFormat="1"/>
    <xf numFmtId="0" fontId="0" fillId="11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2" borderId="1" xfId="0" applyFill="1" applyBorder="1"/>
    <xf numFmtId="0" fontId="0" fillId="11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ais Adauto" id="{63F743C3-68A6-48E8-A21C-98CE003CAF0A}" userId="S-1-5-21-1701212274-1064657332-618671499-283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9" dT="2025-05-08T16:34:20.03" personId="{63F743C3-68A6-48E8-A21C-98CE003CAF0A}" id="{596BECBB-C724-4137-AED4-380DA5E3415A}">
    <text>mediana</text>
  </threadedComment>
  <threadedComment ref="Q19" dT="2025-05-08T16:35:47.44" personId="{63F743C3-68A6-48E8-A21C-98CE003CAF0A}" id="{F87F945F-FB60-4B44-9B98-E41F2BFC5C83}">
    <text>mediana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A11"/>
  <sheetViews>
    <sheetView topLeftCell="BF1" workbookViewId="0">
      <selection activeCell="BM10" sqref="BM10"/>
    </sheetView>
  </sheetViews>
  <sheetFormatPr baseColWidth="10" defaultRowHeight="15" x14ac:dyDescent="0.25"/>
  <cols>
    <col min="1" max="2" width="19.85546875" style="5" customWidth="1"/>
    <col min="3" max="3" width="39.5703125" style="5" customWidth="1"/>
    <col min="4" max="7" width="11.42578125" style="5"/>
    <col min="8" max="8" width="11.7109375" style="5" customWidth="1"/>
    <col min="9" max="16384" width="11.42578125" style="5"/>
  </cols>
  <sheetData>
    <row r="2" spans="1:79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/>
      <c r="F2" s="39" t="s">
        <v>52</v>
      </c>
      <c r="G2" s="40"/>
      <c r="H2" s="38" t="s">
        <v>4</v>
      </c>
      <c r="I2" s="38"/>
      <c r="J2" s="39" t="s">
        <v>44</v>
      </c>
      <c r="K2" s="40"/>
      <c r="L2" s="39" t="s">
        <v>53</v>
      </c>
      <c r="M2" s="40"/>
      <c r="N2" s="38" t="s">
        <v>5</v>
      </c>
      <c r="O2" s="38"/>
      <c r="P2" s="38" t="s">
        <v>6</v>
      </c>
      <c r="Q2" s="38"/>
      <c r="R2" s="39" t="s">
        <v>40</v>
      </c>
      <c r="S2" s="40"/>
      <c r="T2" s="39" t="s">
        <v>54</v>
      </c>
      <c r="U2" s="40"/>
      <c r="V2" s="38" t="s">
        <v>7</v>
      </c>
      <c r="W2" s="38"/>
      <c r="X2" s="38" t="s">
        <v>8</v>
      </c>
      <c r="Y2" s="38"/>
      <c r="Z2" s="38" t="s">
        <v>9</v>
      </c>
      <c r="AA2" s="38"/>
      <c r="AB2" s="38" t="s">
        <v>10</v>
      </c>
      <c r="AC2" s="38"/>
      <c r="AD2" s="38" t="s">
        <v>11</v>
      </c>
      <c r="AE2" s="38"/>
      <c r="AF2" s="38" t="s">
        <v>12</v>
      </c>
      <c r="AG2" s="38"/>
      <c r="AH2" s="39" t="s">
        <v>55</v>
      </c>
      <c r="AI2" s="40"/>
      <c r="AJ2" s="38" t="s">
        <v>13</v>
      </c>
      <c r="AK2" s="38"/>
      <c r="AL2" s="38" t="s">
        <v>14</v>
      </c>
      <c r="AM2" s="38"/>
      <c r="AN2" s="39" t="s">
        <v>56</v>
      </c>
      <c r="AO2" s="40"/>
      <c r="AP2" s="38" t="s">
        <v>15</v>
      </c>
      <c r="AQ2" s="38"/>
      <c r="AR2" s="38" t="s">
        <v>16</v>
      </c>
      <c r="AS2" s="38"/>
      <c r="AT2" s="38" t="s">
        <v>17</v>
      </c>
      <c r="AU2" s="38"/>
      <c r="AV2" s="39" t="s">
        <v>45</v>
      </c>
      <c r="AW2" s="40"/>
      <c r="AX2" s="38" t="s">
        <v>18</v>
      </c>
      <c r="AY2" s="38"/>
      <c r="AZ2" s="39" t="s">
        <v>41</v>
      </c>
      <c r="BA2" s="40"/>
      <c r="BB2" s="39" t="s">
        <v>66</v>
      </c>
      <c r="BC2" s="40"/>
      <c r="BD2" s="38" t="s">
        <v>19</v>
      </c>
      <c r="BE2" s="38"/>
      <c r="BF2" s="39" t="s">
        <v>20</v>
      </c>
      <c r="BG2" s="40"/>
      <c r="BH2" s="38" t="s">
        <v>21</v>
      </c>
      <c r="BI2" s="38"/>
      <c r="BJ2" s="38" t="s">
        <v>22</v>
      </c>
      <c r="BK2" s="38"/>
      <c r="BL2" s="39" t="s">
        <v>57</v>
      </c>
      <c r="BM2" s="40"/>
      <c r="BN2" s="39" t="s">
        <v>46</v>
      </c>
      <c r="BO2" s="40"/>
      <c r="BP2" s="39" t="s">
        <v>58</v>
      </c>
      <c r="BQ2" s="40"/>
      <c r="BR2" s="38" t="s">
        <v>23</v>
      </c>
      <c r="BS2" s="38"/>
      <c r="BT2" s="38" t="s">
        <v>24</v>
      </c>
      <c r="BU2" s="38"/>
      <c r="BV2" s="38" t="s">
        <v>25</v>
      </c>
      <c r="BW2" s="38"/>
      <c r="BX2" s="38" t="s">
        <v>26</v>
      </c>
      <c r="BY2" s="38"/>
      <c r="BZ2" s="38" t="s">
        <v>27</v>
      </c>
      <c r="CA2" s="38"/>
    </row>
    <row r="3" spans="1:79" x14ac:dyDescent="0.25">
      <c r="A3" s="38"/>
      <c r="B3" s="38"/>
      <c r="C3" s="38"/>
      <c r="D3" s="1" t="s">
        <v>28</v>
      </c>
      <c r="E3" s="1" t="s">
        <v>29</v>
      </c>
      <c r="F3" s="1" t="s">
        <v>28</v>
      </c>
      <c r="G3" s="1" t="s">
        <v>29</v>
      </c>
      <c r="H3" s="1" t="s">
        <v>28</v>
      </c>
      <c r="I3" s="1" t="s">
        <v>29</v>
      </c>
      <c r="J3" s="1" t="s">
        <v>28</v>
      </c>
      <c r="K3" s="1" t="s">
        <v>29</v>
      </c>
      <c r="L3" s="1" t="s">
        <v>28</v>
      </c>
      <c r="M3" s="1" t="s">
        <v>29</v>
      </c>
      <c r="N3" s="1" t="s">
        <v>28</v>
      </c>
      <c r="O3" s="1" t="s">
        <v>29</v>
      </c>
      <c r="P3" s="1" t="s">
        <v>28</v>
      </c>
      <c r="Q3" s="1" t="s">
        <v>29</v>
      </c>
      <c r="R3" s="1" t="s">
        <v>28</v>
      </c>
      <c r="S3" s="1" t="s">
        <v>29</v>
      </c>
      <c r="T3" s="1" t="s">
        <v>28</v>
      </c>
      <c r="U3" s="1" t="s">
        <v>29</v>
      </c>
      <c r="V3" s="1" t="s">
        <v>28</v>
      </c>
      <c r="W3" s="1" t="s">
        <v>29</v>
      </c>
      <c r="X3" s="1" t="s">
        <v>28</v>
      </c>
      <c r="Y3" s="1" t="s">
        <v>29</v>
      </c>
      <c r="Z3" s="1" t="s">
        <v>28</v>
      </c>
      <c r="AA3" s="1" t="s">
        <v>29</v>
      </c>
      <c r="AB3" s="1" t="s">
        <v>28</v>
      </c>
      <c r="AC3" s="1" t="s">
        <v>29</v>
      </c>
      <c r="AD3" s="1" t="s">
        <v>28</v>
      </c>
      <c r="AE3" s="1" t="s">
        <v>29</v>
      </c>
      <c r="AF3" s="1" t="s">
        <v>28</v>
      </c>
      <c r="AG3" s="1" t="s">
        <v>29</v>
      </c>
      <c r="AH3" s="1" t="s">
        <v>28</v>
      </c>
      <c r="AI3" s="1" t="s">
        <v>29</v>
      </c>
      <c r="AJ3" s="1" t="s">
        <v>28</v>
      </c>
      <c r="AK3" s="1" t="s">
        <v>29</v>
      </c>
      <c r="AL3" s="1" t="s">
        <v>28</v>
      </c>
      <c r="AM3" s="1" t="s">
        <v>29</v>
      </c>
      <c r="AN3" s="1" t="s">
        <v>28</v>
      </c>
      <c r="AO3" s="1" t="s">
        <v>29</v>
      </c>
      <c r="AP3" s="1" t="s">
        <v>28</v>
      </c>
      <c r="AQ3" s="1" t="s">
        <v>29</v>
      </c>
      <c r="AR3" s="1" t="s">
        <v>28</v>
      </c>
      <c r="AS3" s="1" t="s">
        <v>29</v>
      </c>
      <c r="AT3" s="1" t="s">
        <v>28</v>
      </c>
      <c r="AU3" s="1" t="s">
        <v>29</v>
      </c>
      <c r="AV3" s="1" t="s">
        <v>28</v>
      </c>
      <c r="AW3" s="1" t="s">
        <v>29</v>
      </c>
      <c r="AX3" s="1" t="s">
        <v>28</v>
      </c>
      <c r="AY3" s="1" t="s">
        <v>29</v>
      </c>
      <c r="AZ3" s="1" t="s">
        <v>28</v>
      </c>
      <c r="BA3" s="1" t="s">
        <v>29</v>
      </c>
      <c r="BB3" s="1"/>
      <c r="BC3" s="1"/>
      <c r="BD3" s="1" t="s">
        <v>28</v>
      </c>
      <c r="BE3" s="1" t="s">
        <v>29</v>
      </c>
      <c r="BF3" s="1" t="s">
        <v>28</v>
      </c>
      <c r="BG3" s="1" t="s">
        <v>29</v>
      </c>
      <c r="BH3" s="1" t="s">
        <v>28</v>
      </c>
      <c r="BI3" s="1" t="s">
        <v>29</v>
      </c>
      <c r="BJ3" s="1" t="s">
        <v>28</v>
      </c>
      <c r="BK3" s="1" t="s">
        <v>29</v>
      </c>
      <c r="BL3" s="1"/>
      <c r="BM3" s="1"/>
      <c r="BN3" s="1" t="s">
        <v>28</v>
      </c>
      <c r="BO3" s="1" t="s">
        <v>29</v>
      </c>
      <c r="BP3" s="1"/>
      <c r="BQ3" s="1"/>
      <c r="BR3" s="1" t="s">
        <v>28</v>
      </c>
      <c r="BS3" s="1" t="s">
        <v>29</v>
      </c>
      <c r="BT3" s="1" t="s">
        <v>28</v>
      </c>
      <c r="BU3" s="1" t="s">
        <v>29</v>
      </c>
      <c r="BV3" s="1" t="s">
        <v>28</v>
      </c>
      <c r="BW3" s="1" t="s">
        <v>29</v>
      </c>
      <c r="BX3" s="1" t="s">
        <v>28</v>
      </c>
      <c r="BY3" s="1" t="s">
        <v>29</v>
      </c>
      <c r="BZ3" s="1" t="s">
        <v>28</v>
      </c>
      <c r="CA3" s="1" t="s">
        <v>29</v>
      </c>
    </row>
    <row r="4" spans="1:79" ht="30" x14ac:dyDescent="0.25">
      <c r="A4" s="1" t="s">
        <v>30</v>
      </c>
      <c r="B4" s="4" t="s">
        <v>31</v>
      </c>
      <c r="C4" s="1" t="s">
        <v>32</v>
      </c>
      <c r="D4" s="1"/>
      <c r="E4" s="1"/>
      <c r="F4" s="1"/>
      <c r="G4" s="1"/>
      <c r="H4" s="1">
        <v>143.30000000000001</v>
      </c>
      <c r="I4" s="1">
        <v>21.1</v>
      </c>
      <c r="J4" s="1"/>
      <c r="K4" s="1"/>
      <c r="L4" s="1"/>
      <c r="M4" s="1"/>
      <c r="N4" s="1">
        <v>6.1219999999999999</v>
      </c>
      <c r="O4" s="1">
        <v>0.51700000000000002</v>
      </c>
      <c r="P4" s="1">
        <v>6.181</v>
      </c>
      <c r="Q4" s="1">
        <v>0.54900000000000004</v>
      </c>
      <c r="R4" s="1"/>
      <c r="S4" s="1"/>
      <c r="T4" s="1"/>
      <c r="U4" s="1"/>
      <c r="V4" s="1">
        <v>1.8680000000000001</v>
      </c>
      <c r="W4" s="1">
        <v>0.18</v>
      </c>
      <c r="X4" s="1">
        <v>31.05</v>
      </c>
      <c r="Y4" s="1">
        <v>17.02</v>
      </c>
      <c r="Z4" s="1">
        <v>290.2</v>
      </c>
      <c r="AA4" s="1">
        <v>126.8</v>
      </c>
      <c r="AB4" s="1">
        <v>17.68</v>
      </c>
      <c r="AC4" s="1">
        <v>7.42</v>
      </c>
      <c r="AD4" s="1">
        <v>3.9740000000000002</v>
      </c>
      <c r="AE4" s="1">
        <v>0.52200000000000002</v>
      </c>
      <c r="AF4" s="1">
        <v>105</v>
      </c>
      <c r="AG4" s="1">
        <v>14.4</v>
      </c>
      <c r="AH4" s="1"/>
      <c r="AI4" s="1"/>
      <c r="AJ4" s="1"/>
      <c r="AK4" s="1"/>
      <c r="AL4" s="1">
        <v>41.36</v>
      </c>
      <c r="AM4" s="1">
        <v>3.23</v>
      </c>
      <c r="AN4" s="1"/>
      <c r="AO4" s="1"/>
      <c r="AP4" s="1"/>
      <c r="AQ4" s="1"/>
      <c r="AR4" s="1">
        <v>2.556</v>
      </c>
      <c r="AS4" s="1">
        <v>0.20599999999999999</v>
      </c>
      <c r="AT4" s="1">
        <v>10.8</v>
      </c>
      <c r="AU4" s="1">
        <v>1.03</v>
      </c>
      <c r="AV4" s="1"/>
      <c r="AW4" s="1"/>
      <c r="AX4" s="1">
        <v>830.2</v>
      </c>
      <c r="AY4" s="1">
        <v>93.3</v>
      </c>
      <c r="AZ4" s="1"/>
      <c r="BA4" s="1"/>
      <c r="BB4" s="1"/>
      <c r="BC4" s="1"/>
      <c r="BD4" s="1">
        <v>353.9</v>
      </c>
      <c r="BE4" s="1">
        <v>71.8</v>
      </c>
      <c r="BF4" s="1">
        <v>11244</v>
      </c>
      <c r="BG4" s="1">
        <v>1181</v>
      </c>
      <c r="BH4" s="1">
        <v>4.0898000000000003</v>
      </c>
      <c r="BI4" s="1">
        <v>0.45400000000000001</v>
      </c>
      <c r="BJ4" s="1">
        <v>11.31</v>
      </c>
      <c r="BK4" s="1">
        <v>5.84</v>
      </c>
      <c r="BL4" s="1"/>
      <c r="BM4" s="1"/>
      <c r="BN4" s="1"/>
      <c r="BO4" s="1"/>
      <c r="BP4" s="1"/>
      <c r="BQ4" s="1"/>
      <c r="BR4" s="1"/>
      <c r="BS4" s="1"/>
      <c r="BT4" s="1">
        <v>13.54</v>
      </c>
      <c r="BU4" s="1">
        <v>1.57</v>
      </c>
      <c r="BV4" s="1">
        <v>2.1539999999999999</v>
      </c>
      <c r="BW4" s="1">
        <v>1.3540000000000001</v>
      </c>
      <c r="BX4" s="1">
        <v>267</v>
      </c>
      <c r="BY4" s="1">
        <v>43</v>
      </c>
      <c r="BZ4" s="1">
        <v>49.18</v>
      </c>
      <c r="CA4" s="1">
        <v>4.8</v>
      </c>
    </row>
    <row r="5" spans="1:79" ht="30" x14ac:dyDescent="0.25">
      <c r="A5" s="1" t="s">
        <v>33</v>
      </c>
      <c r="B5" s="4" t="s">
        <v>35</v>
      </c>
      <c r="C5" s="4" t="s">
        <v>34</v>
      </c>
      <c r="D5" s="1"/>
      <c r="E5" s="1"/>
      <c r="F5" s="1"/>
      <c r="G5" s="1"/>
      <c r="H5" s="1">
        <v>113</v>
      </c>
      <c r="I5" s="1">
        <v>18</v>
      </c>
      <c r="J5" s="1"/>
      <c r="K5" s="1"/>
      <c r="L5" s="1"/>
      <c r="M5" s="1"/>
      <c r="N5" s="1">
        <v>3.2879999999999998</v>
      </c>
      <c r="O5" s="1">
        <v>0.24199999999999999</v>
      </c>
      <c r="P5" s="1">
        <v>17.87</v>
      </c>
      <c r="Q5" s="1">
        <v>1.1599999999999999</v>
      </c>
      <c r="R5" s="1"/>
      <c r="S5" s="1"/>
      <c r="T5" s="1"/>
      <c r="U5" s="1"/>
      <c r="V5" s="1">
        <v>1.5049999999999999</v>
      </c>
      <c r="W5" s="1">
        <v>0.13</v>
      </c>
      <c r="X5" s="1">
        <v>105.9</v>
      </c>
      <c r="Y5" s="1">
        <v>21.8</v>
      </c>
      <c r="Z5" s="1">
        <v>790.8</v>
      </c>
      <c r="AA5" s="1">
        <v>323.39999999999998</v>
      </c>
      <c r="AB5" s="1">
        <v>43.09</v>
      </c>
      <c r="AC5" s="1">
        <v>7.28</v>
      </c>
      <c r="AD5" s="1">
        <v>5.2119999999999997</v>
      </c>
      <c r="AE5" s="1">
        <v>0.53500000000000003</v>
      </c>
      <c r="AF5" s="1">
        <v>233.2</v>
      </c>
      <c r="AG5" s="1">
        <v>21.9</v>
      </c>
      <c r="AH5" s="1"/>
      <c r="AI5" s="1"/>
      <c r="AJ5" s="1"/>
      <c r="AK5" s="1"/>
      <c r="AL5" s="1">
        <v>6.9480000000000004</v>
      </c>
      <c r="AM5" s="1">
        <v>0.42699999999999999</v>
      </c>
      <c r="AN5" s="1"/>
      <c r="AO5" s="1"/>
      <c r="AP5" s="1">
        <v>478.3</v>
      </c>
      <c r="AQ5" s="1">
        <v>64.2</v>
      </c>
      <c r="AR5" s="1">
        <v>0.9304</v>
      </c>
      <c r="AS5" s="1">
        <v>7.0499999999999993E-2</v>
      </c>
      <c r="AT5" s="1">
        <v>12.43</v>
      </c>
      <c r="AU5" s="1">
        <v>1.04</v>
      </c>
      <c r="AV5" s="1"/>
      <c r="AW5" s="1"/>
      <c r="AX5" s="1">
        <v>144.9</v>
      </c>
      <c r="AY5" s="1">
        <v>31.5</v>
      </c>
      <c r="AZ5" s="1"/>
      <c r="BA5" s="1"/>
      <c r="BB5" s="1"/>
      <c r="BC5" s="1"/>
      <c r="BD5" s="1">
        <v>1193</v>
      </c>
      <c r="BE5" s="1">
        <v>141</v>
      </c>
      <c r="BF5" s="1">
        <v>2784</v>
      </c>
      <c r="BG5" s="1">
        <v>350</v>
      </c>
      <c r="BH5" s="1">
        <v>1.0649999999999999</v>
      </c>
      <c r="BI5" s="1">
        <v>0.10199999999999999</v>
      </c>
      <c r="BJ5" s="1">
        <v>119.6</v>
      </c>
      <c r="BK5" s="1">
        <v>18.899999999999999</v>
      </c>
      <c r="BL5" s="1"/>
      <c r="BM5" s="1"/>
      <c r="BN5" s="1"/>
      <c r="BO5" s="1"/>
      <c r="BP5" s="1"/>
      <c r="BQ5" s="1"/>
      <c r="BR5" s="1"/>
      <c r="BS5" s="1"/>
      <c r="BT5" s="1">
        <v>56.54</v>
      </c>
      <c r="BU5" s="1">
        <v>4.16</v>
      </c>
      <c r="BV5" s="1">
        <v>5.22</v>
      </c>
      <c r="BW5" s="1">
        <v>2.9119999999999999</v>
      </c>
      <c r="BX5" s="1">
        <v>541.9</v>
      </c>
      <c r="BY5" s="1">
        <v>73.5</v>
      </c>
      <c r="BZ5" s="1">
        <v>15.53</v>
      </c>
      <c r="CA5" s="1">
        <v>1.58</v>
      </c>
    </row>
    <row r="6" spans="1:79" ht="33.75" customHeight="1" x14ac:dyDescent="0.25">
      <c r="A6" s="1" t="s">
        <v>36</v>
      </c>
      <c r="B6" s="4" t="s">
        <v>37</v>
      </c>
      <c r="C6" s="1" t="s">
        <v>38</v>
      </c>
      <c r="D6" s="1"/>
      <c r="E6" s="1"/>
      <c r="F6" s="1"/>
      <c r="G6" s="1"/>
      <c r="H6" s="1">
        <v>48.32</v>
      </c>
      <c r="I6" s="1">
        <v>13.14</v>
      </c>
      <c r="J6" s="1"/>
      <c r="K6" s="1"/>
      <c r="L6" s="1"/>
      <c r="M6" s="1"/>
      <c r="N6" s="1">
        <v>20.84</v>
      </c>
      <c r="O6" s="1">
        <v>1.37</v>
      </c>
      <c r="P6" s="1">
        <v>16.3</v>
      </c>
      <c r="Q6" s="1">
        <v>1.1599999999999999</v>
      </c>
      <c r="R6" s="1"/>
      <c r="S6" s="1"/>
      <c r="T6" s="1"/>
      <c r="U6" s="1"/>
      <c r="V6" s="1">
        <v>19.73</v>
      </c>
      <c r="W6" s="1">
        <v>1.66</v>
      </c>
      <c r="X6" s="1">
        <v>15.6</v>
      </c>
      <c r="Y6" s="1">
        <v>35.299999999999997</v>
      </c>
      <c r="Z6" s="1">
        <v>436.4</v>
      </c>
      <c r="AA6" s="1">
        <v>127.2</v>
      </c>
      <c r="AB6" s="1">
        <v>15.37</v>
      </c>
      <c r="AC6" s="1">
        <v>9.08</v>
      </c>
      <c r="AD6" s="1">
        <v>4.2290000000000001</v>
      </c>
      <c r="AE6" s="1">
        <v>0.65800000000000003</v>
      </c>
      <c r="AF6" s="1">
        <v>174.7</v>
      </c>
      <c r="AG6" s="1">
        <v>22</v>
      </c>
      <c r="AH6" s="1"/>
      <c r="AI6" s="1"/>
      <c r="AJ6" s="1"/>
      <c r="AK6" s="1"/>
      <c r="AL6" s="1">
        <v>52.7</v>
      </c>
      <c r="AM6" s="1">
        <v>4.16</v>
      </c>
      <c r="AN6" s="1"/>
      <c r="AO6" s="1"/>
      <c r="AP6" s="1">
        <v>631.70000000000005</v>
      </c>
      <c r="AQ6" s="1">
        <v>48.8</v>
      </c>
      <c r="AR6" s="1">
        <v>3.5979999999999999</v>
      </c>
      <c r="AS6" s="1">
        <v>0.26600000000000001</v>
      </c>
      <c r="AT6" s="1">
        <v>90.09</v>
      </c>
      <c r="AU6" s="1">
        <v>7.24</v>
      </c>
      <c r="AV6" s="1"/>
      <c r="AW6" s="1"/>
      <c r="AX6" s="1">
        <v>3498</v>
      </c>
      <c r="AY6" s="1">
        <v>371</v>
      </c>
      <c r="AZ6" s="1"/>
      <c r="BA6" s="1"/>
      <c r="BB6" s="1"/>
      <c r="BC6" s="1"/>
      <c r="BD6" s="1">
        <v>889.5</v>
      </c>
      <c r="BE6" s="1">
        <v>202.9</v>
      </c>
      <c r="BF6" s="1">
        <v>4997</v>
      </c>
      <c r="BG6" s="1">
        <v>479</v>
      </c>
      <c r="BH6" s="1">
        <v>2.3239999999999998</v>
      </c>
      <c r="BI6" s="1">
        <v>0.19900000000000001</v>
      </c>
      <c r="BJ6" s="1">
        <v>28.95</v>
      </c>
      <c r="BK6" s="1">
        <v>9.3699999999999992</v>
      </c>
      <c r="BL6" s="1"/>
      <c r="BM6" s="1"/>
      <c r="BN6" s="1"/>
      <c r="BO6" s="1"/>
      <c r="BP6" s="1"/>
      <c r="BQ6" s="1"/>
      <c r="BR6" s="1"/>
      <c r="BS6" s="1"/>
      <c r="BT6" s="1">
        <v>18.46</v>
      </c>
      <c r="BU6" s="1">
        <v>2.56</v>
      </c>
      <c r="BV6" s="1">
        <v>17.16</v>
      </c>
      <c r="BW6" s="1">
        <v>2.75</v>
      </c>
      <c r="BX6" s="1">
        <v>426</v>
      </c>
      <c r="BY6" s="1">
        <v>118.9</v>
      </c>
      <c r="BZ6" s="1">
        <v>54.13</v>
      </c>
      <c r="CA6" s="1">
        <v>5.25</v>
      </c>
    </row>
    <row r="7" spans="1:79" ht="16.5" customHeight="1" x14ac:dyDescent="0.25">
      <c r="A7" s="1" t="s">
        <v>47</v>
      </c>
      <c r="B7" s="4" t="s">
        <v>39</v>
      </c>
      <c r="C7" s="1" t="s">
        <v>48</v>
      </c>
      <c r="D7" s="1"/>
      <c r="E7" s="1"/>
      <c r="F7" s="1"/>
      <c r="G7" s="1"/>
      <c r="H7" s="1">
        <v>175</v>
      </c>
      <c r="I7" s="1">
        <f>16/2</f>
        <v>8</v>
      </c>
      <c r="J7" s="1"/>
      <c r="K7" s="1"/>
      <c r="L7" s="1"/>
      <c r="M7" s="1"/>
      <c r="N7" s="1"/>
      <c r="O7" s="1"/>
      <c r="P7" s="1">
        <v>2.68</v>
      </c>
      <c r="Q7" s="1">
        <f>0.0674/2</f>
        <v>3.3700000000000001E-2</v>
      </c>
      <c r="R7" s="1">
        <v>17.3</v>
      </c>
      <c r="S7" s="1">
        <f>1.4/2</f>
        <v>0.7</v>
      </c>
      <c r="T7" s="1"/>
      <c r="U7" s="1"/>
      <c r="V7" s="1"/>
      <c r="W7" s="1"/>
      <c r="X7" s="1">
        <v>3330</v>
      </c>
      <c r="Y7" s="1">
        <f>122/2</f>
        <v>61</v>
      </c>
      <c r="Z7" s="1">
        <v>4570</v>
      </c>
      <c r="AA7" s="1">
        <f>180/2</f>
        <v>90</v>
      </c>
      <c r="AB7" s="1"/>
      <c r="AC7" s="1"/>
      <c r="AD7" s="1">
        <v>23.2</v>
      </c>
      <c r="AE7" s="1">
        <f>1.74/2</f>
        <v>0.87</v>
      </c>
      <c r="AF7" s="1">
        <v>497</v>
      </c>
      <c r="AG7" s="1">
        <f>13.6/2</f>
        <v>6.8</v>
      </c>
      <c r="AH7" s="1"/>
      <c r="AI7" s="1"/>
      <c r="AJ7" s="1"/>
      <c r="AK7" s="1"/>
      <c r="AL7" s="1">
        <v>8.3829999999999991</v>
      </c>
      <c r="AM7" s="1">
        <f>0.2524/2</f>
        <v>0.12620000000000001</v>
      </c>
      <c r="AN7" s="1"/>
      <c r="AO7" s="1"/>
      <c r="AP7" s="1"/>
      <c r="AQ7" s="1"/>
      <c r="AR7" s="1">
        <v>2.3759999999999999</v>
      </c>
      <c r="AS7" s="1">
        <f>0.0788/2</f>
        <v>3.9399999999999998E-2</v>
      </c>
      <c r="AT7" s="1">
        <v>67.5</v>
      </c>
      <c r="AU7" s="1">
        <f>1.54/2</f>
        <v>0.77</v>
      </c>
      <c r="AV7" s="1"/>
      <c r="AW7" s="1"/>
      <c r="AX7" s="1">
        <v>680</v>
      </c>
      <c r="AY7" s="1">
        <f>23/2</f>
        <v>11.5</v>
      </c>
      <c r="AZ7" s="1">
        <v>571</v>
      </c>
      <c r="BA7" s="1">
        <f>28/2</f>
        <v>14</v>
      </c>
      <c r="BB7" s="1"/>
      <c r="BC7" s="1"/>
      <c r="BD7" s="1">
        <v>574</v>
      </c>
      <c r="BE7" s="1">
        <f>19/2</f>
        <v>9.5</v>
      </c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>
        <v>128</v>
      </c>
      <c r="CA7" s="1">
        <f>2/2</f>
        <v>1</v>
      </c>
    </row>
    <row r="8" spans="1:79" ht="16.5" customHeight="1" x14ac:dyDescent="0.25">
      <c r="A8" s="1" t="s">
        <v>63</v>
      </c>
      <c r="B8" s="4" t="s">
        <v>64</v>
      </c>
      <c r="C8" s="1" t="s">
        <v>65</v>
      </c>
      <c r="D8" s="1"/>
      <c r="E8" s="1"/>
      <c r="F8" s="1"/>
      <c r="G8" s="1"/>
      <c r="H8" s="1"/>
      <c r="I8" s="1"/>
      <c r="J8" s="1"/>
      <c r="K8" s="1"/>
      <c r="L8" s="1"/>
      <c r="M8" s="1"/>
      <c r="N8" s="1">
        <v>39.1</v>
      </c>
      <c r="O8" s="1">
        <f>5.9/4</f>
        <v>1.4750000000000001</v>
      </c>
      <c r="P8" s="1"/>
      <c r="Q8" s="1"/>
      <c r="R8" s="1">
        <v>16</v>
      </c>
      <c r="S8" s="1">
        <f>8/4</f>
        <v>2</v>
      </c>
      <c r="T8" s="1"/>
      <c r="U8" s="1"/>
      <c r="V8" s="1">
        <v>69.2</v>
      </c>
      <c r="W8" s="1">
        <f>6.5/4</f>
        <v>1.625</v>
      </c>
      <c r="X8" s="1">
        <v>46</v>
      </c>
      <c r="Y8" s="1">
        <f>27/4</f>
        <v>6.75</v>
      </c>
      <c r="Z8" s="1">
        <v>590</v>
      </c>
      <c r="AA8" s="1">
        <f>150/4</f>
        <v>37.5</v>
      </c>
      <c r="AB8" s="1">
        <v>86</v>
      </c>
      <c r="AC8" s="1">
        <f>31/4</f>
        <v>7.75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>
        <v>3.19</v>
      </c>
      <c r="AS8" s="1">
        <f>0.25/4</f>
        <v>6.25E-2</v>
      </c>
      <c r="AT8" s="1">
        <v>9.3000000000000007</v>
      </c>
      <c r="AU8" s="1">
        <f>1.04/4</f>
        <v>0.26</v>
      </c>
      <c r="AV8" s="1"/>
      <c r="AW8" s="1"/>
      <c r="AX8" s="1">
        <v>15800</v>
      </c>
      <c r="AY8" s="1">
        <f>1200/4</f>
        <v>300</v>
      </c>
      <c r="AZ8" s="1">
        <v>540</v>
      </c>
      <c r="BA8" s="1">
        <f>200/4</f>
        <v>50</v>
      </c>
      <c r="BB8" s="1">
        <v>16200</v>
      </c>
      <c r="BC8" s="1">
        <f>1500/4</f>
        <v>375</v>
      </c>
      <c r="BD8" s="1">
        <v>104</v>
      </c>
      <c r="BE8" s="1">
        <f>65/4</f>
        <v>16.25</v>
      </c>
      <c r="BF8" s="1">
        <v>39200</v>
      </c>
      <c r="BG8" s="1">
        <f>5700/4</f>
        <v>1425</v>
      </c>
      <c r="BH8" s="1"/>
      <c r="BI8" s="1"/>
      <c r="BJ8" s="1"/>
      <c r="BK8" s="1"/>
      <c r="BL8" s="1">
        <v>2.8000000000000001E-2</v>
      </c>
      <c r="BM8" s="1">
        <f>0.013/4</f>
        <v>3.2499999999999999E-3</v>
      </c>
      <c r="BN8" s="1">
        <v>64</v>
      </c>
      <c r="BO8" s="1">
        <f>26/4</f>
        <v>6.5</v>
      </c>
      <c r="BP8" s="1"/>
      <c r="BQ8" s="1"/>
      <c r="BR8" s="1"/>
      <c r="BS8" s="1"/>
      <c r="BT8" s="1"/>
      <c r="BU8" s="1"/>
      <c r="BV8" s="1"/>
      <c r="BW8" s="1"/>
      <c r="BX8" s="1"/>
      <c r="BY8" s="1"/>
      <c r="BZ8" s="1">
        <v>34.299999999999997</v>
      </c>
      <c r="CA8" s="1">
        <f>2.9/4</f>
        <v>0.72499999999999998</v>
      </c>
    </row>
    <row r="9" spans="1:79" x14ac:dyDescent="0.25">
      <c r="A9" s="1" t="s">
        <v>42</v>
      </c>
      <c r="B9" s="1" t="s">
        <v>43</v>
      </c>
      <c r="C9" s="1" t="s">
        <v>49</v>
      </c>
      <c r="D9" s="1"/>
      <c r="E9" s="1"/>
      <c r="F9" s="1"/>
      <c r="G9" s="1"/>
      <c r="H9" s="1">
        <v>57</v>
      </c>
      <c r="I9" s="1">
        <f>4/2</f>
        <v>2</v>
      </c>
      <c r="J9" s="1">
        <v>5.9</v>
      </c>
      <c r="K9" s="1">
        <f>0.7/2</f>
        <v>0.35</v>
      </c>
      <c r="L9" s="1"/>
      <c r="M9" s="1"/>
      <c r="N9" s="1"/>
      <c r="O9" s="1"/>
      <c r="P9" s="1"/>
      <c r="Q9" s="1"/>
      <c r="R9" s="1">
        <v>120</v>
      </c>
      <c r="S9" s="1">
        <f>3/2</f>
        <v>1.5</v>
      </c>
      <c r="T9" s="1"/>
      <c r="U9" s="1"/>
      <c r="V9" s="1"/>
      <c r="W9" s="1"/>
      <c r="X9" s="1"/>
      <c r="Y9" s="1"/>
      <c r="Z9" s="1">
        <v>2140</v>
      </c>
      <c r="AA9" s="1">
        <f>120/2</f>
        <v>60</v>
      </c>
      <c r="AB9" s="1"/>
      <c r="AC9" s="1"/>
      <c r="AD9" s="1">
        <v>9.65</v>
      </c>
      <c r="AE9" s="1">
        <f>0.38/2</f>
        <v>0.19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>
        <v>81.599999999999994</v>
      </c>
      <c r="AU9" s="1">
        <f>2.6/2</f>
        <v>1.3</v>
      </c>
      <c r="AV9" s="1">
        <v>840</v>
      </c>
      <c r="AW9" s="1">
        <f>60/2</f>
        <v>30</v>
      </c>
      <c r="AX9" s="1"/>
      <c r="AY9" s="1"/>
      <c r="AZ9" s="1">
        <v>3000</v>
      </c>
      <c r="BA9" s="1">
        <f>170/2</f>
        <v>85</v>
      </c>
      <c r="BB9" s="1"/>
      <c r="BC9" s="1"/>
      <c r="BD9" s="1">
        <v>2380</v>
      </c>
      <c r="BE9" s="1">
        <f>110/2</f>
        <v>55</v>
      </c>
      <c r="BF9" s="1"/>
      <c r="BG9" s="1"/>
      <c r="BH9" s="1"/>
      <c r="BI9" s="1"/>
      <c r="BJ9" s="1">
        <v>47</v>
      </c>
      <c r="BK9" s="1">
        <f>5/2</f>
        <v>2.5</v>
      </c>
      <c r="BL9" s="1"/>
      <c r="BM9" s="1"/>
      <c r="BN9" s="1">
        <v>28</v>
      </c>
      <c r="BO9" s="1">
        <f>4/2</f>
        <v>2</v>
      </c>
      <c r="BP9" s="1"/>
      <c r="BQ9" s="1"/>
      <c r="BR9" s="1"/>
      <c r="BS9" s="1"/>
      <c r="BT9" s="1"/>
      <c r="BU9" s="1"/>
      <c r="BV9" s="1"/>
      <c r="BW9" s="1"/>
      <c r="BX9" s="1"/>
      <c r="BY9" s="1"/>
      <c r="BZ9" s="1">
        <v>31.5</v>
      </c>
      <c r="CA9" s="1">
        <f>1.4/2</f>
        <v>0.7</v>
      </c>
    </row>
    <row r="10" spans="1:79" x14ac:dyDescent="0.25">
      <c r="A10" s="1" t="s">
        <v>50</v>
      </c>
      <c r="B10" s="1" t="s">
        <v>51</v>
      </c>
      <c r="C10" s="1" t="s">
        <v>61</v>
      </c>
      <c r="D10" s="1">
        <v>78</v>
      </c>
      <c r="E10" s="1">
        <f>80/4</f>
        <v>20</v>
      </c>
      <c r="F10" s="1">
        <v>1184</v>
      </c>
      <c r="G10" s="1">
        <f>530/4</f>
        <v>132.5</v>
      </c>
      <c r="H10" s="1">
        <v>44300</v>
      </c>
      <c r="I10" s="1">
        <f>4200/4</f>
        <v>1050</v>
      </c>
      <c r="J10" s="1"/>
      <c r="K10" s="1"/>
      <c r="L10" s="1">
        <v>20.2</v>
      </c>
      <c r="M10" s="1">
        <f>17.6/4</f>
        <v>4.4000000000000004</v>
      </c>
      <c r="N10" s="1">
        <v>567</v>
      </c>
      <c r="O10" s="1">
        <f>188/4</f>
        <v>47</v>
      </c>
      <c r="P10" s="1">
        <v>12.73</v>
      </c>
      <c r="Q10" s="1">
        <f>3.52/4</f>
        <v>0.88</v>
      </c>
      <c r="R10" s="1">
        <v>537</v>
      </c>
      <c r="S10" s="1">
        <f>74/4</f>
        <v>18.5</v>
      </c>
      <c r="T10" s="1">
        <v>2.0499999999999998</v>
      </c>
      <c r="U10" s="1">
        <f>0.5/4</f>
        <v>0.125</v>
      </c>
      <c r="V10" s="1"/>
      <c r="W10" s="1"/>
      <c r="X10" s="1">
        <v>876</v>
      </c>
      <c r="Y10" s="1">
        <f>264/4</f>
        <v>66</v>
      </c>
      <c r="Z10" s="1">
        <v>10400</v>
      </c>
      <c r="AA10" s="1">
        <f>1600/4</f>
        <v>400</v>
      </c>
      <c r="AB10" s="1">
        <v>230</v>
      </c>
      <c r="AC10" s="1">
        <f>50/4</f>
        <v>12.5</v>
      </c>
      <c r="AD10" s="1">
        <v>5.05</v>
      </c>
      <c r="AE10" s="1">
        <f>0.56/4</f>
        <v>0.14000000000000001</v>
      </c>
      <c r="AF10" s="1">
        <v>1256</v>
      </c>
      <c r="AG10" s="1">
        <f>70/4</f>
        <v>17.5</v>
      </c>
      <c r="AH10" s="1">
        <v>0.156</v>
      </c>
      <c r="AI10" s="1">
        <f>0.062/4</f>
        <v>1.55E-2</v>
      </c>
      <c r="AJ10" s="1"/>
      <c r="AK10" s="1"/>
      <c r="AL10" s="1">
        <v>31.1</v>
      </c>
      <c r="AM10" s="1">
        <f>5.2/4</f>
        <v>1.3</v>
      </c>
      <c r="AN10" s="1">
        <v>0.98599999999999999</v>
      </c>
      <c r="AO10" s="1">
        <f>0.248/4</f>
        <v>6.2E-2</v>
      </c>
      <c r="AP10" s="1">
        <v>2290</v>
      </c>
      <c r="AQ10" s="1">
        <f>700/4</f>
        <v>175</v>
      </c>
      <c r="AR10" s="1">
        <v>9.07</v>
      </c>
      <c r="AS10" s="1">
        <f>1.76/4</f>
        <v>0.44</v>
      </c>
      <c r="AT10" s="1">
        <v>56.1</v>
      </c>
      <c r="AU10" s="1">
        <f>4.8/4</f>
        <v>1.2</v>
      </c>
      <c r="AV10" s="1">
        <v>2650</v>
      </c>
      <c r="AW10" s="1">
        <f>740/4</f>
        <v>185</v>
      </c>
      <c r="AX10" s="1">
        <v>32000</v>
      </c>
      <c r="AY10" s="1">
        <f>13200/4</f>
        <v>3300</v>
      </c>
      <c r="AZ10" s="1">
        <v>3790</v>
      </c>
      <c r="BA10" s="1">
        <f>820/4</f>
        <v>205</v>
      </c>
      <c r="BB10" s="1"/>
      <c r="BC10" s="1"/>
      <c r="BD10" s="1">
        <v>2190</v>
      </c>
      <c r="BE10" s="1">
        <f>560/4</f>
        <v>140</v>
      </c>
      <c r="BF10" s="1">
        <v>16400</v>
      </c>
      <c r="BG10" s="1">
        <f>4600/4</f>
        <v>1150</v>
      </c>
      <c r="BH10" s="1"/>
      <c r="BI10" s="1"/>
      <c r="BJ10" s="1">
        <v>103</v>
      </c>
      <c r="BK10" s="1">
        <f>44/4</f>
        <v>11</v>
      </c>
      <c r="BL10" s="1">
        <v>0.26100000000000001</v>
      </c>
      <c r="BM10" s="1">
        <f>0.182/4</f>
        <v>4.5499999999999999E-2</v>
      </c>
      <c r="BN10" s="1">
        <v>79</v>
      </c>
      <c r="BO10" s="1">
        <f>66/4</f>
        <v>16.5</v>
      </c>
      <c r="BP10" s="1">
        <v>0.17599999999999999</v>
      </c>
      <c r="BQ10" s="1">
        <f>0.114/4</f>
        <v>2.8500000000000001E-2</v>
      </c>
      <c r="BR10" s="1"/>
      <c r="BS10" s="1"/>
      <c r="BT10" s="1">
        <v>750</v>
      </c>
      <c r="BU10" s="1">
        <f>190/4</f>
        <v>47.5</v>
      </c>
      <c r="BV10" s="1"/>
      <c r="BW10" s="1"/>
      <c r="BX10" s="1">
        <v>3670</v>
      </c>
      <c r="BY10" s="1">
        <f>960/4</f>
        <v>240</v>
      </c>
      <c r="BZ10" s="1">
        <v>47.3</v>
      </c>
      <c r="CA10" s="1">
        <f>4/4</f>
        <v>1</v>
      </c>
    </row>
    <row r="11" spans="1:79" x14ac:dyDescent="0.25">
      <c r="A11" s="1" t="s">
        <v>59</v>
      </c>
      <c r="B11" s="1" t="s">
        <v>60</v>
      </c>
      <c r="C11" s="1" t="s">
        <v>62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0.26200000000000001</v>
      </c>
      <c r="Q11" s="1">
        <f>14/2</f>
        <v>7</v>
      </c>
      <c r="R11" s="1">
        <v>877</v>
      </c>
      <c r="S11" s="1">
        <f>45/2</f>
        <v>22.5</v>
      </c>
      <c r="T11" s="1"/>
      <c r="U11" s="1"/>
      <c r="V11" s="1"/>
      <c r="W11" s="1"/>
      <c r="X11" s="1">
        <v>136</v>
      </c>
      <c r="Y11" s="1">
        <f>15/2</f>
        <v>7.5</v>
      </c>
      <c r="Z11" s="1"/>
      <c r="AA11" s="1"/>
      <c r="AB11" s="1"/>
      <c r="AC11" s="1"/>
      <c r="AD11" s="1">
        <v>72.7</v>
      </c>
      <c r="AE11" s="1">
        <f>1/2</f>
        <v>0.5</v>
      </c>
      <c r="AF11" s="1">
        <v>349</v>
      </c>
      <c r="AG11" s="1">
        <f>20/2</f>
        <v>10</v>
      </c>
      <c r="AH11" s="1"/>
      <c r="AI11" s="1"/>
      <c r="AJ11" s="1"/>
      <c r="AK11" s="1"/>
      <c r="AL11" s="1">
        <v>5.9660000000000002</v>
      </c>
      <c r="AM11" s="1">
        <f>0.462/2</f>
        <v>0.23100000000000001</v>
      </c>
      <c r="AN11" s="1"/>
      <c r="AO11" s="1"/>
      <c r="AP11" s="1"/>
      <c r="AQ11" s="1"/>
      <c r="AR11" s="1">
        <v>0.64700000000000002</v>
      </c>
      <c r="AS11" s="1">
        <f>0.067/2</f>
        <v>3.3500000000000002E-2</v>
      </c>
      <c r="AT11" s="1">
        <v>11.1</v>
      </c>
      <c r="AU11" s="1">
        <f>0.6/2</f>
        <v>0.3</v>
      </c>
      <c r="AV11" s="1"/>
      <c r="AW11" s="1"/>
      <c r="AX11" s="1">
        <v>758</v>
      </c>
      <c r="AY11" s="1">
        <f>68/2</f>
        <v>34</v>
      </c>
      <c r="AZ11" s="1">
        <v>102</v>
      </c>
      <c r="BA11" s="1">
        <f>26/2</f>
        <v>13</v>
      </c>
      <c r="BB11" s="1"/>
      <c r="BC11" s="1"/>
      <c r="BD11" s="1">
        <v>439</v>
      </c>
      <c r="BE11" s="1">
        <f>26/2</f>
        <v>13</v>
      </c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>
        <v>55.8</v>
      </c>
      <c r="CA11" s="1">
        <f>3.9/2</f>
        <v>1.95</v>
      </c>
    </row>
  </sheetData>
  <mergeCells count="41">
    <mergeCell ref="Z2:AA2"/>
    <mergeCell ref="AB2:AC2"/>
    <mergeCell ref="R2:S2"/>
    <mergeCell ref="J2:K2"/>
    <mergeCell ref="A2:A3"/>
    <mergeCell ref="B2:B3"/>
    <mergeCell ref="C2:C3"/>
    <mergeCell ref="D2:E2"/>
    <mergeCell ref="H2:I2"/>
    <mergeCell ref="BZ2:CA2"/>
    <mergeCell ref="BJ2:BK2"/>
    <mergeCell ref="AF2:AG2"/>
    <mergeCell ref="AJ2:AK2"/>
    <mergeCell ref="AL2:AM2"/>
    <mergeCell ref="AP2:AQ2"/>
    <mergeCell ref="AR2:AS2"/>
    <mergeCell ref="AT2:AU2"/>
    <mergeCell ref="AX2:AY2"/>
    <mergeCell ref="BD2:BE2"/>
    <mergeCell ref="BF2:BG2"/>
    <mergeCell ref="BH2:BI2"/>
    <mergeCell ref="AZ2:BA2"/>
    <mergeCell ref="AV2:AW2"/>
    <mergeCell ref="BN2:BO2"/>
    <mergeCell ref="BR2:BS2"/>
    <mergeCell ref="BT2:BU2"/>
    <mergeCell ref="BV2:BW2"/>
    <mergeCell ref="BX2:BY2"/>
    <mergeCell ref="F2:G2"/>
    <mergeCell ref="L2:M2"/>
    <mergeCell ref="T2:U2"/>
    <mergeCell ref="AH2:AI2"/>
    <mergeCell ref="AN2:AO2"/>
    <mergeCell ref="BL2:BM2"/>
    <mergeCell ref="BP2:BQ2"/>
    <mergeCell ref="BB2:BC2"/>
    <mergeCell ref="AD2:AE2"/>
    <mergeCell ref="N2:O2"/>
    <mergeCell ref="P2:Q2"/>
    <mergeCell ref="V2:W2"/>
    <mergeCell ref="X2:Y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D40F9-98B1-4570-B18C-5EB6E398CCE9}">
  <dimension ref="A2:BR37"/>
  <sheetViews>
    <sheetView workbookViewId="0">
      <selection activeCell="T1" sqref="T1"/>
    </sheetView>
  </sheetViews>
  <sheetFormatPr baseColWidth="10" defaultRowHeight="15" x14ac:dyDescent="0.25"/>
  <cols>
    <col min="2" max="2" width="15.5703125" customWidth="1"/>
    <col min="3" max="3" width="16.42578125" style="26" customWidth="1"/>
    <col min="4" max="4" width="11.42578125" style="26"/>
    <col min="5" max="5" width="49.5703125" style="26" customWidth="1"/>
    <col min="6" max="6" width="26.140625" style="26" customWidth="1"/>
    <col min="7" max="7" width="10" style="26" customWidth="1"/>
    <col min="8" max="8" width="9" style="26" customWidth="1"/>
    <col min="9" max="9" width="8.5703125" customWidth="1"/>
    <col min="10" max="10" width="6.85546875" customWidth="1"/>
    <col min="11" max="11" width="9.140625" customWidth="1"/>
    <col min="12" max="13" width="7.85546875" customWidth="1"/>
    <col min="14" max="14" width="10.42578125" customWidth="1"/>
    <col min="15" max="16" width="9" customWidth="1"/>
    <col min="17" max="17" width="9.5703125" customWidth="1"/>
    <col min="18" max="18" width="8.5703125" customWidth="1"/>
    <col min="19" max="19" width="8.42578125" customWidth="1"/>
    <col min="20" max="20" width="7.85546875" customWidth="1"/>
    <col min="21" max="21" width="8.28515625" customWidth="1"/>
    <col min="22" max="22" width="8.85546875" customWidth="1"/>
    <col min="23" max="23" width="6.5703125" customWidth="1"/>
    <col min="24" max="24" width="7.5703125" customWidth="1"/>
    <col min="25" max="25" width="7.42578125" customWidth="1"/>
    <col min="26" max="26" width="7.28515625" customWidth="1"/>
    <col min="27" max="27" width="8" customWidth="1"/>
    <col min="28" max="30" width="7" customWidth="1"/>
    <col min="31" max="31" width="8.42578125" customWidth="1"/>
    <col min="32" max="32" width="7.5703125" customWidth="1"/>
    <col min="33" max="33" width="9" customWidth="1"/>
    <col min="34" max="34" width="9.5703125" customWidth="1"/>
    <col min="36" max="36" width="8.7109375" customWidth="1"/>
    <col min="37" max="38" width="9.140625" customWidth="1"/>
    <col min="39" max="39" width="9.28515625" customWidth="1"/>
    <col min="40" max="40" width="7.7109375" customWidth="1"/>
    <col min="41" max="41" width="8.7109375" customWidth="1"/>
    <col min="42" max="42" width="8.140625" customWidth="1"/>
    <col min="43" max="44" width="8.7109375" customWidth="1"/>
    <col min="45" max="46" width="7.42578125" customWidth="1"/>
    <col min="47" max="47" width="7.7109375" customWidth="1"/>
    <col min="48" max="48" width="8.42578125" customWidth="1"/>
    <col min="49" max="49" width="7.85546875" customWidth="1"/>
    <col min="50" max="50" width="8.140625" customWidth="1"/>
    <col min="51" max="51" width="7.28515625" customWidth="1"/>
    <col min="52" max="52" width="6.85546875" customWidth="1"/>
    <col min="53" max="56" width="8.42578125" customWidth="1"/>
    <col min="57" max="57" width="7.5703125" customWidth="1"/>
    <col min="58" max="62" width="9.42578125" customWidth="1"/>
    <col min="64" max="64" width="8.5703125" customWidth="1"/>
    <col min="65" max="65" width="7.28515625" customWidth="1"/>
    <col min="66" max="66" width="8.140625" customWidth="1"/>
    <col min="67" max="67" width="8.28515625" customWidth="1"/>
    <col min="68" max="68" width="9.28515625" customWidth="1"/>
  </cols>
  <sheetData>
    <row r="2" spans="1:70" x14ac:dyDescent="0.25">
      <c r="C2" s="6" t="s">
        <v>67</v>
      </c>
      <c r="D2" s="6" t="s">
        <v>68</v>
      </c>
      <c r="E2" s="6" t="s">
        <v>69</v>
      </c>
      <c r="F2" s="6" t="s">
        <v>70</v>
      </c>
      <c r="G2" s="41" t="s">
        <v>71</v>
      </c>
      <c r="H2" s="42"/>
      <c r="I2" s="43" t="s">
        <v>72</v>
      </c>
      <c r="J2" s="43"/>
      <c r="K2" s="43" t="s">
        <v>73</v>
      </c>
      <c r="L2" s="43"/>
      <c r="M2" s="43" t="s">
        <v>74</v>
      </c>
      <c r="N2" s="43"/>
      <c r="O2" s="43" t="s">
        <v>75</v>
      </c>
      <c r="P2" s="43"/>
      <c r="Q2" s="43" t="s">
        <v>76</v>
      </c>
      <c r="R2" s="43"/>
      <c r="S2" s="43" t="s">
        <v>77</v>
      </c>
      <c r="T2" s="43"/>
      <c r="U2" s="43" t="s">
        <v>78</v>
      </c>
      <c r="V2" s="43"/>
      <c r="W2" s="43" t="s">
        <v>79</v>
      </c>
      <c r="X2" s="43"/>
      <c r="Y2" s="43" t="s">
        <v>80</v>
      </c>
      <c r="Z2" s="43"/>
      <c r="AA2" s="43" t="s">
        <v>81</v>
      </c>
      <c r="AB2" s="43"/>
      <c r="AC2" s="41" t="s">
        <v>82</v>
      </c>
      <c r="AD2" s="42"/>
      <c r="AE2" s="43" t="s">
        <v>83</v>
      </c>
      <c r="AF2" s="43"/>
      <c r="AG2" s="43" t="s">
        <v>84</v>
      </c>
      <c r="AH2" s="43"/>
      <c r="AI2" s="43" t="s">
        <v>85</v>
      </c>
      <c r="AJ2" s="43"/>
      <c r="AK2" s="43" t="s">
        <v>86</v>
      </c>
      <c r="AL2" s="43"/>
      <c r="AM2" s="43" t="s">
        <v>87</v>
      </c>
      <c r="AN2" s="43"/>
      <c r="AO2" s="43" t="s">
        <v>88</v>
      </c>
      <c r="AP2" s="43"/>
      <c r="AQ2" s="43" t="s">
        <v>89</v>
      </c>
      <c r="AR2" s="43"/>
      <c r="AS2" s="43" t="s">
        <v>90</v>
      </c>
      <c r="AT2" s="43"/>
      <c r="AU2" s="43" t="s">
        <v>91</v>
      </c>
      <c r="AV2" s="43"/>
      <c r="AW2" s="43" t="s">
        <v>92</v>
      </c>
      <c r="AX2" s="43"/>
      <c r="AY2" s="43" t="s">
        <v>93</v>
      </c>
      <c r="AZ2" s="43"/>
      <c r="BA2" s="43" t="s">
        <v>94</v>
      </c>
      <c r="BB2" s="43"/>
      <c r="BC2" s="41" t="s">
        <v>95</v>
      </c>
      <c r="BD2" s="42"/>
      <c r="BE2" s="43" t="s">
        <v>96</v>
      </c>
      <c r="BF2" s="43"/>
      <c r="BG2" s="41" t="s">
        <v>97</v>
      </c>
      <c r="BH2" s="42"/>
      <c r="BI2" s="41" t="s">
        <v>98</v>
      </c>
      <c r="BJ2" s="42"/>
      <c r="BK2" s="41" t="s">
        <v>99</v>
      </c>
      <c r="BL2" s="42"/>
      <c r="BM2" s="43" t="s">
        <v>100</v>
      </c>
      <c r="BN2" s="43"/>
      <c r="BO2" s="41" t="s">
        <v>101</v>
      </c>
      <c r="BP2" s="42"/>
      <c r="BQ2" s="41" t="s">
        <v>102</v>
      </c>
      <c r="BR2" s="42"/>
    </row>
    <row r="3" spans="1:70" x14ac:dyDescent="0.25">
      <c r="B3" s="3"/>
      <c r="C3" s="6"/>
      <c r="D3" s="6"/>
      <c r="E3" s="6"/>
      <c r="F3" s="6"/>
      <c r="G3" s="6" t="s">
        <v>103</v>
      </c>
      <c r="H3" s="7" t="s">
        <v>104</v>
      </c>
      <c r="I3" s="6" t="s">
        <v>103</v>
      </c>
      <c r="J3" s="7" t="s">
        <v>104</v>
      </c>
      <c r="K3" s="6" t="s">
        <v>105</v>
      </c>
      <c r="L3" s="7" t="s">
        <v>104</v>
      </c>
      <c r="M3" s="6" t="s">
        <v>105</v>
      </c>
      <c r="N3" s="7" t="s">
        <v>104</v>
      </c>
      <c r="O3" s="6" t="s">
        <v>103</v>
      </c>
      <c r="P3" s="7" t="s">
        <v>104</v>
      </c>
      <c r="Q3" s="6" t="s">
        <v>103</v>
      </c>
      <c r="R3" s="7" t="s">
        <v>104</v>
      </c>
      <c r="S3" s="6" t="s">
        <v>106</v>
      </c>
      <c r="T3" s="7" t="s">
        <v>104</v>
      </c>
      <c r="U3" s="6" t="s">
        <v>103</v>
      </c>
      <c r="V3" s="7" t="s">
        <v>104</v>
      </c>
      <c r="W3" s="6" t="s">
        <v>106</v>
      </c>
      <c r="X3" s="7" t="s">
        <v>104</v>
      </c>
      <c r="Y3" s="6" t="s">
        <v>103</v>
      </c>
      <c r="Z3" s="7" t="s">
        <v>104</v>
      </c>
      <c r="AA3" s="6" t="s">
        <v>103</v>
      </c>
      <c r="AB3" s="7" t="s">
        <v>104</v>
      </c>
      <c r="AC3" s="6" t="s">
        <v>103</v>
      </c>
      <c r="AD3" s="7" t="s">
        <v>104</v>
      </c>
      <c r="AE3" s="6" t="s">
        <v>105</v>
      </c>
      <c r="AF3" s="7" t="s">
        <v>104</v>
      </c>
      <c r="AG3" s="6" t="s">
        <v>105</v>
      </c>
      <c r="AH3" s="7" t="s">
        <v>104</v>
      </c>
      <c r="AI3" s="6" t="s">
        <v>103</v>
      </c>
      <c r="AJ3" s="7" t="s">
        <v>104</v>
      </c>
      <c r="AK3" s="6" t="s">
        <v>106</v>
      </c>
      <c r="AL3" s="7" t="s">
        <v>104</v>
      </c>
      <c r="AM3" s="6" t="s">
        <v>103</v>
      </c>
      <c r="AN3" s="7" t="s">
        <v>104</v>
      </c>
      <c r="AO3" s="6" t="s">
        <v>106</v>
      </c>
      <c r="AP3" s="7" t="s">
        <v>104</v>
      </c>
      <c r="AQ3" s="6" t="s">
        <v>105</v>
      </c>
      <c r="AR3" s="7" t="s">
        <v>104</v>
      </c>
      <c r="AS3" s="6" t="s">
        <v>103</v>
      </c>
      <c r="AT3" s="7" t="s">
        <v>104</v>
      </c>
      <c r="AU3" s="6" t="s">
        <v>105</v>
      </c>
      <c r="AV3" s="7" t="s">
        <v>104</v>
      </c>
      <c r="AW3" s="6" t="s">
        <v>103</v>
      </c>
      <c r="AX3" s="7" t="s">
        <v>104</v>
      </c>
      <c r="AY3" s="6" t="s">
        <v>106</v>
      </c>
      <c r="AZ3" s="7" t="s">
        <v>104</v>
      </c>
      <c r="BA3" s="6" t="s">
        <v>103</v>
      </c>
      <c r="BB3" s="7" t="s">
        <v>104</v>
      </c>
      <c r="BC3" s="6" t="s">
        <v>103</v>
      </c>
      <c r="BD3" s="7" t="s">
        <v>104</v>
      </c>
      <c r="BE3" s="6" t="s">
        <v>106</v>
      </c>
      <c r="BF3" s="7" t="s">
        <v>104</v>
      </c>
      <c r="BG3" s="6" t="s">
        <v>103</v>
      </c>
      <c r="BH3" s="7" t="s">
        <v>104</v>
      </c>
      <c r="BI3" s="6" t="s">
        <v>103</v>
      </c>
      <c r="BJ3" s="7" t="s">
        <v>104</v>
      </c>
      <c r="BK3" s="6" t="s">
        <v>105</v>
      </c>
      <c r="BL3" s="7" t="s">
        <v>104</v>
      </c>
      <c r="BM3" s="6" t="s">
        <v>105</v>
      </c>
      <c r="BN3" s="7" t="s">
        <v>104</v>
      </c>
      <c r="BO3" s="6" t="s">
        <v>103</v>
      </c>
      <c r="BP3" s="7" t="s">
        <v>104</v>
      </c>
      <c r="BQ3" s="6" t="s">
        <v>105</v>
      </c>
      <c r="BR3" s="7" t="s">
        <v>104</v>
      </c>
    </row>
    <row r="4" spans="1:70" x14ac:dyDescent="0.25">
      <c r="A4" s="44">
        <v>2011</v>
      </c>
      <c r="B4" s="8" t="s">
        <v>107</v>
      </c>
      <c r="C4" s="9">
        <v>4060</v>
      </c>
      <c r="D4" s="9">
        <v>100</v>
      </c>
      <c r="E4" s="9" t="s">
        <v>108</v>
      </c>
      <c r="F4" s="9" t="s">
        <v>109</v>
      </c>
      <c r="G4" s="9"/>
      <c r="H4" s="9"/>
      <c r="I4" s="10">
        <v>307.39999999999998</v>
      </c>
      <c r="J4" s="10">
        <v>38.799999999999997</v>
      </c>
      <c r="K4" s="10">
        <v>9.5109999999999992</v>
      </c>
      <c r="L4" s="10">
        <v>1.357</v>
      </c>
      <c r="M4" s="10">
        <v>9.6820000000000004</v>
      </c>
      <c r="N4" s="10">
        <v>1.2490000000000001</v>
      </c>
      <c r="O4" s="10">
        <v>23.29</v>
      </c>
      <c r="P4" s="10">
        <v>7.03</v>
      </c>
      <c r="Q4" s="10">
        <v>5.34</v>
      </c>
      <c r="R4" s="10">
        <v>1.1259999999999999</v>
      </c>
      <c r="S4" s="10">
        <v>5.508</v>
      </c>
      <c r="T4" s="10">
        <v>0.33200000000000002</v>
      </c>
      <c r="U4" s="10">
        <v>82.35</v>
      </c>
      <c r="V4" s="10">
        <v>9.91</v>
      </c>
      <c r="W4" s="10">
        <v>8.1189999999999998</v>
      </c>
      <c r="X4" s="10">
        <v>0.371</v>
      </c>
      <c r="Y4" s="10">
        <v>171</v>
      </c>
      <c r="Z4" s="10">
        <v>23.7</v>
      </c>
      <c r="AA4" s="10">
        <v>1744</v>
      </c>
      <c r="AB4" s="10">
        <v>313</v>
      </c>
      <c r="AC4" s="10">
        <v>146.80000000000001</v>
      </c>
      <c r="AD4" s="10">
        <v>31.1</v>
      </c>
      <c r="AE4" s="10">
        <v>7.5209999999999999</v>
      </c>
      <c r="AF4" s="10">
        <v>0.56699999999999995</v>
      </c>
      <c r="AG4" s="10">
        <v>509.7</v>
      </c>
      <c r="AH4" s="10">
        <v>43.5</v>
      </c>
      <c r="AI4" s="10">
        <v>10.97</v>
      </c>
      <c r="AJ4" s="10">
        <v>1.08</v>
      </c>
      <c r="AK4" s="10">
        <v>25.9</v>
      </c>
      <c r="AL4" s="10">
        <v>1.6</v>
      </c>
      <c r="AM4" s="10">
        <v>984.8</v>
      </c>
      <c r="AN4" s="10">
        <v>85.9</v>
      </c>
      <c r="AO4" s="10">
        <v>1.9930000000000001</v>
      </c>
      <c r="AP4" s="10">
        <v>0.129</v>
      </c>
      <c r="AQ4" s="10">
        <v>79.55</v>
      </c>
      <c r="AR4" s="10">
        <v>5.77</v>
      </c>
      <c r="AS4" s="10">
        <v>1640</v>
      </c>
      <c r="AT4" s="10">
        <v>158</v>
      </c>
      <c r="AU4" s="10">
        <v>3292</v>
      </c>
      <c r="AV4" s="10">
        <v>214</v>
      </c>
      <c r="AW4" s="10">
        <v>1476</v>
      </c>
      <c r="AX4" s="10">
        <v>168</v>
      </c>
      <c r="AY4" s="10">
        <v>3.85</v>
      </c>
      <c r="AZ4" s="10">
        <v>0.191</v>
      </c>
      <c r="BA4" s="10">
        <v>1183</v>
      </c>
      <c r="BB4" s="10">
        <v>118</v>
      </c>
      <c r="BC4" s="10">
        <v>34750</v>
      </c>
      <c r="BD4" s="10">
        <v>5450</v>
      </c>
      <c r="BE4" s="10">
        <v>3.3130000000000002</v>
      </c>
      <c r="BF4" s="10">
        <v>0.247</v>
      </c>
      <c r="BG4" s="10">
        <v>24.13</v>
      </c>
      <c r="BH4" s="10">
        <v>12.21</v>
      </c>
      <c r="BI4" s="10">
        <v>48.25</v>
      </c>
      <c r="BJ4" s="10">
        <v>10.49</v>
      </c>
      <c r="BK4" s="10">
        <v>21.29</v>
      </c>
      <c r="BL4" s="10">
        <v>1.29</v>
      </c>
      <c r="BM4" s="10">
        <v>15.17</v>
      </c>
      <c r="BN4" s="10">
        <v>11.09</v>
      </c>
      <c r="BO4" s="10">
        <v>1208</v>
      </c>
      <c r="BP4" s="10">
        <v>200</v>
      </c>
      <c r="BQ4" s="10">
        <v>33.020000000000003</v>
      </c>
      <c r="BR4" s="10">
        <v>2.3199999999999998</v>
      </c>
    </row>
    <row r="5" spans="1:70" x14ac:dyDescent="0.25">
      <c r="A5" s="44"/>
      <c r="B5" s="8" t="s">
        <v>110</v>
      </c>
      <c r="C5" s="9">
        <v>4058</v>
      </c>
      <c r="D5" s="9">
        <v>159</v>
      </c>
      <c r="E5" s="9" t="s">
        <v>111</v>
      </c>
      <c r="F5" s="9" t="s">
        <v>112</v>
      </c>
      <c r="G5" s="9"/>
      <c r="H5" s="9"/>
      <c r="I5" s="10">
        <v>2196</v>
      </c>
      <c r="J5" s="10">
        <v>268</v>
      </c>
      <c r="K5" s="10">
        <v>36.159999999999997</v>
      </c>
      <c r="L5" s="10">
        <v>3.36</v>
      </c>
      <c r="M5" s="10">
        <v>8.2639999999999993</v>
      </c>
      <c r="N5" s="10">
        <v>4.9880000000000004</v>
      </c>
      <c r="O5" s="10"/>
      <c r="P5" s="10"/>
      <c r="Q5" s="10"/>
      <c r="R5" s="10"/>
      <c r="S5" s="10">
        <v>16.5</v>
      </c>
      <c r="T5" s="10">
        <v>0.95</v>
      </c>
      <c r="U5" s="10">
        <v>127.8</v>
      </c>
      <c r="V5" s="10">
        <v>11</v>
      </c>
      <c r="W5" s="10">
        <v>5.4749999999999996</v>
      </c>
      <c r="X5" s="10">
        <v>0.311</v>
      </c>
      <c r="Y5" s="10">
        <v>647.29999999999995</v>
      </c>
      <c r="Z5" s="10">
        <v>279.89999999999998</v>
      </c>
      <c r="AA5" s="10">
        <v>3400</v>
      </c>
      <c r="AB5" s="10">
        <v>1512</v>
      </c>
      <c r="AC5" s="10">
        <v>186</v>
      </c>
      <c r="AD5" s="10">
        <v>64.400000000000006</v>
      </c>
      <c r="AE5" s="10">
        <v>9.2880000000000003</v>
      </c>
      <c r="AF5" s="10">
        <v>0.65100000000000002</v>
      </c>
      <c r="AG5" s="10">
        <v>895.2</v>
      </c>
      <c r="AH5" s="10">
        <v>112.8</v>
      </c>
      <c r="AI5" s="10">
        <v>12.7</v>
      </c>
      <c r="AJ5" s="10">
        <v>1.21</v>
      </c>
      <c r="AK5" s="10">
        <v>21.77</v>
      </c>
      <c r="AL5" s="10">
        <v>1.08</v>
      </c>
      <c r="AM5" s="10"/>
      <c r="AN5" s="10"/>
      <c r="AO5" s="10">
        <v>1.8260000000000001</v>
      </c>
      <c r="AP5" s="10">
        <v>0.113</v>
      </c>
      <c r="AQ5" s="10">
        <v>34.54</v>
      </c>
      <c r="AR5" s="10">
        <v>3.55</v>
      </c>
      <c r="AS5" s="10">
        <v>2845</v>
      </c>
      <c r="AT5" s="10">
        <v>269</v>
      </c>
      <c r="AU5" s="10">
        <v>1045</v>
      </c>
      <c r="AV5" s="10">
        <v>124</v>
      </c>
      <c r="AW5" s="10">
        <v>2306</v>
      </c>
      <c r="AX5" s="10">
        <v>482</v>
      </c>
      <c r="AY5" s="10">
        <v>2.871</v>
      </c>
      <c r="AZ5" s="10">
        <v>0.11799999999999999</v>
      </c>
      <c r="BA5" s="10">
        <v>1500</v>
      </c>
      <c r="BB5" s="10">
        <v>246</v>
      </c>
      <c r="BC5" s="10">
        <v>11080</v>
      </c>
      <c r="BD5" s="10">
        <v>1750</v>
      </c>
      <c r="BE5" s="10">
        <v>2.91</v>
      </c>
      <c r="BF5" s="10">
        <v>0.16400000000000001</v>
      </c>
      <c r="BG5" s="10">
        <v>107.7</v>
      </c>
      <c r="BH5" s="10">
        <v>63.1</v>
      </c>
      <c r="BI5" s="10">
        <v>565.5</v>
      </c>
      <c r="BJ5" s="10">
        <v>79.2</v>
      </c>
      <c r="BK5" s="10">
        <v>55.39</v>
      </c>
      <c r="BL5" s="10">
        <v>5.01</v>
      </c>
      <c r="BM5" s="10">
        <v>99.98</v>
      </c>
      <c r="BN5" s="10">
        <v>107.91</v>
      </c>
      <c r="BO5" s="10">
        <v>3054</v>
      </c>
      <c r="BP5" s="10">
        <v>968</v>
      </c>
      <c r="BQ5" s="10">
        <v>19.79</v>
      </c>
      <c r="BR5" s="10">
        <v>1.69</v>
      </c>
    </row>
    <row r="6" spans="1:70" x14ac:dyDescent="0.25">
      <c r="A6" s="44"/>
      <c r="B6" s="8" t="s">
        <v>113</v>
      </c>
      <c r="C6" s="9">
        <v>4057</v>
      </c>
      <c r="D6" s="9">
        <v>169</v>
      </c>
      <c r="E6" s="9" t="s">
        <v>114</v>
      </c>
      <c r="F6" s="9" t="s">
        <v>115</v>
      </c>
      <c r="G6" s="9"/>
      <c r="H6" s="9"/>
      <c r="I6" s="10">
        <v>99.3</v>
      </c>
      <c r="J6" s="10">
        <v>32.96</v>
      </c>
      <c r="K6" s="10">
        <v>19.760000000000002</v>
      </c>
      <c r="L6" s="10">
        <v>1.71</v>
      </c>
      <c r="M6" s="10">
        <v>4.2679999999999998</v>
      </c>
      <c r="N6" s="10">
        <v>0.53300000000000003</v>
      </c>
      <c r="O6" s="10"/>
      <c r="P6" s="10"/>
      <c r="Q6" s="10"/>
      <c r="R6" s="10"/>
      <c r="S6" s="10">
        <v>7.6479999999999997</v>
      </c>
      <c r="T6" s="10">
        <v>0.47399999999999998</v>
      </c>
      <c r="U6" s="10">
        <v>3573</v>
      </c>
      <c r="V6" s="10">
        <v>395</v>
      </c>
      <c r="W6" s="10">
        <v>5.4790000000000001</v>
      </c>
      <c r="X6" s="10">
        <v>0.28999999999999998</v>
      </c>
      <c r="Y6" s="10">
        <v>47.1</v>
      </c>
      <c r="Z6" s="10">
        <v>14.17</v>
      </c>
      <c r="AA6" s="10">
        <v>380.5</v>
      </c>
      <c r="AB6" s="10">
        <v>147.9</v>
      </c>
      <c r="AC6" s="10"/>
      <c r="AD6" s="10"/>
      <c r="AE6" s="10">
        <v>5.3179999999999996</v>
      </c>
      <c r="AF6" s="10">
        <v>0.55800000000000005</v>
      </c>
      <c r="AG6" s="10">
        <v>92.28</v>
      </c>
      <c r="AH6" s="10">
        <v>10.25</v>
      </c>
      <c r="AI6" s="10">
        <v>14.31</v>
      </c>
      <c r="AJ6" s="10">
        <v>1.76</v>
      </c>
      <c r="AK6" s="10">
        <v>34.04</v>
      </c>
      <c r="AL6" s="10">
        <v>2.2400000000000002</v>
      </c>
      <c r="AM6" s="10"/>
      <c r="AN6" s="10"/>
      <c r="AO6" s="10">
        <v>2.4020000000000001</v>
      </c>
      <c r="AP6" s="10">
        <v>0.159</v>
      </c>
      <c r="AQ6" s="10">
        <v>75.47</v>
      </c>
      <c r="AR6" s="10">
        <v>5.33</v>
      </c>
      <c r="AS6" s="10">
        <v>854.7</v>
      </c>
      <c r="AT6" s="10">
        <v>80.099999999999994</v>
      </c>
      <c r="AU6" s="10">
        <v>384</v>
      </c>
      <c r="AV6" s="10">
        <v>44.8</v>
      </c>
      <c r="AW6" s="10">
        <v>341.3</v>
      </c>
      <c r="AX6" s="10">
        <v>140.5</v>
      </c>
      <c r="AY6" s="10">
        <v>3.4620000000000002</v>
      </c>
      <c r="AZ6" s="10">
        <v>0.20499999999999999</v>
      </c>
      <c r="BA6" s="10">
        <v>858.1</v>
      </c>
      <c r="BB6" s="10">
        <v>147.30000000000001</v>
      </c>
      <c r="BC6" s="10">
        <v>11400</v>
      </c>
      <c r="BD6" s="10">
        <v>970</v>
      </c>
      <c r="BE6" s="10">
        <v>5.0990000000000002</v>
      </c>
      <c r="BF6" s="10">
        <v>0.40400000000000003</v>
      </c>
      <c r="BG6" s="10">
        <v>21.22</v>
      </c>
      <c r="BH6" s="10">
        <v>13.16</v>
      </c>
      <c r="BI6" s="10">
        <v>38.15</v>
      </c>
      <c r="BJ6" s="10">
        <v>7.67</v>
      </c>
      <c r="BK6" s="10">
        <v>15.82</v>
      </c>
      <c r="BL6" s="10">
        <v>1.21</v>
      </c>
      <c r="BM6" s="10"/>
      <c r="BN6" s="10"/>
      <c r="BO6" s="10">
        <v>147.19999999999999</v>
      </c>
      <c r="BP6" s="10">
        <v>25.5</v>
      </c>
      <c r="BQ6" s="10">
        <v>169.2</v>
      </c>
      <c r="BR6" s="10">
        <v>15.8</v>
      </c>
    </row>
    <row r="7" spans="1:70" x14ac:dyDescent="0.25">
      <c r="A7" s="44"/>
      <c r="B7" s="8" t="s">
        <v>116</v>
      </c>
      <c r="C7" s="9">
        <v>4059</v>
      </c>
      <c r="D7" s="9">
        <v>188</v>
      </c>
      <c r="E7" s="9" t="s">
        <v>117</v>
      </c>
      <c r="F7" s="9" t="s">
        <v>118</v>
      </c>
      <c r="G7" s="9"/>
      <c r="H7" s="9"/>
      <c r="I7" s="10">
        <v>28.87</v>
      </c>
      <c r="J7" s="10">
        <v>12.5</v>
      </c>
      <c r="K7" s="10">
        <v>18.53</v>
      </c>
      <c r="L7" s="10">
        <v>2.0699999999999998</v>
      </c>
      <c r="M7" s="10">
        <v>1.9239999999999999</v>
      </c>
      <c r="N7" s="10">
        <v>0.24299999999999999</v>
      </c>
      <c r="O7" s="10"/>
      <c r="P7" s="10"/>
      <c r="Q7" s="10"/>
      <c r="R7" s="10"/>
      <c r="S7" s="10">
        <v>6.68</v>
      </c>
      <c r="T7" s="10">
        <v>0.44600000000000001</v>
      </c>
      <c r="U7" s="10">
        <v>43.4</v>
      </c>
      <c r="V7" s="10">
        <v>7.35</v>
      </c>
      <c r="W7" s="10">
        <v>6.4130000000000003</v>
      </c>
      <c r="X7" s="10">
        <v>0.38900000000000001</v>
      </c>
      <c r="Y7" s="10">
        <v>25.31</v>
      </c>
      <c r="Z7" s="10">
        <v>8.34</v>
      </c>
      <c r="AA7" s="10">
        <v>281.10000000000002</v>
      </c>
      <c r="AB7" s="10">
        <v>161</v>
      </c>
      <c r="AC7" s="10">
        <v>112.3</v>
      </c>
      <c r="AD7" s="10">
        <v>12.5</v>
      </c>
      <c r="AE7" s="10">
        <v>5.7030000000000003</v>
      </c>
      <c r="AF7" s="10">
        <v>0.93799999999999994</v>
      </c>
      <c r="AG7" s="10">
        <v>80.599999999999994</v>
      </c>
      <c r="AH7" s="10">
        <v>8.57</v>
      </c>
      <c r="AI7" s="10">
        <v>34.42</v>
      </c>
      <c r="AJ7" s="10">
        <v>2.72</v>
      </c>
      <c r="AK7" s="10">
        <v>9.7260000000000009</v>
      </c>
      <c r="AL7" s="10">
        <v>0.76</v>
      </c>
      <c r="AM7" s="10"/>
      <c r="AN7" s="10"/>
      <c r="AO7" s="10">
        <v>2.7320000000000002</v>
      </c>
      <c r="AP7" s="10">
        <v>0.20399999999999999</v>
      </c>
      <c r="AQ7" s="10">
        <v>420</v>
      </c>
      <c r="AR7" s="10">
        <v>38.9</v>
      </c>
      <c r="AS7" s="10">
        <v>85.08</v>
      </c>
      <c r="AT7" s="10">
        <v>28.79</v>
      </c>
      <c r="AU7" s="10">
        <v>55.66</v>
      </c>
      <c r="AV7" s="10">
        <v>16.95</v>
      </c>
      <c r="AW7" s="10">
        <v>1327</v>
      </c>
      <c r="AX7" s="10">
        <v>215</v>
      </c>
      <c r="AY7" s="11">
        <v>1.593</v>
      </c>
      <c r="AZ7" s="11">
        <v>9.7000000000000003E-2</v>
      </c>
      <c r="BA7" s="10">
        <v>257.10000000000002</v>
      </c>
      <c r="BB7" s="10">
        <v>55.1</v>
      </c>
      <c r="BC7" s="10">
        <v>9299</v>
      </c>
      <c r="BD7" s="10">
        <v>1127</v>
      </c>
      <c r="BE7" s="10">
        <v>1.7949999999999999</v>
      </c>
      <c r="BF7" s="10">
        <v>0.14699999999999999</v>
      </c>
      <c r="BG7" s="10"/>
      <c r="BH7" s="10"/>
      <c r="BI7" s="10">
        <v>459.5</v>
      </c>
      <c r="BJ7" s="10">
        <v>70.900000000000006</v>
      </c>
      <c r="BK7" s="10">
        <v>14.62</v>
      </c>
      <c r="BL7" s="10">
        <v>1.57</v>
      </c>
      <c r="BM7" s="10"/>
      <c r="BN7" s="10"/>
      <c r="BO7" s="10">
        <v>92.75</v>
      </c>
      <c r="BP7" s="10">
        <v>54.59</v>
      </c>
      <c r="BQ7" s="10">
        <v>15.72</v>
      </c>
      <c r="BR7" s="10">
        <v>2.3199999999999998</v>
      </c>
    </row>
    <row r="8" spans="1:70" x14ac:dyDescent="0.25">
      <c r="A8" s="44">
        <v>2013</v>
      </c>
      <c r="B8" s="12" t="s">
        <v>119</v>
      </c>
      <c r="C8" s="9">
        <v>4328</v>
      </c>
      <c r="D8" s="9">
        <v>100</v>
      </c>
      <c r="E8" s="9" t="s">
        <v>108</v>
      </c>
      <c r="F8" s="9" t="s">
        <v>109</v>
      </c>
      <c r="G8" s="9"/>
      <c r="H8" s="9"/>
      <c r="I8" s="10">
        <v>305.7</v>
      </c>
      <c r="J8" s="10">
        <v>36.9</v>
      </c>
      <c r="K8" s="10">
        <v>9.5969999999999995</v>
      </c>
      <c r="L8" s="10">
        <v>1.105</v>
      </c>
      <c r="M8" s="10">
        <v>10.119999999999999</v>
      </c>
      <c r="N8" s="10">
        <v>1.77</v>
      </c>
      <c r="O8" s="10">
        <v>21.34</v>
      </c>
      <c r="P8" s="10">
        <v>2.68</v>
      </c>
      <c r="Q8" s="10">
        <v>6.1660000000000004</v>
      </c>
      <c r="R8" s="10">
        <v>1.206</v>
      </c>
      <c r="S8" s="10">
        <v>5.56</v>
      </c>
      <c r="T8" s="10">
        <v>0.33600000000000002</v>
      </c>
      <c r="U8" s="10">
        <v>82.51</v>
      </c>
      <c r="V8" s="10">
        <v>12.12</v>
      </c>
      <c r="W8" s="10">
        <v>8.1440000000000001</v>
      </c>
      <c r="X8" s="10">
        <v>0.40100000000000002</v>
      </c>
      <c r="Y8" s="10">
        <v>175.9</v>
      </c>
      <c r="Z8" s="10">
        <v>18.100000000000001</v>
      </c>
      <c r="AA8" s="10">
        <v>1774</v>
      </c>
      <c r="AB8" s="10">
        <v>333</v>
      </c>
      <c r="AC8" s="10">
        <v>147.1</v>
      </c>
      <c r="AD8" s="10">
        <v>11.1</v>
      </c>
      <c r="AE8" s="10">
        <v>7.5129999999999999</v>
      </c>
      <c r="AF8" s="10">
        <v>0.60899999999999999</v>
      </c>
      <c r="AG8" s="10">
        <v>514.5</v>
      </c>
      <c r="AH8" s="10">
        <v>43.7</v>
      </c>
      <c r="AI8" s="10">
        <v>10.72</v>
      </c>
      <c r="AJ8" s="10">
        <v>0.79</v>
      </c>
      <c r="AK8" s="10">
        <v>25.93</v>
      </c>
      <c r="AL8" s="10">
        <v>1.46</v>
      </c>
      <c r="AM8" s="10">
        <v>1033</v>
      </c>
      <c r="AN8" s="10">
        <v>123</v>
      </c>
      <c r="AO8" s="10">
        <v>2.0099999999999998</v>
      </c>
      <c r="AP8" s="10">
        <v>0.128</v>
      </c>
      <c r="AQ8" s="10">
        <v>80.099999999999994</v>
      </c>
      <c r="AR8" s="10">
        <v>5.79</v>
      </c>
      <c r="AS8" s="10">
        <v>1663</v>
      </c>
      <c r="AT8" s="10">
        <v>151</v>
      </c>
      <c r="AU8" s="10">
        <v>3247</v>
      </c>
      <c r="AV8" s="10">
        <v>259</v>
      </c>
      <c r="AW8" s="10">
        <v>1500</v>
      </c>
      <c r="AX8" s="10">
        <v>166</v>
      </c>
      <c r="AY8" s="10">
        <v>3.8610000000000002</v>
      </c>
      <c r="AZ8" s="10">
        <v>0.19900000000000001</v>
      </c>
      <c r="BA8" s="10">
        <v>1153</v>
      </c>
      <c r="BB8" s="10">
        <v>119</v>
      </c>
      <c r="BC8" s="10">
        <v>34840</v>
      </c>
      <c r="BD8" s="10">
        <v>3360</v>
      </c>
      <c r="BE8" s="10">
        <v>3.3149999999999999</v>
      </c>
      <c r="BF8" s="10">
        <v>0.23</v>
      </c>
      <c r="BG8" s="10">
        <v>30.12</v>
      </c>
      <c r="BH8" s="10">
        <v>13.12</v>
      </c>
      <c r="BI8" s="10">
        <v>44.37</v>
      </c>
      <c r="BJ8" s="10">
        <v>9.4499999999999993</v>
      </c>
      <c r="BK8" s="10">
        <v>21.29</v>
      </c>
      <c r="BL8" s="10">
        <v>1.67</v>
      </c>
      <c r="BM8" s="10">
        <v>12.94</v>
      </c>
      <c r="BN8" s="10">
        <v>7.56</v>
      </c>
      <c r="BO8" s="10">
        <v>1227</v>
      </c>
      <c r="BP8" s="10">
        <v>193</v>
      </c>
      <c r="BQ8" s="10">
        <v>32.76</v>
      </c>
      <c r="BR8" s="10">
        <v>2.62</v>
      </c>
    </row>
    <row r="9" spans="1:70" x14ac:dyDescent="0.25">
      <c r="A9" s="44"/>
      <c r="B9" s="12" t="s">
        <v>120</v>
      </c>
      <c r="C9" s="9">
        <v>4330</v>
      </c>
      <c r="D9" s="9">
        <v>166</v>
      </c>
      <c r="E9" s="9" t="s">
        <v>121</v>
      </c>
      <c r="F9" s="9" t="s">
        <v>122</v>
      </c>
      <c r="G9" s="9"/>
      <c r="H9" s="9"/>
      <c r="I9" s="10">
        <v>59.84</v>
      </c>
      <c r="J9" s="10">
        <v>7.62</v>
      </c>
      <c r="K9" s="10">
        <v>17.98</v>
      </c>
      <c r="L9" s="10">
        <v>1.57</v>
      </c>
      <c r="M9" s="10">
        <v>14.45</v>
      </c>
      <c r="N9" s="10">
        <v>1.55</v>
      </c>
      <c r="O9" s="10"/>
      <c r="P9" s="10"/>
      <c r="Q9" s="10"/>
      <c r="R9" s="10"/>
      <c r="S9" s="10">
        <v>15.67</v>
      </c>
      <c r="T9" s="10">
        <v>1.03</v>
      </c>
      <c r="U9" s="10">
        <v>73.62</v>
      </c>
      <c r="V9" s="10">
        <v>7.53</v>
      </c>
      <c r="W9" s="10">
        <v>0.2366</v>
      </c>
      <c r="X9" s="10">
        <v>6.7599999999999993E-2</v>
      </c>
      <c r="Y9" s="10">
        <v>121.4</v>
      </c>
      <c r="Z9" s="10">
        <v>13.9</v>
      </c>
      <c r="AA9" s="10">
        <v>350.5</v>
      </c>
      <c r="AB9" s="10">
        <v>114</v>
      </c>
      <c r="AC9" s="10">
        <v>18.350000000000001</v>
      </c>
      <c r="AD9" s="10">
        <v>3.18</v>
      </c>
      <c r="AE9" s="10">
        <v>6.694</v>
      </c>
      <c r="AF9" s="10">
        <v>0.78500000000000003</v>
      </c>
      <c r="AG9" s="10">
        <v>76.819999999999993</v>
      </c>
      <c r="AH9" s="10">
        <v>11.21</v>
      </c>
      <c r="AI9" s="10">
        <v>29.72</v>
      </c>
      <c r="AJ9" s="10">
        <v>2.15</v>
      </c>
      <c r="AK9" s="10">
        <v>11.29</v>
      </c>
      <c r="AL9" s="10">
        <v>0.59</v>
      </c>
      <c r="AM9" s="10">
        <v>48.71</v>
      </c>
      <c r="AN9" s="10">
        <v>14.94</v>
      </c>
      <c r="AO9" s="10">
        <v>2.3849999999999998</v>
      </c>
      <c r="AP9" s="10">
        <v>0.14299999999999999</v>
      </c>
      <c r="AQ9" s="10">
        <v>101.6</v>
      </c>
      <c r="AR9" s="10">
        <v>7.9</v>
      </c>
      <c r="AS9" s="10">
        <v>524.29999999999995</v>
      </c>
      <c r="AT9" s="10">
        <v>49.7</v>
      </c>
      <c r="AU9" s="10">
        <v>36.880000000000003</v>
      </c>
      <c r="AV9" s="10">
        <v>13.33</v>
      </c>
      <c r="AW9" s="10">
        <v>992.3</v>
      </c>
      <c r="AX9" s="10">
        <v>172.4</v>
      </c>
      <c r="AY9" s="10">
        <v>2.4140000000000001</v>
      </c>
      <c r="AZ9" s="10">
        <v>0.13500000000000001</v>
      </c>
      <c r="BA9" s="10">
        <v>736.7</v>
      </c>
      <c r="BB9" s="10">
        <v>101.7</v>
      </c>
      <c r="BC9" s="10">
        <v>11190</v>
      </c>
      <c r="BD9" s="10">
        <v>980</v>
      </c>
      <c r="BE9" s="10">
        <v>0.76719999999999999</v>
      </c>
      <c r="BF9" s="10">
        <v>7.5399999999999995E-2</v>
      </c>
      <c r="BG9" s="10">
        <v>59.86</v>
      </c>
      <c r="BH9" s="10">
        <v>11.11</v>
      </c>
      <c r="BI9" s="10">
        <v>29.59</v>
      </c>
      <c r="BJ9" s="10">
        <v>11.99</v>
      </c>
      <c r="BK9" s="10">
        <v>37.53</v>
      </c>
      <c r="BL9" s="10">
        <v>3.12</v>
      </c>
      <c r="BM9" s="10"/>
      <c r="BN9" s="10"/>
      <c r="BO9" s="10">
        <v>112.2</v>
      </c>
      <c r="BP9" s="10">
        <v>22.4</v>
      </c>
      <c r="BQ9" s="10">
        <v>31.4</v>
      </c>
      <c r="BR9" s="10">
        <v>3.03</v>
      </c>
    </row>
    <row r="10" spans="1:70" x14ac:dyDescent="0.25">
      <c r="A10" s="44"/>
      <c r="B10" s="12" t="s">
        <v>123</v>
      </c>
      <c r="C10" s="9">
        <v>4329</v>
      </c>
      <c r="D10" s="9">
        <v>215</v>
      </c>
      <c r="E10" s="9" t="s">
        <v>124</v>
      </c>
      <c r="F10" s="9" t="s">
        <v>112</v>
      </c>
      <c r="G10" s="9"/>
      <c r="H10" s="9"/>
      <c r="I10" s="10">
        <v>16.03</v>
      </c>
      <c r="J10" s="10">
        <v>5.21</v>
      </c>
      <c r="K10" s="10">
        <v>29.22</v>
      </c>
      <c r="L10" s="10">
        <v>2.46</v>
      </c>
      <c r="M10" s="10">
        <v>0.67110000000000003</v>
      </c>
      <c r="N10" s="10">
        <v>7.1400000000000005E-2</v>
      </c>
      <c r="O10" s="10"/>
      <c r="P10" s="10"/>
      <c r="Q10" s="10"/>
      <c r="R10" s="10"/>
      <c r="S10" s="10">
        <v>14.35</v>
      </c>
      <c r="T10" s="10">
        <v>1.18</v>
      </c>
      <c r="U10" s="10">
        <v>22.11</v>
      </c>
      <c r="V10" s="10">
        <v>3.82</v>
      </c>
      <c r="W10" s="10">
        <v>0.65629999999999999</v>
      </c>
      <c r="X10" s="10">
        <v>9.3100000000000002E-2</v>
      </c>
      <c r="Y10" s="10">
        <v>61.19</v>
      </c>
      <c r="Z10" s="10">
        <v>10.96</v>
      </c>
      <c r="AA10" s="10">
        <v>490.3</v>
      </c>
      <c r="AB10" s="10">
        <v>76</v>
      </c>
      <c r="AC10" s="10">
        <v>8.3550000000000004</v>
      </c>
      <c r="AD10" s="10">
        <v>2.1680000000000001</v>
      </c>
      <c r="AE10" s="10">
        <v>3.4740000000000002</v>
      </c>
      <c r="AF10" s="10">
        <v>0.64800000000000002</v>
      </c>
      <c r="AG10" s="10">
        <v>90.71</v>
      </c>
      <c r="AH10" s="10">
        <v>10.44</v>
      </c>
      <c r="AI10" s="10">
        <v>15.44</v>
      </c>
      <c r="AJ10" s="10">
        <v>1.33</v>
      </c>
      <c r="AK10" s="10">
        <v>49.36</v>
      </c>
      <c r="AL10" s="10">
        <v>3.94</v>
      </c>
      <c r="AM10" s="10">
        <v>466.3</v>
      </c>
      <c r="AN10" s="10">
        <v>75.400000000000006</v>
      </c>
      <c r="AO10" s="10">
        <v>3.5470000000000002</v>
      </c>
      <c r="AP10" s="10">
        <v>0.223</v>
      </c>
      <c r="AQ10" s="10">
        <v>141.30000000000001</v>
      </c>
      <c r="AR10" s="10">
        <v>11.8</v>
      </c>
      <c r="AS10" s="10">
        <v>1125</v>
      </c>
      <c r="AT10" s="10">
        <v>121</v>
      </c>
      <c r="AU10" s="10">
        <v>27.97</v>
      </c>
      <c r="AV10" s="10">
        <v>13.37</v>
      </c>
      <c r="AW10" s="10">
        <v>188.1</v>
      </c>
      <c r="AX10" s="10">
        <v>97.5</v>
      </c>
      <c r="AY10" s="10">
        <v>2.8090000000000002</v>
      </c>
      <c r="AZ10" s="10">
        <v>0.191</v>
      </c>
      <c r="BA10" s="10">
        <v>125</v>
      </c>
      <c r="BB10" s="10">
        <v>32.4</v>
      </c>
      <c r="BC10" s="10">
        <v>3260</v>
      </c>
      <c r="BD10" s="10">
        <v>371</v>
      </c>
      <c r="BE10" s="10">
        <v>4.68</v>
      </c>
      <c r="BF10" s="10">
        <v>0.34599999999999997</v>
      </c>
      <c r="BG10" s="10">
        <v>13.77</v>
      </c>
      <c r="BH10" s="10">
        <v>4.9400000000000004</v>
      </c>
      <c r="BI10" s="10">
        <v>20.48</v>
      </c>
      <c r="BJ10" s="10">
        <v>23.7</v>
      </c>
      <c r="BK10" s="10">
        <v>6.9950000000000001</v>
      </c>
      <c r="BL10" s="10">
        <v>1.3420000000000001</v>
      </c>
      <c r="BM10" s="10"/>
      <c r="BN10" s="10"/>
      <c r="BO10" s="10">
        <v>49.47</v>
      </c>
      <c r="BP10" s="10">
        <v>32.299999999999997</v>
      </c>
      <c r="BQ10" s="10">
        <v>53.71</v>
      </c>
      <c r="BR10" s="10">
        <v>5.12</v>
      </c>
    </row>
    <row r="11" spans="1:70" x14ac:dyDescent="0.25">
      <c r="A11" s="44">
        <v>2012</v>
      </c>
      <c r="B11" s="13" t="s">
        <v>125</v>
      </c>
      <c r="C11" s="9">
        <v>4070</v>
      </c>
      <c r="D11" s="9">
        <v>197</v>
      </c>
      <c r="E11" s="9" t="s">
        <v>126</v>
      </c>
      <c r="F11" s="9" t="s">
        <v>115</v>
      </c>
      <c r="G11" s="9"/>
      <c r="H11" s="9"/>
      <c r="I11" s="10">
        <v>14.1</v>
      </c>
      <c r="J11" s="10">
        <v>5.75</v>
      </c>
      <c r="K11" s="10">
        <v>2.274</v>
      </c>
      <c r="L11" s="10">
        <v>0.82499999999999996</v>
      </c>
      <c r="M11" s="10">
        <v>0.1704</v>
      </c>
      <c r="N11" s="10">
        <v>0.18490000000000001</v>
      </c>
      <c r="O11" s="10"/>
      <c r="P11" s="10"/>
      <c r="Q11" s="10">
        <v>1.5249999999999999</v>
      </c>
      <c r="R11" s="10">
        <v>0.42499999999999999</v>
      </c>
      <c r="S11" s="10">
        <v>8.5980000000000001E-2</v>
      </c>
      <c r="T11" s="10">
        <v>8.4779999999999994E-2</v>
      </c>
      <c r="U11" s="10">
        <v>13.03</v>
      </c>
      <c r="V11" s="10">
        <v>2.72</v>
      </c>
      <c r="W11" s="14">
        <v>0.30549999999999999</v>
      </c>
      <c r="X11" s="14">
        <v>2.9000000000000001E-2</v>
      </c>
      <c r="Y11" s="10">
        <v>5.7439999999999998</v>
      </c>
      <c r="Z11" s="10">
        <v>8.1489999999999991</v>
      </c>
      <c r="AA11" s="10">
        <v>109.7</v>
      </c>
      <c r="AB11" s="10">
        <v>119.5</v>
      </c>
      <c r="AC11" s="10"/>
      <c r="AD11" s="10"/>
      <c r="AE11" s="10">
        <v>1.8149999999999999</v>
      </c>
      <c r="AF11" s="10">
        <v>0.32600000000000001</v>
      </c>
      <c r="AG11" s="10">
        <v>35.96</v>
      </c>
      <c r="AH11" s="10">
        <v>8.3000000000000007</v>
      </c>
      <c r="AI11" s="10"/>
      <c r="AJ11" s="10"/>
      <c r="AK11" s="10">
        <v>4.4889999999999999</v>
      </c>
      <c r="AL11" s="10">
        <v>0.4</v>
      </c>
      <c r="AM11" s="10">
        <v>3.1</v>
      </c>
      <c r="AN11" s="10">
        <v>0.8</v>
      </c>
      <c r="AO11" s="10">
        <v>1.0740000000000001</v>
      </c>
      <c r="AP11" s="10">
        <v>9.4E-2</v>
      </c>
      <c r="AQ11" s="10">
        <v>3.7309999999999999</v>
      </c>
      <c r="AR11" s="10">
        <v>0.72799999999999998</v>
      </c>
      <c r="AS11" s="10">
        <v>231.1</v>
      </c>
      <c r="AT11" s="10">
        <v>31.7</v>
      </c>
      <c r="AU11" s="10">
        <v>10.36</v>
      </c>
      <c r="AV11" s="10">
        <v>13.81</v>
      </c>
      <c r="AW11" s="10">
        <v>104.7</v>
      </c>
      <c r="AX11" s="10">
        <v>57.1</v>
      </c>
      <c r="AY11" s="10">
        <v>3.2029999999999998</v>
      </c>
      <c r="AZ11" s="10">
        <v>0.22</v>
      </c>
      <c r="BA11" s="10">
        <v>60.38</v>
      </c>
      <c r="BB11" s="10">
        <v>82.79</v>
      </c>
      <c r="BC11" s="10">
        <v>1486</v>
      </c>
      <c r="BD11" s="10">
        <v>203</v>
      </c>
      <c r="BE11" s="10">
        <v>0.94630000000000003</v>
      </c>
      <c r="BF11" s="10">
        <v>0.11260000000000001</v>
      </c>
      <c r="BG11" s="10">
        <v>4.1829999999999998</v>
      </c>
      <c r="BH11" s="10">
        <v>2.4900000000000002</v>
      </c>
      <c r="BI11" s="10"/>
      <c r="BJ11" s="10"/>
      <c r="BK11" s="10">
        <v>0.30309999999999998</v>
      </c>
      <c r="BL11" s="10">
        <v>0.61050000000000004</v>
      </c>
      <c r="BM11" s="10"/>
      <c r="BN11" s="10"/>
      <c r="BO11" s="10">
        <v>61.53</v>
      </c>
      <c r="BP11" s="10">
        <v>67.08</v>
      </c>
      <c r="BQ11" s="10">
        <v>25.63</v>
      </c>
      <c r="BR11" s="10">
        <v>2.38</v>
      </c>
    </row>
    <row r="12" spans="1:70" x14ac:dyDescent="0.25">
      <c r="A12" s="44"/>
      <c r="B12" s="13" t="s">
        <v>127</v>
      </c>
      <c r="C12" s="9">
        <v>4071</v>
      </c>
      <c r="D12" s="9">
        <v>124</v>
      </c>
      <c r="E12" s="9" t="s">
        <v>111</v>
      </c>
      <c r="F12" s="9" t="s">
        <v>128</v>
      </c>
      <c r="G12" s="9"/>
      <c r="H12" s="9"/>
      <c r="I12" s="10">
        <v>432.9</v>
      </c>
      <c r="J12" s="10">
        <v>44.2</v>
      </c>
      <c r="K12" s="10">
        <v>34.729999999999997</v>
      </c>
      <c r="L12" s="10">
        <v>2.74</v>
      </c>
      <c r="M12" s="10">
        <v>10.86</v>
      </c>
      <c r="N12" s="10">
        <v>2.5099999999999998</v>
      </c>
      <c r="O12" s="10"/>
      <c r="P12" s="10"/>
      <c r="Q12" s="10">
        <v>10.9</v>
      </c>
      <c r="R12" s="10">
        <v>1.01</v>
      </c>
      <c r="S12" s="10">
        <v>23.15</v>
      </c>
      <c r="T12" s="10">
        <v>1.54</v>
      </c>
      <c r="U12" s="10">
        <v>51.9</v>
      </c>
      <c r="V12" s="10">
        <v>8.24</v>
      </c>
      <c r="W12" s="14">
        <v>5.266</v>
      </c>
      <c r="X12" s="14">
        <v>0.40300000000000002</v>
      </c>
      <c r="Y12" s="10">
        <v>321.10000000000002</v>
      </c>
      <c r="Z12" s="10">
        <v>81.3</v>
      </c>
      <c r="AA12" s="10">
        <v>1038</v>
      </c>
      <c r="AB12" s="10">
        <v>408</v>
      </c>
      <c r="AC12" s="10">
        <v>45.85</v>
      </c>
      <c r="AD12" s="10">
        <v>5.85</v>
      </c>
      <c r="AE12" s="10">
        <v>4.2569999999999997</v>
      </c>
      <c r="AF12" s="10">
        <v>0.56999999999999995</v>
      </c>
      <c r="AG12" s="10">
        <v>231.6</v>
      </c>
      <c r="AH12" s="10">
        <v>27.6</v>
      </c>
      <c r="AI12" s="10">
        <v>8.8789999999999996</v>
      </c>
      <c r="AJ12" s="10">
        <v>1.59</v>
      </c>
      <c r="AK12" s="10">
        <v>26.2</v>
      </c>
      <c r="AL12" s="10">
        <v>1.65</v>
      </c>
      <c r="AM12" s="10">
        <v>659.5</v>
      </c>
      <c r="AN12" s="10">
        <v>136</v>
      </c>
      <c r="AO12" s="10">
        <v>1.6439999999999999</v>
      </c>
      <c r="AP12" s="10">
        <v>0.125</v>
      </c>
      <c r="AQ12" s="10">
        <v>40.200000000000003</v>
      </c>
      <c r="AR12" s="10">
        <v>3.46</v>
      </c>
      <c r="AS12" s="10">
        <v>375.9</v>
      </c>
      <c r="AT12" s="10">
        <v>52.6</v>
      </c>
      <c r="AU12" s="10">
        <v>189.8</v>
      </c>
      <c r="AV12" s="10">
        <v>28.9</v>
      </c>
      <c r="AW12" s="10">
        <v>1088</v>
      </c>
      <c r="AX12" s="10">
        <v>193</v>
      </c>
      <c r="AY12" s="10">
        <v>2.3610000000000002</v>
      </c>
      <c r="AZ12" s="10">
        <v>0.13700000000000001</v>
      </c>
      <c r="BA12" s="10">
        <v>837.1</v>
      </c>
      <c r="BB12" s="10">
        <v>104.7</v>
      </c>
      <c r="BC12" s="10">
        <v>2018</v>
      </c>
      <c r="BD12" s="10">
        <v>211</v>
      </c>
      <c r="BE12" s="10">
        <v>3.0030000000000001</v>
      </c>
      <c r="BF12" s="10">
        <v>0.217</v>
      </c>
      <c r="BG12" s="10">
        <v>35.83</v>
      </c>
      <c r="BH12" s="10">
        <v>9.92</v>
      </c>
      <c r="BI12" s="10">
        <v>120.3</v>
      </c>
      <c r="BJ12" s="10">
        <v>23.7</v>
      </c>
      <c r="BK12" s="10">
        <v>57.39</v>
      </c>
      <c r="BL12" s="10">
        <v>6.38</v>
      </c>
      <c r="BM12" s="10">
        <v>26.26</v>
      </c>
      <c r="BN12" s="10">
        <v>23.33</v>
      </c>
      <c r="BO12" s="10">
        <v>933.7</v>
      </c>
      <c r="BP12" s="10">
        <v>283.5</v>
      </c>
      <c r="BQ12" s="10">
        <v>19.66</v>
      </c>
      <c r="BR12" s="10">
        <v>1.49</v>
      </c>
    </row>
    <row r="13" spans="1:70" x14ac:dyDescent="0.25">
      <c r="A13" s="44"/>
      <c r="B13" s="13" t="s">
        <v>129</v>
      </c>
      <c r="C13" s="9">
        <v>4072</v>
      </c>
      <c r="D13" s="9">
        <v>189</v>
      </c>
      <c r="E13" s="9" t="s">
        <v>130</v>
      </c>
      <c r="F13" s="9" t="s">
        <v>131</v>
      </c>
      <c r="G13" s="9"/>
      <c r="H13" s="9"/>
      <c r="I13" s="10">
        <v>20.95</v>
      </c>
      <c r="J13" s="10">
        <v>18.86</v>
      </c>
      <c r="K13" s="10">
        <v>28.65</v>
      </c>
      <c r="L13" s="10">
        <v>2.37</v>
      </c>
      <c r="M13" s="10">
        <v>81.99</v>
      </c>
      <c r="N13" s="10">
        <v>7.59</v>
      </c>
      <c r="O13" s="10"/>
      <c r="P13" s="10"/>
      <c r="Q13" s="10">
        <v>1.29</v>
      </c>
      <c r="R13" s="10">
        <v>0.69</v>
      </c>
      <c r="S13" s="10">
        <v>6.8140000000000001</v>
      </c>
      <c r="T13" s="10">
        <v>0.442</v>
      </c>
      <c r="U13" s="10">
        <v>4.6500000000000004</v>
      </c>
      <c r="V13" s="10">
        <v>4.2830000000000004</v>
      </c>
      <c r="W13" s="14">
        <v>11.24</v>
      </c>
      <c r="X13" s="14">
        <v>0.54</v>
      </c>
      <c r="Y13" s="10">
        <v>81.400000000000006</v>
      </c>
      <c r="Z13" s="10">
        <v>12.81</v>
      </c>
      <c r="AA13" s="10">
        <v>1098</v>
      </c>
      <c r="AB13" s="10">
        <v>350</v>
      </c>
      <c r="AC13" s="10">
        <v>103.1</v>
      </c>
      <c r="AD13" s="10">
        <v>17.7</v>
      </c>
      <c r="AE13" s="10">
        <v>11.49</v>
      </c>
      <c r="AF13" s="10">
        <v>0.87</v>
      </c>
      <c r="AG13" s="10">
        <v>112.2</v>
      </c>
      <c r="AH13" s="10">
        <v>10.199999999999999</v>
      </c>
      <c r="AI13" s="10">
        <v>10.78</v>
      </c>
      <c r="AJ13" s="10">
        <v>1.7</v>
      </c>
      <c r="AK13" s="10">
        <v>37.67</v>
      </c>
      <c r="AL13" s="10">
        <v>2.5499999999999998</v>
      </c>
      <c r="AM13" s="10">
        <v>16.899999999999999</v>
      </c>
      <c r="AN13" s="10">
        <v>3.29</v>
      </c>
      <c r="AO13" s="10">
        <v>2.6440000000000001</v>
      </c>
      <c r="AP13" s="10">
        <v>0.184</v>
      </c>
      <c r="AQ13" s="10">
        <v>1443</v>
      </c>
      <c r="AR13" s="10">
        <v>107</v>
      </c>
      <c r="AS13" s="10">
        <v>267.60000000000002</v>
      </c>
      <c r="AT13" s="10">
        <v>45.8</v>
      </c>
      <c r="AU13" s="10">
        <v>33.79</v>
      </c>
      <c r="AV13" s="10">
        <v>17.07</v>
      </c>
      <c r="AW13" s="10">
        <v>732.2</v>
      </c>
      <c r="AX13" s="10">
        <v>189.2</v>
      </c>
      <c r="AY13" s="10">
        <v>2.0219999999999998</v>
      </c>
      <c r="AZ13" s="10">
        <v>0.12</v>
      </c>
      <c r="BA13" s="10">
        <v>71.55</v>
      </c>
      <c r="BB13" s="10">
        <v>23.84</v>
      </c>
      <c r="BC13" s="10">
        <v>7685</v>
      </c>
      <c r="BD13" s="10">
        <v>849</v>
      </c>
      <c r="BE13" s="10">
        <v>2.419</v>
      </c>
      <c r="BF13" s="10">
        <v>0.20200000000000001</v>
      </c>
      <c r="BG13" s="10">
        <v>7.1440000000000001</v>
      </c>
      <c r="BH13" s="10">
        <v>3.7109999999999999</v>
      </c>
      <c r="BI13" s="10">
        <v>26.3</v>
      </c>
      <c r="BJ13" s="10">
        <v>10.54</v>
      </c>
      <c r="BK13" s="10">
        <v>25.33</v>
      </c>
      <c r="BL13" s="10">
        <v>2.29</v>
      </c>
      <c r="BM13" s="10"/>
      <c r="BN13" s="10"/>
      <c r="BO13" s="10">
        <v>67.989999999999995</v>
      </c>
      <c r="BP13" s="10">
        <v>46.64</v>
      </c>
      <c r="BQ13" s="10">
        <v>20.25</v>
      </c>
      <c r="BR13" s="10">
        <v>1.9</v>
      </c>
    </row>
    <row r="14" spans="1:70" x14ac:dyDescent="0.25">
      <c r="A14" s="44"/>
      <c r="B14" s="13" t="s">
        <v>132</v>
      </c>
      <c r="C14" s="9">
        <v>4073</v>
      </c>
      <c r="D14" s="9">
        <v>157</v>
      </c>
      <c r="E14" s="9" t="s">
        <v>133</v>
      </c>
      <c r="F14" s="9" t="s">
        <v>112</v>
      </c>
      <c r="G14" s="9"/>
      <c r="H14" s="9"/>
      <c r="I14" s="10">
        <v>312.10000000000002</v>
      </c>
      <c r="J14" s="10">
        <v>48.7</v>
      </c>
      <c r="K14" s="10">
        <v>27.35</v>
      </c>
      <c r="L14" s="10">
        <v>2.8</v>
      </c>
      <c r="M14" s="10">
        <v>51.75</v>
      </c>
      <c r="N14" s="10">
        <v>4.43</v>
      </c>
      <c r="O14" s="10">
        <v>51.55</v>
      </c>
      <c r="P14" s="10">
        <v>4.8099999999999996</v>
      </c>
      <c r="Q14" s="10">
        <v>17.8</v>
      </c>
      <c r="R14" s="10">
        <v>0.83</v>
      </c>
      <c r="S14" s="10">
        <v>16.53</v>
      </c>
      <c r="T14" s="10">
        <v>1.08</v>
      </c>
      <c r="U14" s="10">
        <v>193.8</v>
      </c>
      <c r="V14" s="10">
        <v>19.100000000000001</v>
      </c>
      <c r="W14" s="14">
        <v>1.2250000000000001</v>
      </c>
      <c r="X14" s="14">
        <v>0.153</v>
      </c>
      <c r="Y14" s="10">
        <v>294.2</v>
      </c>
      <c r="Z14" s="10">
        <v>45.2</v>
      </c>
      <c r="AA14" s="10">
        <v>2539</v>
      </c>
      <c r="AB14" s="10">
        <v>825</v>
      </c>
      <c r="AC14" s="10">
        <v>73.12</v>
      </c>
      <c r="AD14" s="10">
        <v>9.25</v>
      </c>
      <c r="AE14" s="10">
        <v>8.66</v>
      </c>
      <c r="AF14" s="10">
        <v>1.1220000000000001</v>
      </c>
      <c r="AG14" s="10">
        <v>466.9</v>
      </c>
      <c r="AH14" s="10">
        <v>56.8</v>
      </c>
      <c r="AI14" s="10">
        <v>88.27</v>
      </c>
      <c r="AJ14" s="10">
        <v>7.87</v>
      </c>
      <c r="AK14" s="10">
        <v>4.4950000000000001</v>
      </c>
      <c r="AL14" s="10">
        <v>0.41099999999999998</v>
      </c>
      <c r="AM14" s="10">
        <v>353.5</v>
      </c>
      <c r="AN14" s="10">
        <v>42.9</v>
      </c>
      <c r="AO14" s="10">
        <v>1.181</v>
      </c>
      <c r="AP14" s="10">
        <v>8.6999999999999994E-2</v>
      </c>
      <c r="AQ14" s="10">
        <v>629.1</v>
      </c>
      <c r="AR14" s="10">
        <v>47.4</v>
      </c>
      <c r="AS14" s="10">
        <v>236</v>
      </c>
      <c r="AT14" s="10">
        <v>29</v>
      </c>
      <c r="AU14" s="10">
        <v>338.4</v>
      </c>
      <c r="AV14" s="10">
        <v>44.2</v>
      </c>
      <c r="AW14" s="10">
        <v>1790</v>
      </c>
      <c r="AX14" s="10">
        <v>201</v>
      </c>
      <c r="AY14" s="10">
        <v>0.9133</v>
      </c>
      <c r="AZ14" s="10">
        <v>6.9400000000000003E-2</v>
      </c>
      <c r="BA14" s="10">
        <v>6070</v>
      </c>
      <c r="BB14" s="10">
        <v>545</v>
      </c>
      <c r="BC14" s="10">
        <v>5458</v>
      </c>
      <c r="BD14" s="10">
        <v>770</v>
      </c>
      <c r="BE14" s="10">
        <v>1.099</v>
      </c>
      <c r="BF14" s="10">
        <v>0.1</v>
      </c>
      <c r="BG14" s="10">
        <v>344</v>
      </c>
      <c r="BH14" s="10">
        <v>193.2</v>
      </c>
      <c r="BI14" s="10">
        <v>93.7</v>
      </c>
      <c r="BJ14" s="10">
        <v>29.08</v>
      </c>
      <c r="BK14" s="10">
        <v>44.82</v>
      </c>
      <c r="BL14" s="10">
        <v>4.3600000000000003</v>
      </c>
      <c r="BM14" s="10">
        <v>29.2</v>
      </c>
      <c r="BN14" s="10">
        <v>27.43</v>
      </c>
      <c r="BO14" s="10">
        <v>1119</v>
      </c>
      <c r="BP14" s="10">
        <v>193</v>
      </c>
      <c r="BQ14" s="10">
        <v>88.56</v>
      </c>
      <c r="BR14" s="10">
        <v>8.25</v>
      </c>
    </row>
    <row r="15" spans="1:70" x14ac:dyDescent="0.25">
      <c r="A15" s="44">
        <v>2015</v>
      </c>
      <c r="B15" s="15" t="s">
        <v>134</v>
      </c>
      <c r="C15" s="9">
        <v>4833</v>
      </c>
      <c r="D15" s="9">
        <v>205</v>
      </c>
      <c r="E15" s="9" t="s">
        <v>135</v>
      </c>
      <c r="F15" s="9" t="s">
        <v>115</v>
      </c>
      <c r="G15" s="9"/>
      <c r="H15" s="9"/>
      <c r="I15" s="10">
        <v>416.1</v>
      </c>
      <c r="J15" s="10">
        <v>56.8</v>
      </c>
      <c r="K15" s="10">
        <v>41.79</v>
      </c>
      <c r="L15" s="10">
        <v>3.68</v>
      </c>
      <c r="M15" s="10">
        <v>23.38</v>
      </c>
      <c r="N15" s="10">
        <v>3.69</v>
      </c>
      <c r="O15" s="10">
        <v>10.15</v>
      </c>
      <c r="P15" s="10">
        <v>0.85</v>
      </c>
      <c r="Q15" s="10">
        <v>15.55</v>
      </c>
      <c r="R15" s="10">
        <v>2.4500000000000002</v>
      </c>
      <c r="S15" s="10">
        <v>30.63</v>
      </c>
      <c r="T15" s="10">
        <v>2.04</v>
      </c>
      <c r="U15" s="10">
        <v>2591</v>
      </c>
      <c r="V15" s="10">
        <v>258</v>
      </c>
      <c r="W15" s="10">
        <v>4.548</v>
      </c>
      <c r="X15" s="10">
        <v>0.34399999999999997</v>
      </c>
      <c r="Y15" s="10">
        <v>303.3</v>
      </c>
      <c r="Z15" s="10">
        <v>47.9</v>
      </c>
      <c r="AA15" s="10">
        <v>6473</v>
      </c>
      <c r="AB15" s="10">
        <v>1124</v>
      </c>
      <c r="AC15" s="10">
        <v>62.69</v>
      </c>
      <c r="AD15" s="10">
        <v>12.87</v>
      </c>
      <c r="AE15" s="10">
        <v>12.15</v>
      </c>
      <c r="AF15" s="10">
        <v>1.21</v>
      </c>
      <c r="AG15" s="10">
        <v>333.8</v>
      </c>
      <c r="AH15" s="10">
        <v>37.1</v>
      </c>
      <c r="AI15" s="10">
        <v>76.12</v>
      </c>
      <c r="AJ15" s="10">
        <v>17.09</v>
      </c>
      <c r="AK15" s="10">
        <v>54.49</v>
      </c>
      <c r="AL15" s="10">
        <v>4.0999999999999996</v>
      </c>
      <c r="AM15" s="10">
        <v>9389</v>
      </c>
      <c r="AN15" s="10">
        <v>1017</v>
      </c>
      <c r="AO15" s="10">
        <v>4.6840000000000002</v>
      </c>
      <c r="AP15" s="10">
        <v>0.31900000000000001</v>
      </c>
      <c r="AQ15" s="10">
        <v>296.8</v>
      </c>
      <c r="AR15" s="10">
        <v>18.5</v>
      </c>
      <c r="AS15" s="10">
        <v>1214</v>
      </c>
      <c r="AT15" s="10">
        <v>151</v>
      </c>
      <c r="AU15" s="10">
        <v>267.39999999999998</v>
      </c>
      <c r="AV15" s="10">
        <v>59.9</v>
      </c>
      <c r="AW15" s="10">
        <v>1067</v>
      </c>
      <c r="AX15" s="10">
        <v>195</v>
      </c>
      <c r="AY15" s="10">
        <v>4.6369999999999996</v>
      </c>
      <c r="AZ15" s="10">
        <v>0.25700000000000001</v>
      </c>
      <c r="BA15" s="10">
        <v>5381</v>
      </c>
      <c r="BB15" s="10">
        <v>723</v>
      </c>
      <c r="BC15" s="10">
        <v>26911</v>
      </c>
      <c r="BD15" s="10">
        <v>3870</v>
      </c>
      <c r="BE15" s="10">
        <v>5.266</v>
      </c>
      <c r="BF15" s="10">
        <v>0.47</v>
      </c>
      <c r="BG15" s="10">
        <v>232.2</v>
      </c>
      <c r="BH15" s="10">
        <v>44.1</v>
      </c>
      <c r="BI15" s="10">
        <v>71.930000000000007</v>
      </c>
      <c r="BJ15" s="10">
        <v>30.61</v>
      </c>
      <c r="BK15" s="10">
        <v>83.38</v>
      </c>
      <c r="BL15" s="10">
        <v>13.15</v>
      </c>
      <c r="BM15" s="10">
        <v>5.734</v>
      </c>
      <c r="BN15" s="10">
        <v>2.9550000000000001</v>
      </c>
      <c r="BO15" s="10">
        <v>831.3</v>
      </c>
      <c r="BP15" s="10">
        <v>96.7</v>
      </c>
      <c r="BQ15" s="10">
        <v>187.6</v>
      </c>
      <c r="BR15" s="10">
        <v>14.6</v>
      </c>
    </row>
    <row r="16" spans="1:70" x14ac:dyDescent="0.25">
      <c r="A16" s="44"/>
      <c r="B16" s="15" t="s">
        <v>136</v>
      </c>
      <c r="C16" s="9">
        <v>4834</v>
      </c>
      <c r="D16" s="9">
        <v>177</v>
      </c>
      <c r="E16" s="9" t="s">
        <v>137</v>
      </c>
      <c r="F16" s="9" t="s">
        <v>112</v>
      </c>
      <c r="G16" s="9"/>
      <c r="H16" s="9"/>
      <c r="I16" s="10">
        <v>270.60000000000002</v>
      </c>
      <c r="J16" s="10">
        <v>43.1</v>
      </c>
      <c r="K16" s="10">
        <v>48.06</v>
      </c>
      <c r="L16" s="10">
        <v>3.48</v>
      </c>
      <c r="M16" s="10">
        <v>23.69</v>
      </c>
      <c r="N16" s="10">
        <v>2.4300000000000002</v>
      </c>
      <c r="O16" s="10">
        <v>10</v>
      </c>
      <c r="P16" s="10">
        <v>1.61</v>
      </c>
      <c r="Q16" s="10">
        <v>7.46</v>
      </c>
      <c r="R16" s="10">
        <v>6.36</v>
      </c>
      <c r="S16" s="10">
        <v>31.54</v>
      </c>
      <c r="T16" s="10">
        <v>2.5</v>
      </c>
      <c r="U16" s="10">
        <v>3050</v>
      </c>
      <c r="V16" s="10">
        <v>379</v>
      </c>
      <c r="W16" s="10">
        <v>4.2590000000000003</v>
      </c>
      <c r="X16" s="10">
        <v>0.28399999999999997</v>
      </c>
      <c r="Y16" s="10">
        <v>4496</v>
      </c>
      <c r="Z16" s="10">
        <v>372</v>
      </c>
      <c r="AA16" s="10">
        <v>685.7</v>
      </c>
      <c r="AB16" s="10">
        <v>272.5</v>
      </c>
      <c r="AC16" s="10">
        <v>447</v>
      </c>
      <c r="AD16" s="10">
        <v>41.4</v>
      </c>
      <c r="AE16" s="10">
        <v>9.673</v>
      </c>
      <c r="AF16" s="10">
        <v>1.0149999999999999</v>
      </c>
      <c r="AG16" s="10">
        <v>232.8</v>
      </c>
      <c r="AH16" s="10">
        <v>20.7</v>
      </c>
      <c r="AI16" s="10">
        <v>35.020000000000003</v>
      </c>
      <c r="AJ16" s="10">
        <v>7</v>
      </c>
      <c r="AK16" s="10">
        <v>9.0500000000000007</v>
      </c>
      <c r="AL16" s="10">
        <v>0.63500000000000001</v>
      </c>
      <c r="AM16" s="10">
        <v>342</v>
      </c>
      <c r="AN16" s="10">
        <v>51.3</v>
      </c>
      <c r="AO16" s="10">
        <v>4.51</v>
      </c>
      <c r="AP16" s="10">
        <v>0.30599999999999999</v>
      </c>
      <c r="AQ16" s="10">
        <v>127.4</v>
      </c>
      <c r="AR16" s="10">
        <v>13</v>
      </c>
      <c r="AS16" s="10">
        <v>226.5</v>
      </c>
      <c r="AT16" s="10">
        <v>51</v>
      </c>
      <c r="AU16" s="10">
        <v>1146</v>
      </c>
      <c r="AV16" s="10">
        <v>103</v>
      </c>
      <c r="AW16" s="10">
        <v>2729</v>
      </c>
      <c r="AX16" s="10">
        <v>423</v>
      </c>
      <c r="AY16" s="10">
        <v>1.5840000000000001</v>
      </c>
      <c r="AZ16" s="10">
        <v>9.5000000000000001E-2</v>
      </c>
      <c r="BA16" s="10">
        <v>1258</v>
      </c>
      <c r="BB16" s="10">
        <v>220</v>
      </c>
      <c r="BC16" s="10">
        <v>10936</v>
      </c>
      <c r="BD16" s="10">
        <v>866</v>
      </c>
      <c r="BE16" s="10">
        <v>4.4909999999999997</v>
      </c>
      <c r="BF16" s="10">
        <v>0.36699999999999999</v>
      </c>
      <c r="BG16" s="10">
        <v>123.9</v>
      </c>
      <c r="BH16" s="10">
        <v>31.7</v>
      </c>
      <c r="BI16" s="10">
        <v>87.26</v>
      </c>
      <c r="BJ16" s="10">
        <v>20.87</v>
      </c>
      <c r="BK16" s="10">
        <v>94.95</v>
      </c>
      <c r="BL16" s="10">
        <v>16.45</v>
      </c>
      <c r="BM16" s="10">
        <v>3.0449999999999999</v>
      </c>
      <c r="BN16" s="10">
        <v>1.59</v>
      </c>
      <c r="BO16" s="10">
        <v>474.8</v>
      </c>
      <c r="BP16" s="10">
        <v>159.1</v>
      </c>
      <c r="BQ16" s="10">
        <v>231.9</v>
      </c>
      <c r="BR16" s="10">
        <v>24.9</v>
      </c>
    </row>
    <row r="17" spans="1:70" x14ac:dyDescent="0.25">
      <c r="A17" s="44"/>
      <c r="B17" s="15" t="s">
        <v>138</v>
      </c>
      <c r="C17" s="9">
        <v>4835</v>
      </c>
      <c r="D17" s="9">
        <v>100</v>
      </c>
      <c r="E17" s="9" t="s">
        <v>139</v>
      </c>
      <c r="F17" s="9" t="s">
        <v>109</v>
      </c>
      <c r="G17" s="9"/>
      <c r="H17" s="9"/>
      <c r="I17" s="10">
        <v>306.60000000000002</v>
      </c>
      <c r="J17" s="10">
        <v>53.8</v>
      </c>
      <c r="K17" s="10">
        <v>9.5129999999999999</v>
      </c>
      <c r="L17" s="10">
        <v>1.2390000000000001</v>
      </c>
      <c r="M17" s="10">
        <v>11.16</v>
      </c>
      <c r="N17" s="10">
        <v>3.44</v>
      </c>
      <c r="O17" s="10">
        <v>19.13</v>
      </c>
      <c r="P17" s="10">
        <v>0.93</v>
      </c>
      <c r="Q17" s="10">
        <v>7.99</v>
      </c>
      <c r="R17" s="10" t="s">
        <v>140</v>
      </c>
      <c r="S17" s="10">
        <v>5.5010000000000003</v>
      </c>
      <c r="T17" s="10">
        <v>0.38200000000000001</v>
      </c>
      <c r="U17" s="10">
        <v>85.56</v>
      </c>
      <c r="V17" s="10">
        <v>12.64</v>
      </c>
      <c r="W17" s="10">
        <v>8.1910000000000007</v>
      </c>
      <c r="X17" s="10">
        <v>0.47699999999999998</v>
      </c>
      <c r="Y17" s="10">
        <v>181.6</v>
      </c>
      <c r="Z17" s="10">
        <v>20.399999999999999</v>
      </c>
      <c r="AA17" s="10">
        <v>1888</v>
      </c>
      <c r="AB17" s="10">
        <v>597</v>
      </c>
      <c r="AC17" s="10">
        <v>157.4</v>
      </c>
      <c r="AD17" s="10">
        <v>17.5</v>
      </c>
      <c r="AE17" s="10">
        <v>7.49</v>
      </c>
      <c r="AF17" s="10">
        <v>0.873</v>
      </c>
      <c r="AG17" s="10">
        <v>515</v>
      </c>
      <c r="AH17" s="10">
        <v>46.7</v>
      </c>
      <c r="AI17" s="10">
        <v>12.74</v>
      </c>
      <c r="AJ17" s="10">
        <v>3.57</v>
      </c>
      <c r="AK17" s="10">
        <v>25.87</v>
      </c>
      <c r="AL17" s="10">
        <v>1.8</v>
      </c>
      <c r="AM17" s="10">
        <v>926.5</v>
      </c>
      <c r="AN17" s="10">
        <v>115.5</v>
      </c>
      <c r="AO17" s="10">
        <v>1.986</v>
      </c>
      <c r="AP17" s="10">
        <v>0.14499999999999999</v>
      </c>
      <c r="AQ17" s="10">
        <v>79.78</v>
      </c>
      <c r="AR17" s="10">
        <v>6.06</v>
      </c>
      <c r="AS17" s="10">
        <v>1652</v>
      </c>
      <c r="AT17" s="10">
        <v>170</v>
      </c>
      <c r="AU17" s="10">
        <v>3254</v>
      </c>
      <c r="AV17" s="10">
        <v>312</v>
      </c>
      <c r="AW17" s="10">
        <v>1445</v>
      </c>
      <c r="AX17" s="10">
        <v>223</v>
      </c>
      <c r="AY17" s="10">
        <v>3.835</v>
      </c>
      <c r="AZ17" s="10">
        <v>0.23100000000000001</v>
      </c>
      <c r="BA17" s="10">
        <v>1119</v>
      </c>
      <c r="BB17" s="10">
        <v>222</v>
      </c>
      <c r="BC17" s="10">
        <v>34568</v>
      </c>
      <c r="BD17" s="10">
        <v>4310</v>
      </c>
      <c r="BE17" s="10">
        <v>3.31</v>
      </c>
      <c r="BF17" s="10">
        <v>0.26</v>
      </c>
      <c r="BG17" s="10">
        <v>40.07</v>
      </c>
      <c r="BH17" s="10">
        <v>15.75</v>
      </c>
      <c r="BI17" s="10">
        <v>48.44</v>
      </c>
      <c r="BJ17" s="10">
        <v>18.350000000000001</v>
      </c>
      <c r="BK17" s="10">
        <v>20.09</v>
      </c>
      <c r="BL17" s="10">
        <v>3.67</v>
      </c>
      <c r="BM17" s="10">
        <v>9.6479999999999997</v>
      </c>
      <c r="BN17" s="10">
        <v>6.1230000000000002</v>
      </c>
      <c r="BO17" s="10">
        <v>1314</v>
      </c>
      <c r="BP17" s="10">
        <v>290</v>
      </c>
      <c r="BQ17" s="10">
        <v>32.99</v>
      </c>
      <c r="BR17" s="10">
        <v>2.58</v>
      </c>
    </row>
    <row r="18" spans="1:70" ht="14.25" customHeight="1" x14ac:dyDescent="0.25">
      <c r="A18" s="44"/>
      <c r="B18" s="15" t="s">
        <v>141</v>
      </c>
      <c r="C18" s="9">
        <v>4836</v>
      </c>
      <c r="D18" s="9">
        <v>224</v>
      </c>
      <c r="E18" s="9" t="s">
        <v>142</v>
      </c>
      <c r="F18" s="9" t="s">
        <v>143</v>
      </c>
      <c r="G18" s="9"/>
      <c r="H18" s="9"/>
      <c r="I18" s="10">
        <v>15.62</v>
      </c>
      <c r="J18" s="10">
        <v>7</v>
      </c>
      <c r="K18" s="10">
        <v>2.3980000000000001</v>
      </c>
      <c r="L18" s="10">
        <v>0.67600000000000005</v>
      </c>
      <c r="M18" s="10">
        <v>0.18240000000000001</v>
      </c>
      <c r="N18" s="10">
        <v>0.15640000000000001</v>
      </c>
      <c r="O18" s="10">
        <v>10.27</v>
      </c>
      <c r="P18" s="10">
        <v>0.27</v>
      </c>
      <c r="Q18" s="10">
        <v>2.0099999999999998</v>
      </c>
      <c r="R18" s="10" t="s">
        <v>140</v>
      </c>
      <c r="S18" s="10">
        <v>6.8489999999999995E-2</v>
      </c>
      <c r="T18" s="10">
        <v>3.9480000000000001E-2</v>
      </c>
      <c r="U18" s="10">
        <v>5.9930000000000003</v>
      </c>
      <c r="V18" s="10">
        <v>3.8420000000000001</v>
      </c>
      <c r="W18" s="10">
        <v>0.3881</v>
      </c>
      <c r="X18" s="10">
        <v>0.1169</v>
      </c>
      <c r="Y18" s="10">
        <v>12.88</v>
      </c>
      <c r="Z18" s="10">
        <v>13.74</v>
      </c>
      <c r="AA18" s="10">
        <v>96.39</v>
      </c>
      <c r="AB18" s="10">
        <v>143.34</v>
      </c>
      <c r="AC18" s="10" t="s">
        <v>140</v>
      </c>
      <c r="AD18" s="10" t="s">
        <v>140</v>
      </c>
      <c r="AE18" s="10">
        <v>2.1429999999999998</v>
      </c>
      <c r="AF18" s="10">
        <v>0.55200000000000005</v>
      </c>
      <c r="AG18" s="10">
        <v>27.8</v>
      </c>
      <c r="AH18" s="10">
        <v>4.21</v>
      </c>
      <c r="AI18" s="10" t="s">
        <v>140</v>
      </c>
      <c r="AJ18" s="10" t="s">
        <v>140</v>
      </c>
      <c r="AK18" s="10">
        <v>3.6669999999999998</v>
      </c>
      <c r="AL18" s="10">
        <v>0.27600000000000002</v>
      </c>
      <c r="AM18" s="10">
        <v>2.89</v>
      </c>
      <c r="AN18" s="10">
        <v>2.2000000000000002</v>
      </c>
      <c r="AO18" s="10">
        <v>1.2270000000000001</v>
      </c>
      <c r="AP18" s="10">
        <v>0.10100000000000001</v>
      </c>
      <c r="AQ18" s="10">
        <v>5.8479999999999999</v>
      </c>
      <c r="AR18" s="10">
        <v>0.76300000000000001</v>
      </c>
      <c r="AS18" s="10">
        <v>323.7</v>
      </c>
      <c r="AT18" s="10">
        <v>37.4</v>
      </c>
      <c r="AU18" s="10">
        <v>8.3629999999999995</v>
      </c>
      <c r="AV18" s="10">
        <v>9.4280000000000008</v>
      </c>
      <c r="AW18" s="10">
        <v>225.4</v>
      </c>
      <c r="AX18" s="10">
        <v>79.400000000000006</v>
      </c>
      <c r="AY18" s="10">
        <v>3.1739999999999999</v>
      </c>
      <c r="AZ18" s="10">
        <v>0.23</v>
      </c>
      <c r="BA18" s="10">
        <v>80.33</v>
      </c>
      <c r="BB18" s="10">
        <v>117.28</v>
      </c>
      <c r="BC18" s="10">
        <v>480.9</v>
      </c>
      <c r="BD18" s="10">
        <v>78.099999999999994</v>
      </c>
      <c r="BE18" s="10">
        <v>1.056</v>
      </c>
      <c r="BF18" s="10">
        <v>0.10100000000000001</v>
      </c>
      <c r="BG18" s="10">
        <v>8.266</v>
      </c>
      <c r="BH18" s="10">
        <v>11.29</v>
      </c>
      <c r="BI18" s="10">
        <v>49</v>
      </c>
      <c r="BJ18" s="10">
        <v>14.18</v>
      </c>
      <c r="BK18" s="10">
        <v>0.2445</v>
      </c>
      <c r="BL18" s="10">
        <v>0.37840000000000001</v>
      </c>
      <c r="BM18" s="10" t="s">
        <v>140</v>
      </c>
      <c r="BN18" s="10" t="s">
        <v>140</v>
      </c>
      <c r="BO18" s="10" t="s">
        <v>140</v>
      </c>
      <c r="BP18" s="10" t="s">
        <v>140</v>
      </c>
      <c r="BQ18" s="10">
        <v>22.64</v>
      </c>
      <c r="BR18" s="10">
        <v>2.12</v>
      </c>
    </row>
    <row r="19" spans="1:70" x14ac:dyDescent="0.25">
      <c r="A19" s="44">
        <v>2016</v>
      </c>
      <c r="B19" s="16" t="s">
        <v>144</v>
      </c>
      <c r="C19" s="9">
        <v>5030</v>
      </c>
      <c r="D19" s="9">
        <v>949</v>
      </c>
      <c r="E19" s="9" t="s">
        <v>145</v>
      </c>
      <c r="F19" s="9" t="s">
        <v>112</v>
      </c>
      <c r="G19" s="9"/>
      <c r="H19" s="9"/>
      <c r="I19" s="10">
        <v>290</v>
      </c>
      <c r="J19" s="10">
        <v>22.7</v>
      </c>
      <c r="K19" s="10">
        <v>17.98</v>
      </c>
      <c r="L19" s="10">
        <v>1.59</v>
      </c>
      <c r="M19" s="10">
        <v>2.625</v>
      </c>
      <c r="N19" s="10">
        <v>0.71299999999999997</v>
      </c>
      <c r="O19" s="10">
        <v>9.0399999999999991</v>
      </c>
      <c r="P19" s="10">
        <v>0.495</v>
      </c>
      <c r="Q19" s="10">
        <v>15.41</v>
      </c>
      <c r="R19" s="10">
        <v>5.53</v>
      </c>
      <c r="S19" s="10">
        <v>11.45</v>
      </c>
      <c r="T19" s="10">
        <v>0.67</v>
      </c>
      <c r="U19" s="10">
        <v>406.5</v>
      </c>
      <c r="V19" s="10">
        <v>58</v>
      </c>
      <c r="W19" s="10">
        <v>3.819</v>
      </c>
      <c r="X19" s="10">
        <v>0.13700000000000001</v>
      </c>
      <c r="Y19" s="10">
        <v>91.42</v>
      </c>
      <c r="Z19" s="10">
        <v>220.35</v>
      </c>
      <c r="AA19" s="10">
        <v>473.7</v>
      </c>
      <c r="AB19" s="10">
        <v>127.6</v>
      </c>
      <c r="AC19" s="10">
        <v>62.1</v>
      </c>
      <c r="AD19" s="10">
        <v>7.9</v>
      </c>
      <c r="AE19" s="10">
        <v>6.5380000000000003</v>
      </c>
      <c r="AF19" s="10">
        <v>0.67800000000000005</v>
      </c>
      <c r="AG19" s="10">
        <v>192.4</v>
      </c>
      <c r="AH19" s="10">
        <v>19.5</v>
      </c>
      <c r="AI19" s="10">
        <v>4.4889999999999999</v>
      </c>
      <c r="AJ19" s="10">
        <v>1.577</v>
      </c>
      <c r="AK19" s="10">
        <v>22.95</v>
      </c>
      <c r="AL19" s="10">
        <v>1.29</v>
      </c>
      <c r="AM19" s="10">
        <v>3341</v>
      </c>
      <c r="AN19" s="10">
        <v>413</v>
      </c>
      <c r="AO19" s="10">
        <v>1.5820000000000001</v>
      </c>
      <c r="AP19" s="10">
        <v>8.6999999999999994E-2</v>
      </c>
      <c r="AQ19" s="10">
        <v>19.47</v>
      </c>
      <c r="AR19" s="10">
        <v>1.74</v>
      </c>
      <c r="AS19" s="10">
        <v>512.1</v>
      </c>
      <c r="AT19" s="10">
        <v>51</v>
      </c>
      <c r="AU19" s="10">
        <v>241.6</v>
      </c>
      <c r="AV19" s="10">
        <v>35.200000000000003</v>
      </c>
      <c r="AW19" s="10">
        <v>411</v>
      </c>
      <c r="AX19" s="10">
        <v>94</v>
      </c>
      <c r="AY19" s="10">
        <v>2.012</v>
      </c>
      <c r="AZ19" s="10">
        <v>0.128</v>
      </c>
      <c r="BA19" s="10">
        <v>800.8</v>
      </c>
      <c r="BB19" s="10">
        <v>113.2</v>
      </c>
      <c r="BC19" s="10">
        <v>5051</v>
      </c>
      <c r="BD19" s="10">
        <v>291</v>
      </c>
      <c r="BE19" s="10">
        <v>1.2470000000000001</v>
      </c>
      <c r="BF19" s="10">
        <v>8.5999999999999993E-2</v>
      </c>
      <c r="BG19" s="10">
        <v>20.68</v>
      </c>
      <c r="BH19" s="10">
        <v>2.3199999999999998</v>
      </c>
      <c r="BI19" s="10"/>
      <c r="BJ19" s="10"/>
      <c r="BK19" s="10">
        <v>26.53</v>
      </c>
      <c r="BL19" s="10">
        <v>1.03</v>
      </c>
      <c r="BM19" s="10"/>
      <c r="BN19" s="10"/>
      <c r="BO19" s="10">
        <v>407.5</v>
      </c>
      <c r="BP19" s="10">
        <v>110.3</v>
      </c>
      <c r="BQ19" s="10">
        <v>104.8</v>
      </c>
      <c r="BR19" s="10">
        <v>8.3000000000000007</v>
      </c>
    </row>
    <row r="20" spans="1:70" x14ac:dyDescent="0.25">
      <c r="A20" s="44"/>
      <c r="B20" s="16" t="s">
        <v>146</v>
      </c>
      <c r="C20" s="9">
        <v>5031</v>
      </c>
      <c r="D20" s="9">
        <v>233</v>
      </c>
      <c r="E20" s="9" t="s">
        <v>147</v>
      </c>
      <c r="F20" s="9" t="s">
        <v>148</v>
      </c>
      <c r="G20" s="9"/>
      <c r="H20" s="9"/>
      <c r="I20" s="10">
        <v>66.599999999999994</v>
      </c>
      <c r="J20" s="10">
        <v>11.13</v>
      </c>
      <c r="K20" s="10">
        <v>66.78</v>
      </c>
      <c r="L20" s="10">
        <v>7.24</v>
      </c>
      <c r="M20" s="10">
        <v>17.010000000000002</v>
      </c>
      <c r="N20" s="10">
        <v>1.3</v>
      </c>
      <c r="O20" s="10">
        <v>52.4</v>
      </c>
      <c r="P20" s="10">
        <v>5</v>
      </c>
      <c r="Q20" s="10">
        <v>10.220000000000001</v>
      </c>
      <c r="R20" s="10">
        <v>0.98</v>
      </c>
      <c r="S20" s="10">
        <v>6.0650000000000004</v>
      </c>
      <c r="T20" s="10">
        <v>0.38700000000000001</v>
      </c>
      <c r="U20" s="10">
        <v>7.4029999999999996</v>
      </c>
      <c r="V20" s="10">
        <v>6.9429999999999996</v>
      </c>
      <c r="W20" s="10">
        <v>2.4249999999999998</v>
      </c>
      <c r="X20" s="10">
        <v>0.255</v>
      </c>
      <c r="Y20" s="10">
        <v>109.2</v>
      </c>
      <c r="Z20" s="10">
        <v>18.5</v>
      </c>
      <c r="AA20" s="10">
        <v>342.7</v>
      </c>
      <c r="AB20" s="10">
        <v>122.8</v>
      </c>
      <c r="AC20" s="10">
        <v>91.3</v>
      </c>
      <c r="AD20" s="10">
        <v>8.6999999999999993</v>
      </c>
      <c r="AE20" s="10">
        <v>4.827</v>
      </c>
      <c r="AF20" s="10">
        <v>0.67500000000000004</v>
      </c>
      <c r="AG20" s="10">
        <v>73.47</v>
      </c>
      <c r="AH20" s="10">
        <v>8.24</v>
      </c>
      <c r="AI20" s="10">
        <v>57.08</v>
      </c>
      <c r="AJ20" s="10">
        <v>3.39</v>
      </c>
      <c r="AK20" s="10">
        <v>5.0430000000000001</v>
      </c>
      <c r="AL20" s="10">
        <v>0.36</v>
      </c>
      <c r="AM20" s="10">
        <v>824.7</v>
      </c>
      <c r="AN20" s="10">
        <v>201.3</v>
      </c>
      <c r="AO20" s="10">
        <v>2.1429999999999998</v>
      </c>
      <c r="AP20" s="10">
        <v>0.157</v>
      </c>
      <c r="AQ20" s="10">
        <v>791.9</v>
      </c>
      <c r="AR20" s="10">
        <v>79.599999999999994</v>
      </c>
      <c r="AS20" s="10">
        <v>33.03</v>
      </c>
      <c r="AT20" s="10">
        <v>12.31</v>
      </c>
      <c r="AU20" s="10">
        <v>2173</v>
      </c>
      <c r="AV20" s="10">
        <v>178</v>
      </c>
      <c r="AW20" s="10">
        <v>3869</v>
      </c>
      <c r="AX20" s="10">
        <v>337</v>
      </c>
      <c r="AY20" s="10">
        <v>0.83589999999999998</v>
      </c>
      <c r="AZ20" s="10">
        <v>5.1499999999999997E-2</v>
      </c>
      <c r="BA20" s="10">
        <v>133.9</v>
      </c>
      <c r="BB20" s="10">
        <v>32.5</v>
      </c>
      <c r="BC20" s="10">
        <v>16559</v>
      </c>
      <c r="BD20" s="10">
        <v>659</v>
      </c>
      <c r="BE20" s="10">
        <v>1.077</v>
      </c>
      <c r="BF20" s="10">
        <v>0.113</v>
      </c>
      <c r="BG20" s="10">
        <v>7.3</v>
      </c>
      <c r="BH20" s="10">
        <v>1.74</v>
      </c>
      <c r="BI20" s="10">
        <v>20.53</v>
      </c>
      <c r="BJ20" s="10">
        <v>7.09</v>
      </c>
      <c r="BK20" s="10">
        <v>17.079999999999998</v>
      </c>
      <c r="BL20" s="10">
        <v>0.74</v>
      </c>
      <c r="BM20" s="10"/>
      <c r="BN20" s="10"/>
      <c r="BO20" s="10">
        <v>111.2</v>
      </c>
      <c r="BP20" s="10">
        <v>18.5</v>
      </c>
      <c r="BQ20" s="10">
        <v>12.66</v>
      </c>
      <c r="BR20" s="10">
        <v>1.36</v>
      </c>
    </row>
    <row r="21" spans="1:70" x14ac:dyDescent="0.25">
      <c r="A21" s="44"/>
      <c r="B21" s="16" t="s">
        <v>149</v>
      </c>
      <c r="C21" s="9">
        <v>5032</v>
      </c>
      <c r="D21" s="9">
        <v>124</v>
      </c>
      <c r="E21" s="9" t="s">
        <v>111</v>
      </c>
      <c r="F21" s="9" t="s">
        <v>128</v>
      </c>
      <c r="G21" s="9"/>
      <c r="H21" s="9"/>
      <c r="I21" s="10">
        <v>406</v>
      </c>
      <c r="J21" s="10">
        <v>47.2</v>
      </c>
      <c r="K21" s="10">
        <v>44.5</v>
      </c>
      <c r="L21" s="10">
        <v>2.87</v>
      </c>
      <c r="M21" s="10">
        <v>9.9209999999999994</v>
      </c>
      <c r="N21" s="10">
        <v>1.7290000000000001</v>
      </c>
      <c r="O21" s="10">
        <v>39.200000000000003</v>
      </c>
      <c r="P21" s="10">
        <v>11.6</v>
      </c>
      <c r="Q21" s="10">
        <v>19.61</v>
      </c>
      <c r="R21" s="10">
        <v>1.7</v>
      </c>
      <c r="S21" s="10">
        <v>22.86</v>
      </c>
      <c r="T21" s="10">
        <v>1.55</v>
      </c>
      <c r="U21" s="10">
        <v>47.79</v>
      </c>
      <c r="V21" s="10">
        <v>6.41</v>
      </c>
      <c r="W21" s="10">
        <v>5.2560000000000002</v>
      </c>
      <c r="X21" s="10">
        <v>0.20200000000000001</v>
      </c>
      <c r="Y21" s="10">
        <v>264.5</v>
      </c>
      <c r="Z21" s="10">
        <v>63.6</v>
      </c>
      <c r="AA21" s="10">
        <v>822.9</v>
      </c>
      <c r="AB21" s="10">
        <v>201.4</v>
      </c>
      <c r="AC21" s="10">
        <v>61.5</v>
      </c>
      <c r="AD21" s="10">
        <v>8.5</v>
      </c>
      <c r="AE21" s="10">
        <v>4.2210000000000001</v>
      </c>
      <c r="AF21" s="10">
        <v>0.77400000000000002</v>
      </c>
      <c r="AG21" s="10">
        <v>223.9</v>
      </c>
      <c r="AH21" s="10">
        <v>20.5</v>
      </c>
      <c r="AI21" s="10">
        <v>10.3</v>
      </c>
      <c r="AJ21" s="10">
        <v>4.03</v>
      </c>
      <c r="AK21" s="10">
        <v>26.12</v>
      </c>
      <c r="AL21" s="10">
        <v>1.23</v>
      </c>
      <c r="AM21" s="10">
        <v>477</v>
      </c>
      <c r="AN21" s="10">
        <v>57</v>
      </c>
      <c r="AO21" s="10">
        <v>1.625</v>
      </c>
      <c r="AP21" s="10">
        <v>0.107</v>
      </c>
      <c r="AQ21" s="10">
        <v>40.39</v>
      </c>
      <c r="AR21" s="10">
        <v>2.81</v>
      </c>
      <c r="AS21" s="10">
        <v>359.3</v>
      </c>
      <c r="AT21" s="10">
        <v>39.4</v>
      </c>
      <c r="AU21" s="10">
        <v>191.3</v>
      </c>
      <c r="AV21" s="10">
        <v>27.7</v>
      </c>
      <c r="AW21" s="10">
        <v>1147</v>
      </c>
      <c r="AX21" s="10">
        <v>219</v>
      </c>
      <c r="AY21" s="10">
        <v>2.34</v>
      </c>
      <c r="AZ21" s="10">
        <v>0.127</v>
      </c>
      <c r="BA21" s="10">
        <v>828.2</v>
      </c>
      <c r="BB21" s="10">
        <v>116.8</v>
      </c>
      <c r="BC21" s="10">
        <v>1978</v>
      </c>
      <c r="BD21" s="10">
        <v>122</v>
      </c>
      <c r="BE21" s="10">
        <v>2.9710000000000001</v>
      </c>
      <c r="BF21" s="10">
        <v>0.20699999999999999</v>
      </c>
      <c r="BG21" s="10">
        <v>34.799999999999997</v>
      </c>
      <c r="BH21" s="10">
        <v>0.99</v>
      </c>
      <c r="BI21" s="10">
        <v>130.19999999999999</v>
      </c>
      <c r="BJ21" s="10">
        <v>28.1</v>
      </c>
      <c r="BK21" s="10">
        <v>54.11</v>
      </c>
      <c r="BL21" s="10">
        <v>2.58</v>
      </c>
      <c r="BM21" s="10">
        <v>10.4</v>
      </c>
      <c r="BN21" s="10">
        <v>1.27</v>
      </c>
      <c r="BO21" s="10">
        <v>773.4</v>
      </c>
      <c r="BP21" s="10">
        <v>263.89999999999998</v>
      </c>
      <c r="BQ21" s="10">
        <v>19.71</v>
      </c>
      <c r="BR21" s="10">
        <v>1.5</v>
      </c>
    </row>
    <row r="22" spans="1:70" x14ac:dyDescent="0.25">
      <c r="A22" s="44"/>
      <c r="B22" s="16" t="s">
        <v>150</v>
      </c>
      <c r="C22" s="9">
        <v>5033</v>
      </c>
      <c r="D22" s="9">
        <v>212</v>
      </c>
      <c r="E22" s="9" t="s">
        <v>117</v>
      </c>
      <c r="F22" s="9" t="s">
        <v>118</v>
      </c>
      <c r="G22" s="9"/>
      <c r="H22" s="9"/>
      <c r="I22" s="10">
        <v>57.3</v>
      </c>
      <c r="J22" s="10">
        <v>31.38</v>
      </c>
      <c r="K22" s="10">
        <v>17.850000000000001</v>
      </c>
      <c r="L22" s="10">
        <v>1.75</v>
      </c>
      <c r="M22" s="10">
        <v>10.050000000000001</v>
      </c>
      <c r="N22" s="10">
        <v>2.7</v>
      </c>
      <c r="O22" s="10">
        <v>22.6</v>
      </c>
      <c r="P22" s="10">
        <v>1.4</v>
      </c>
      <c r="Q22" s="10">
        <v>5.2549999999999999</v>
      </c>
      <c r="R22" s="10">
        <v>1.855</v>
      </c>
      <c r="S22" s="10">
        <v>7.1349999999999998</v>
      </c>
      <c r="T22" s="10">
        <v>0.54300000000000004</v>
      </c>
      <c r="U22" s="10">
        <v>40.090000000000003</v>
      </c>
      <c r="V22" s="10">
        <v>5.97</v>
      </c>
      <c r="W22" s="10">
        <v>6.33</v>
      </c>
      <c r="X22" s="10">
        <v>0.19700000000000001</v>
      </c>
      <c r="Y22" s="10">
        <v>30.56</v>
      </c>
      <c r="Z22" s="10">
        <v>21.35</v>
      </c>
      <c r="AA22" s="10">
        <v>279.8</v>
      </c>
      <c r="AB22" s="10">
        <v>98.2</v>
      </c>
      <c r="AC22" s="10">
        <v>128</v>
      </c>
      <c r="AD22" s="10">
        <v>12</v>
      </c>
      <c r="AE22" s="10">
        <v>5.9770000000000003</v>
      </c>
      <c r="AF22" s="10">
        <v>0.88200000000000001</v>
      </c>
      <c r="AG22" s="10">
        <v>85.88</v>
      </c>
      <c r="AH22" s="10">
        <v>9.5500000000000007</v>
      </c>
      <c r="AI22" s="10">
        <v>27.82</v>
      </c>
      <c r="AJ22" s="10">
        <v>4.2300000000000004</v>
      </c>
      <c r="AK22" s="10">
        <v>9.9749999999999996</v>
      </c>
      <c r="AL22" s="10">
        <v>0.71899999999999997</v>
      </c>
      <c r="AM22" s="10">
        <v>61.05</v>
      </c>
      <c r="AN22" s="10">
        <v>12.3</v>
      </c>
      <c r="AO22" s="10">
        <v>2.9889999999999999</v>
      </c>
      <c r="AP22" s="10">
        <v>0.253</v>
      </c>
      <c r="AQ22" s="10">
        <v>457.7</v>
      </c>
      <c r="AR22" s="10">
        <v>50.5</v>
      </c>
      <c r="AS22" s="10">
        <v>122.9</v>
      </c>
      <c r="AT22" s="10">
        <v>19.899999999999999</v>
      </c>
      <c r="AU22" s="10">
        <v>70.290000000000006</v>
      </c>
      <c r="AV22" s="10">
        <v>20.67</v>
      </c>
      <c r="AW22" s="10">
        <v>1044</v>
      </c>
      <c r="AX22" s="10">
        <v>134</v>
      </c>
      <c r="AY22" s="10">
        <v>1.6</v>
      </c>
      <c r="AZ22" s="10">
        <v>0.11600000000000001</v>
      </c>
      <c r="BA22" s="10">
        <v>194.5</v>
      </c>
      <c r="BB22" s="10">
        <v>44.78</v>
      </c>
      <c r="BC22" s="10">
        <v>11400</v>
      </c>
      <c r="BD22" s="10">
        <v>569</v>
      </c>
      <c r="BE22" s="10">
        <v>1.7889999999999999</v>
      </c>
      <c r="BF22" s="10">
        <v>0.128</v>
      </c>
      <c r="BG22" s="10">
        <v>6.8550000000000004</v>
      </c>
      <c r="BH22" s="10">
        <v>2.75</v>
      </c>
      <c r="BI22" s="10">
        <v>379.8</v>
      </c>
      <c r="BJ22" s="10">
        <v>38.700000000000003</v>
      </c>
      <c r="BK22" s="10">
        <v>18.25</v>
      </c>
      <c r="BL22" s="10">
        <v>1.45</v>
      </c>
      <c r="BM22" s="10"/>
      <c r="BN22" s="10"/>
      <c r="BO22" s="10">
        <v>174.2</v>
      </c>
      <c r="BP22" s="10">
        <v>27.3</v>
      </c>
      <c r="BQ22" s="10">
        <v>16.329999999999998</v>
      </c>
      <c r="BR22" s="10">
        <v>1.79</v>
      </c>
    </row>
    <row r="23" spans="1:70" s="19" customFormat="1" x14ac:dyDescent="0.25">
      <c r="A23" s="44">
        <v>2017</v>
      </c>
      <c r="B23" s="17" t="s">
        <v>151</v>
      </c>
      <c r="C23" s="9">
        <v>5091</v>
      </c>
      <c r="D23" s="9">
        <v>238</v>
      </c>
      <c r="E23" s="18" t="s">
        <v>152</v>
      </c>
      <c r="F23" s="9" t="s">
        <v>131</v>
      </c>
      <c r="G23" s="9"/>
      <c r="H23" s="9"/>
      <c r="I23" s="10">
        <v>12.91</v>
      </c>
      <c r="J23" s="10">
        <v>13.47</v>
      </c>
      <c r="K23" s="10">
        <v>26.13</v>
      </c>
      <c r="L23" s="10">
        <v>2.5499999999999998</v>
      </c>
      <c r="M23" s="10">
        <v>24.83</v>
      </c>
      <c r="N23" s="10">
        <v>2.17</v>
      </c>
      <c r="O23" s="10">
        <v>3.37</v>
      </c>
      <c r="P23" s="10">
        <v>1.1599999999999999</v>
      </c>
      <c r="Q23" s="10">
        <v>2485</v>
      </c>
      <c r="R23" s="10">
        <v>2485</v>
      </c>
      <c r="S23" s="10">
        <v>7.0839999999999996</v>
      </c>
      <c r="T23" s="10">
        <v>0.42299999999999999</v>
      </c>
      <c r="U23" s="10">
        <v>10.37</v>
      </c>
      <c r="V23" s="10">
        <v>12.43</v>
      </c>
      <c r="W23" s="14">
        <v>9.8089999999999993</v>
      </c>
      <c r="X23" s="14">
        <v>0.65800000000000003</v>
      </c>
      <c r="Y23" s="10">
        <v>79.77</v>
      </c>
      <c r="Z23" s="10">
        <v>12.63</v>
      </c>
      <c r="AA23" s="10">
        <v>631.5</v>
      </c>
      <c r="AB23" s="10">
        <v>155.9</v>
      </c>
      <c r="AC23" s="10">
        <v>41.65</v>
      </c>
      <c r="AD23" s="10">
        <v>8.23</v>
      </c>
      <c r="AE23" s="10">
        <v>11.06</v>
      </c>
      <c r="AF23" s="10">
        <v>0.81</v>
      </c>
      <c r="AG23" s="10">
        <v>93.94</v>
      </c>
      <c r="AH23" s="10">
        <v>9.0500000000000007</v>
      </c>
      <c r="AI23" s="10">
        <v>7.76</v>
      </c>
      <c r="AJ23" s="10">
        <v>2.282</v>
      </c>
      <c r="AK23" s="10">
        <v>39.01</v>
      </c>
      <c r="AL23" s="10">
        <v>2.72</v>
      </c>
      <c r="AM23" s="10" t="s">
        <v>140</v>
      </c>
      <c r="AN23" s="10" t="s">
        <v>140</v>
      </c>
      <c r="AO23" s="10">
        <v>3.0859999999999999</v>
      </c>
      <c r="AP23" s="10">
        <v>0.184</v>
      </c>
      <c r="AQ23" s="10">
        <v>916.3</v>
      </c>
      <c r="AR23" s="10">
        <v>72.599999999999994</v>
      </c>
      <c r="AS23" s="10">
        <v>358.1</v>
      </c>
      <c r="AT23" s="10">
        <v>29.7</v>
      </c>
      <c r="AU23" s="10">
        <v>95.06</v>
      </c>
      <c r="AV23" s="10">
        <v>17.07</v>
      </c>
      <c r="AW23" s="10">
        <v>648.9</v>
      </c>
      <c r="AX23" s="10">
        <v>73.400000000000006</v>
      </c>
      <c r="AY23" s="10">
        <v>2.0950000000000002</v>
      </c>
      <c r="AZ23" s="10">
        <v>0.13500000000000001</v>
      </c>
      <c r="BA23" s="10">
        <v>63.83</v>
      </c>
      <c r="BB23" s="10">
        <v>34.549999999999997</v>
      </c>
      <c r="BC23" s="10">
        <v>11546</v>
      </c>
      <c r="BD23" s="10">
        <v>1012</v>
      </c>
      <c r="BE23" s="10">
        <v>2.3769999999999998</v>
      </c>
      <c r="BF23" s="10">
        <v>0.187</v>
      </c>
      <c r="BG23" s="10">
        <v>14.63</v>
      </c>
      <c r="BH23" s="10">
        <v>6.89</v>
      </c>
      <c r="BI23" s="10">
        <v>43.21</v>
      </c>
      <c r="BJ23" s="10">
        <v>22.66</v>
      </c>
      <c r="BK23" s="10">
        <v>21</v>
      </c>
      <c r="BL23" s="10">
        <v>2.37</v>
      </c>
      <c r="BM23" s="10" t="s">
        <v>140</v>
      </c>
      <c r="BN23" s="10" t="s">
        <v>140</v>
      </c>
      <c r="BO23" s="10">
        <v>67.59</v>
      </c>
      <c r="BP23" s="10">
        <v>27.82</v>
      </c>
      <c r="BQ23" s="10">
        <v>22.68</v>
      </c>
      <c r="BR23" s="10">
        <v>1.65</v>
      </c>
    </row>
    <row r="24" spans="1:70" s="19" customFormat="1" x14ac:dyDescent="0.25">
      <c r="A24" s="44"/>
      <c r="B24" s="17" t="s">
        <v>153</v>
      </c>
      <c r="C24" s="9">
        <v>5092</v>
      </c>
      <c r="D24" s="9">
        <v>159</v>
      </c>
      <c r="E24" s="9" t="s">
        <v>111</v>
      </c>
      <c r="F24" s="9" t="s">
        <v>112</v>
      </c>
      <c r="G24" s="9"/>
      <c r="H24" s="9"/>
      <c r="I24" s="10">
        <v>2154</v>
      </c>
      <c r="J24" s="10">
        <v>408</v>
      </c>
      <c r="K24" s="10">
        <v>36.79</v>
      </c>
      <c r="L24" s="10">
        <v>3.31</v>
      </c>
      <c r="M24" s="10">
        <v>12.35</v>
      </c>
      <c r="N24" s="10">
        <v>7.69</v>
      </c>
      <c r="O24" s="10">
        <v>121.5</v>
      </c>
      <c r="P24" s="10">
        <v>23.5</v>
      </c>
      <c r="Q24" s="10">
        <v>18.399999999999999</v>
      </c>
      <c r="R24" s="10">
        <v>8.4</v>
      </c>
      <c r="S24" s="10">
        <v>16.53</v>
      </c>
      <c r="T24" s="10">
        <v>0.94</v>
      </c>
      <c r="U24" s="10">
        <v>127.1</v>
      </c>
      <c r="V24" s="10">
        <v>15.6</v>
      </c>
      <c r="W24" s="14">
        <v>5.5220000000000002</v>
      </c>
      <c r="X24" s="14">
        <v>0.35</v>
      </c>
      <c r="Y24" s="10">
        <v>749.4</v>
      </c>
      <c r="Z24" s="10">
        <v>327.10000000000002</v>
      </c>
      <c r="AA24" s="10">
        <v>4171</v>
      </c>
      <c r="AB24" s="10">
        <v>1816</v>
      </c>
      <c r="AC24" s="10">
        <v>194.5</v>
      </c>
      <c r="AD24" s="10">
        <v>39.6</v>
      </c>
      <c r="AE24" s="10">
        <v>9.2149999999999999</v>
      </c>
      <c r="AF24" s="10">
        <v>0.85299999999999998</v>
      </c>
      <c r="AG24" s="10">
        <v>923.1</v>
      </c>
      <c r="AH24" s="10">
        <v>149.30000000000001</v>
      </c>
      <c r="AI24" s="10">
        <v>12.23</v>
      </c>
      <c r="AJ24" s="10">
        <v>1.27</v>
      </c>
      <c r="AK24" s="10">
        <v>21.87</v>
      </c>
      <c r="AL24" s="10">
        <v>1.51</v>
      </c>
      <c r="AM24" s="10">
        <v>1311</v>
      </c>
      <c r="AN24" s="10">
        <v>411</v>
      </c>
      <c r="AO24" s="10">
        <v>1.845</v>
      </c>
      <c r="AP24" s="10">
        <v>0.114</v>
      </c>
      <c r="AQ24" s="10">
        <v>34.68</v>
      </c>
      <c r="AR24" s="10">
        <v>3.55</v>
      </c>
      <c r="AS24" s="10">
        <v>2843</v>
      </c>
      <c r="AT24" s="10">
        <v>273</v>
      </c>
      <c r="AU24" s="10">
        <v>1043</v>
      </c>
      <c r="AV24" s="10">
        <v>107</v>
      </c>
      <c r="AW24" s="10">
        <v>2178</v>
      </c>
      <c r="AX24" s="10">
        <v>521</v>
      </c>
      <c r="AY24" s="10">
        <v>2.8769999999999998</v>
      </c>
      <c r="AZ24" s="10">
        <v>0.14899999999999999</v>
      </c>
      <c r="BA24" s="10">
        <v>1519</v>
      </c>
      <c r="BB24" s="10">
        <v>186</v>
      </c>
      <c r="BC24" s="10">
        <v>11567</v>
      </c>
      <c r="BD24" s="10">
        <v>1404</v>
      </c>
      <c r="BE24" s="10">
        <v>2.964</v>
      </c>
      <c r="BF24" s="10">
        <v>0.218</v>
      </c>
      <c r="BG24" s="10">
        <v>120.3</v>
      </c>
      <c r="BH24" s="10">
        <v>28.4</v>
      </c>
      <c r="BI24" s="10">
        <v>597</v>
      </c>
      <c r="BJ24" s="10">
        <v>69.5</v>
      </c>
      <c r="BK24" s="10">
        <v>55.91</v>
      </c>
      <c r="BL24" s="10">
        <v>7.18</v>
      </c>
      <c r="BM24" s="10">
        <v>60.94</v>
      </c>
      <c r="BN24" s="10">
        <v>51.34</v>
      </c>
      <c r="BO24" s="10">
        <v>3578</v>
      </c>
      <c r="BP24" s="10">
        <v>1831</v>
      </c>
      <c r="BQ24" s="10">
        <v>19.71</v>
      </c>
      <c r="BR24" s="10">
        <v>1.71</v>
      </c>
    </row>
    <row r="25" spans="1:70" s="19" customFormat="1" x14ac:dyDescent="0.25">
      <c r="A25" s="44"/>
      <c r="B25" s="17" t="s">
        <v>154</v>
      </c>
      <c r="C25" s="9">
        <v>5093</v>
      </c>
      <c r="D25" s="9">
        <v>215</v>
      </c>
      <c r="E25" s="9" t="s">
        <v>155</v>
      </c>
      <c r="F25" s="9" t="s">
        <v>112</v>
      </c>
      <c r="G25" s="9"/>
      <c r="H25" s="9"/>
      <c r="I25" s="10">
        <v>16.04</v>
      </c>
      <c r="J25" s="10">
        <v>2.97</v>
      </c>
      <c r="K25" s="10">
        <v>29.11</v>
      </c>
      <c r="L25" s="10">
        <v>2.66</v>
      </c>
      <c r="M25" s="10">
        <v>0.73029999999999995</v>
      </c>
      <c r="N25" s="10">
        <v>0.27650000000000002</v>
      </c>
      <c r="O25" s="10">
        <v>1.05</v>
      </c>
      <c r="P25" s="9" t="s">
        <v>140</v>
      </c>
      <c r="Q25" s="10">
        <v>1.63</v>
      </c>
      <c r="R25" s="10">
        <v>0.61</v>
      </c>
      <c r="S25" s="10">
        <v>14.45</v>
      </c>
      <c r="T25" s="10">
        <v>0.83</v>
      </c>
      <c r="U25" s="10">
        <v>21.71</v>
      </c>
      <c r="V25" s="10">
        <v>3.86</v>
      </c>
      <c r="W25" s="14">
        <v>0.67530000000000001</v>
      </c>
      <c r="X25" s="14">
        <v>0.15459999999999999</v>
      </c>
      <c r="Y25" s="10">
        <v>62.42</v>
      </c>
      <c r="Z25" s="10">
        <v>12.25</v>
      </c>
      <c r="AA25" s="10">
        <v>469.2</v>
      </c>
      <c r="AB25" s="10">
        <v>161.19999999999999</v>
      </c>
      <c r="AC25" s="10" t="s">
        <v>140</v>
      </c>
      <c r="AD25" s="10" t="s">
        <v>140</v>
      </c>
      <c r="AE25" s="10">
        <v>3.298</v>
      </c>
      <c r="AF25" s="10">
        <v>0.45100000000000001</v>
      </c>
      <c r="AG25" s="10">
        <v>89.92</v>
      </c>
      <c r="AH25" s="10">
        <v>8.14</v>
      </c>
      <c r="AI25" s="10">
        <v>15.33</v>
      </c>
      <c r="AJ25" s="10">
        <v>1.18</v>
      </c>
      <c r="AK25" s="10">
        <v>48.83</v>
      </c>
      <c r="AL25" s="10">
        <v>4.08</v>
      </c>
      <c r="AM25" s="10">
        <v>484.1</v>
      </c>
      <c r="AN25" s="10">
        <v>110.2</v>
      </c>
      <c r="AO25" s="10">
        <v>3.5569999999999999</v>
      </c>
      <c r="AP25" s="10">
        <v>0.24</v>
      </c>
      <c r="AQ25" s="10">
        <v>140.80000000000001</v>
      </c>
      <c r="AR25" s="10">
        <v>10.7</v>
      </c>
      <c r="AS25" s="10">
        <v>1119</v>
      </c>
      <c r="AT25" s="10">
        <v>134</v>
      </c>
      <c r="AU25" s="10">
        <v>28.44</v>
      </c>
      <c r="AV25" s="10">
        <v>11.94</v>
      </c>
      <c r="AW25" s="10">
        <v>146.1</v>
      </c>
      <c r="AX25" s="10">
        <v>73.5</v>
      </c>
      <c r="AY25" s="10">
        <v>2.7890000000000001</v>
      </c>
      <c r="AZ25" s="10">
        <v>0.14899999999999999</v>
      </c>
      <c r="BA25" s="10">
        <v>133.30000000000001</v>
      </c>
      <c r="BB25" s="10">
        <v>54.2</v>
      </c>
      <c r="BC25" s="10">
        <v>3191</v>
      </c>
      <c r="BD25" s="10">
        <v>568</v>
      </c>
      <c r="BE25" s="10">
        <v>4.726</v>
      </c>
      <c r="BF25" s="10">
        <v>0.36099999999999999</v>
      </c>
      <c r="BG25" s="10">
        <v>16.55</v>
      </c>
      <c r="BH25" s="10">
        <v>6.67</v>
      </c>
      <c r="BI25" s="10">
        <v>42.17</v>
      </c>
      <c r="BJ25" s="10">
        <v>50.47</v>
      </c>
      <c r="BK25" s="10">
        <v>6.8719999999999999</v>
      </c>
      <c r="BL25" s="10">
        <v>0.73099999999999998</v>
      </c>
      <c r="BM25" s="10" t="s">
        <v>140</v>
      </c>
      <c r="BN25" s="10" t="s">
        <v>140</v>
      </c>
      <c r="BO25" s="10" t="s">
        <v>140</v>
      </c>
      <c r="BP25" s="10" t="s">
        <v>140</v>
      </c>
      <c r="BQ25" s="10">
        <v>53.52</v>
      </c>
      <c r="BR25" s="10">
        <v>4.3</v>
      </c>
    </row>
    <row r="26" spans="1:70" s="19" customFormat="1" x14ac:dyDescent="0.25">
      <c r="A26" s="44"/>
      <c r="B26" s="17" t="s">
        <v>156</v>
      </c>
      <c r="C26" s="20">
        <v>5094</v>
      </c>
      <c r="D26" s="20">
        <v>203</v>
      </c>
      <c r="E26" s="20" t="s">
        <v>157</v>
      </c>
      <c r="F26" s="9" t="s">
        <v>115</v>
      </c>
      <c r="G26" s="20"/>
      <c r="H26" s="20"/>
      <c r="I26" s="11">
        <v>40</v>
      </c>
      <c r="J26" s="11">
        <v>14.28</v>
      </c>
      <c r="K26" s="11">
        <v>50.23</v>
      </c>
      <c r="L26" s="11">
        <v>4.13</v>
      </c>
      <c r="M26" s="11">
        <v>5.6555</v>
      </c>
      <c r="N26" s="11">
        <v>0.625</v>
      </c>
      <c r="O26" s="11">
        <v>2.375</v>
      </c>
      <c r="P26" s="11">
        <v>1.095</v>
      </c>
      <c r="Q26" s="11">
        <v>1.25</v>
      </c>
      <c r="R26" s="11">
        <v>0.66900000000000004</v>
      </c>
      <c r="S26" s="11">
        <v>17.98</v>
      </c>
      <c r="T26" s="11">
        <v>1.03</v>
      </c>
      <c r="U26" s="11">
        <v>144.30000000000001</v>
      </c>
      <c r="V26" s="11">
        <v>22.3</v>
      </c>
      <c r="W26" s="14">
        <v>1.994</v>
      </c>
      <c r="X26" s="14">
        <v>0.16300000000000001</v>
      </c>
      <c r="Y26" s="11">
        <v>65.069999999999993</v>
      </c>
      <c r="Z26" s="11">
        <v>12.9</v>
      </c>
      <c r="AA26" s="11">
        <v>2761</v>
      </c>
      <c r="AB26" s="11">
        <v>409</v>
      </c>
      <c r="AC26" s="11">
        <v>79.14</v>
      </c>
      <c r="AD26" s="11">
        <v>13.28</v>
      </c>
      <c r="AE26" s="11">
        <v>2.5910000000000002</v>
      </c>
      <c r="AF26" s="11">
        <v>0.439</v>
      </c>
      <c r="AG26" s="11">
        <v>67.040000000000006</v>
      </c>
      <c r="AH26" s="11">
        <v>7.03</v>
      </c>
      <c r="AI26" s="11">
        <v>9.9689999999999994</v>
      </c>
      <c r="AJ26" s="11">
        <v>0.92700000000000005</v>
      </c>
      <c r="AK26" s="11">
        <v>47.79</v>
      </c>
      <c r="AL26" s="11">
        <v>3.49</v>
      </c>
      <c r="AM26" s="11">
        <v>672.8</v>
      </c>
      <c r="AN26" s="11">
        <v>131.1</v>
      </c>
      <c r="AO26" s="11">
        <v>4.7370000000000001</v>
      </c>
      <c r="AP26" s="11">
        <v>0.33600000000000002</v>
      </c>
      <c r="AQ26" s="11">
        <v>66.209999999999994</v>
      </c>
      <c r="AR26" s="11">
        <v>3.7</v>
      </c>
      <c r="AS26" s="11">
        <v>14914</v>
      </c>
      <c r="AT26" s="11">
        <v>1998</v>
      </c>
      <c r="AU26" s="11">
        <v>1016</v>
      </c>
      <c r="AV26" s="11">
        <v>78</v>
      </c>
      <c r="AW26" s="11">
        <v>189.8</v>
      </c>
      <c r="AX26" s="11">
        <v>111.5</v>
      </c>
      <c r="AY26" s="11">
        <v>4.9009999999999998</v>
      </c>
      <c r="AZ26" s="11">
        <v>0.27600000000000002</v>
      </c>
      <c r="BA26" s="11">
        <v>236.7</v>
      </c>
      <c r="BB26" s="11">
        <v>37.6</v>
      </c>
      <c r="BC26" s="11">
        <v>21768</v>
      </c>
      <c r="BD26" s="11">
        <v>3102</v>
      </c>
      <c r="BE26" s="11">
        <v>8.4580000000000002</v>
      </c>
      <c r="BF26" s="11">
        <v>0.68200000000000005</v>
      </c>
      <c r="BG26" s="11">
        <v>38.86</v>
      </c>
      <c r="BH26" s="11">
        <v>12.32</v>
      </c>
      <c r="BI26" s="11">
        <v>65.28</v>
      </c>
      <c r="BJ26" s="11">
        <v>40.72</v>
      </c>
      <c r="BK26" s="11">
        <v>32.56</v>
      </c>
      <c r="BL26" s="11">
        <v>4.8899999999999997</v>
      </c>
      <c r="BM26" s="11" t="s">
        <v>140</v>
      </c>
      <c r="BN26" s="11" t="s">
        <v>140</v>
      </c>
      <c r="BO26" s="11" t="s">
        <v>140</v>
      </c>
      <c r="BP26" s="11" t="s">
        <v>140</v>
      </c>
      <c r="BQ26" s="11">
        <v>50.82</v>
      </c>
      <c r="BR26" s="11">
        <v>3.71</v>
      </c>
    </row>
    <row r="27" spans="1:70" s="24" customFormat="1" x14ac:dyDescent="0.25">
      <c r="A27" s="21"/>
      <c r="B27" s="22" t="s">
        <v>158</v>
      </c>
      <c r="C27" s="9"/>
      <c r="D27" s="9" t="s">
        <v>159</v>
      </c>
      <c r="E27" s="9" t="s">
        <v>160</v>
      </c>
      <c r="F27" s="9"/>
      <c r="G27" s="9">
        <v>598000</v>
      </c>
      <c r="H27" s="9">
        <v>12000</v>
      </c>
      <c r="I27" s="10">
        <v>112</v>
      </c>
      <c r="J27" s="10">
        <v>4</v>
      </c>
      <c r="K27" s="10">
        <v>33.299999999999997</v>
      </c>
      <c r="L27" s="10">
        <v>0.7</v>
      </c>
      <c r="M27" s="10">
        <v>63</v>
      </c>
      <c r="N27" s="10"/>
      <c r="O27" s="10"/>
      <c r="P27" s="10"/>
      <c r="Q27" s="10"/>
      <c r="R27" s="10"/>
      <c r="S27" s="23">
        <v>50.5</v>
      </c>
      <c r="T27" s="23">
        <v>0.9</v>
      </c>
      <c r="U27" s="10">
        <v>1520</v>
      </c>
      <c r="V27" s="10">
        <v>40</v>
      </c>
      <c r="W27" s="10">
        <v>6.6</v>
      </c>
      <c r="X27" s="10"/>
      <c r="Y27" s="10">
        <v>570</v>
      </c>
      <c r="Z27" s="10">
        <v>20</v>
      </c>
      <c r="AA27" s="10">
        <v>1990</v>
      </c>
      <c r="AB27" s="10">
        <v>60</v>
      </c>
      <c r="AC27" s="10">
        <v>53</v>
      </c>
      <c r="AD27" s="10"/>
      <c r="AE27" s="10">
        <v>368</v>
      </c>
      <c r="AF27" s="10">
        <v>7</v>
      </c>
      <c r="AG27" s="10"/>
      <c r="AH27" s="10"/>
      <c r="AI27" s="10">
        <v>34</v>
      </c>
      <c r="AJ27" s="10">
        <v>4</v>
      </c>
      <c r="AK27" s="23">
        <v>27</v>
      </c>
      <c r="AL27" s="23">
        <v>0.5</v>
      </c>
      <c r="AM27" s="10"/>
      <c r="AN27" s="10"/>
      <c r="AO27" s="10"/>
      <c r="AP27" s="10"/>
      <c r="AQ27" s="10">
        <v>246</v>
      </c>
      <c r="AR27" s="10">
        <v>8</v>
      </c>
      <c r="AS27" s="10">
        <v>460</v>
      </c>
      <c r="AT27" s="10"/>
      <c r="AU27" s="10">
        <v>136</v>
      </c>
      <c r="AV27" s="10">
        <v>4</v>
      </c>
      <c r="AW27" s="10">
        <v>1590</v>
      </c>
      <c r="AX27" s="10">
        <v>70</v>
      </c>
      <c r="AY27" s="23">
        <v>2.16</v>
      </c>
      <c r="AZ27" s="23">
        <v>0.04</v>
      </c>
      <c r="BA27" s="10"/>
      <c r="BB27" s="10"/>
      <c r="BC27" s="10">
        <v>14890</v>
      </c>
      <c r="BD27" s="10">
        <v>270</v>
      </c>
      <c r="BE27" s="10"/>
      <c r="BF27" s="10"/>
      <c r="BG27" s="10">
        <v>63</v>
      </c>
      <c r="BH27" s="10">
        <v>6</v>
      </c>
      <c r="BI27" s="10">
        <v>54</v>
      </c>
      <c r="BJ27" s="10">
        <v>3</v>
      </c>
      <c r="BK27" s="10">
        <v>85</v>
      </c>
      <c r="BL27" s="10"/>
      <c r="BM27" s="10"/>
      <c r="BN27" s="10"/>
      <c r="BO27" s="10">
        <v>835</v>
      </c>
      <c r="BP27" s="10">
        <v>10</v>
      </c>
      <c r="BQ27" s="10">
        <v>30.9</v>
      </c>
      <c r="BR27" s="10">
        <v>0.7</v>
      </c>
    </row>
    <row r="28" spans="1:70" x14ac:dyDescent="0.25">
      <c r="A28" s="3"/>
      <c r="B28" s="25" t="s">
        <v>161</v>
      </c>
      <c r="C28" s="9"/>
      <c r="D28" s="9"/>
      <c r="E28" s="9" t="s">
        <v>162</v>
      </c>
      <c r="F28" s="9"/>
      <c r="G28" s="9"/>
      <c r="H28" s="9"/>
      <c r="I28" s="10">
        <v>10200</v>
      </c>
      <c r="J28" s="10">
        <v>500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>
        <v>19400</v>
      </c>
      <c r="V28" s="10">
        <v>600</v>
      </c>
      <c r="W28" s="10"/>
      <c r="X28" s="10"/>
      <c r="Y28" s="10"/>
      <c r="Z28" s="10"/>
      <c r="AA28" s="10"/>
      <c r="AB28" s="10"/>
      <c r="AC28" s="10"/>
      <c r="AD28" s="10"/>
      <c r="AE28" s="10">
        <v>31200</v>
      </c>
      <c r="AF28" s="10">
        <v>1000</v>
      </c>
      <c r="AG28" s="10">
        <v>1484</v>
      </c>
      <c r="AH28" s="10">
        <v>57</v>
      </c>
      <c r="AI28" s="10">
        <v>3370</v>
      </c>
      <c r="AJ28" s="10">
        <v>140</v>
      </c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>
        <v>2720</v>
      </c>
      <c r="AX28" s="10">
        <v>350</v>
      </c>
      <c r="AY28" s="10"/>
      <c r="AZ28" s="10"/>
      <c r="BA28" s="10">
        <v>319</v>
      </c>
      <c r="BB28" s="10">
        <v>45</v>
      </c>
      <c r="BC28" s="10"/>
      <c r="BD28" s="10"/>
      <c r="BE28" s="10"/>
      <c r="BF28" s="10"/>
      <c r="BG28" s="10"/>
      <c r="BH28" s="10"/>
      <c r="BI28" s="10">
        <v>7060</v>
      </c>
      <c r="BJ28" s="10">
        <v>480</v>
      </c>
      <c r="BK28" s="10"/>
      <c r="BL28" s="10"/>
      <c r="BM28" s="10"/>
      <c r="BN28" s="10"/>
      <c r="BO28" s="10"/>
      <c r="BP28" s="10"/>
      <c r="BQ28" s="10">
        <v>86600</v>
      </c>
      <c r="BR28" s="10">
        <v>2400</v>
      </c>
    </row>
    <row r="29" spans="1:70" x14ac:dyDescent="0.25">
      <c r="A29" s="3"/>
      <c r="B29" s="25" t="s">
        <v>163</v>
      </c>
      <c r="C29" s="9"/>
      <c r="D29" s="9"/>
      <c r="E29" s="20" t="s">
        <v>164</v>
      </c>
      <c r="F29" s="20"/>
      <c r="G29" s="9"/>
      <c r="H29" s="9"/>
      <c r="I29" s="10"/>
      <c r="J29" s="10"/>
      <c r="K29" s="10"/>
      <c r="L29" s="10"/>
      <c r="M29" s="10">
        <v>11</v>
      </c>
      <c r="N29" s="10">
        <v>0.5</v>
      </c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>
        <v>5.67</v>
      </c>
      <c r="AF29" s="10">
        <v>0.18</v>
      </c>
      <c r="AG29" s="10">
        <v>148</v>
      </c>
      <c r="AH29" s="10">
        <v>3.9</v>
      </c>
      <c r="AI29" s="10"/>
      <c r="AJ29" s="10"/>
      <c r="AK29" s="10">
        <v>32.5</v>
      </c>
      <c r="AL29" s="10">
        <v>0.69</v>
      </c>
      <c r="AM29" s="10"/>
      <c r="AN29" s="10"/>
      <c r="AO29" s="10">
        <v>2.16</v>
      </c>
      <c r="AP29" s="10">
        <v>0.05</v>
      </c>
      <c r="AQ29" s="10">
        <v>31.9</v>
      </c>
      <c r="AR29" s="10">
        <v>0.6</v>
      </c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>
        <v>49.5</v>
      </c>
      <c r="BL29" s="10">
        <v>1.4</v>
      </c>
      <c r="BM29" s="10"/>
      <c r="BN29" s="10"/>
      <c r="BO29" s="10"/>
      <c r="BP29" s="10"/>
      <c r="BQ29" s="10">
        <v>38.6</v>
      </c>
      <c r="BR29" s="10">
        <v>0.7</v>
      </c>
    </row>
    <row r="30" spans="1:70" x14ac:dyDescent="0.25">
      <c r="A30" s="3"/>
      <c r="B30" s="2" t="s">
        <v>165</v>
      </c>
      <c r="C30" s="9"/>
      <c r="D30" s="9"/>
      <c r="E30" s="9" t="s">
        <v>165</v>
      </c>
      <c r="F30" s="9"/>
      <c r="G30" s="9">
        <v>284500</v>
      </c>
      <c r="H30" s="9">
        <v>5800</v>
      </c>
      <c r="I30" s="10"/>
      <c r="J30" s="10"/>
      <c r="K30" s="10">
        <v>27.6</v>
      </c>
      <c r="L30" s="10">
        <v>2.8</v>
      </c>
      <c r="M30" s="10">
        <v>48.8</v>
      </c>
      <c r="N30" s="10">
        <v>2.2999999999999998</v>
      </c>
      <c r="O30" s="10"/>
      <c r="P30" s="10"/>
      <c r="Q30" s="10"/>
      <c r="R30" s="10"/>
      <c r="S30" s="10">
        <v>15.25</v>
      </c>
      <c r="T30" s="10">
        <v>0.1</v>
      </c>
      <c r="U30" s="10">
        <v>13.2</v>
      </c>
      <c r="V30" s="10">
        <v>1.5</v>
      </c>
      <c r="W30" s="10">
        <v>0.58199999999999996</v>
      </c>
      <c r="X30" s="10">
        <v>1.4999999999999999E-2</v>
      </c>
      <c r="Y30" s="10">
        <v>90</v>
      </c>
      <c r="Z30" s="10"/>
      <c r="AA30" s="10">
        <v>300</v>
      </c>
      <c r="AB30" s="10"/>
      <c r="AC30" s="10"/>
      <c r="AD30" s="10"/>
      <c r="AE30" s="10">
        <v>5.69</v>
      </c>
      <c r="AF30" s="10">
        <v>0.13</v>
      </c>
      <c r="AG30" s="10">
        <v>82.7</v>
      </c>
      <c r="AH30" s="10">
        <v>2.6</v>
      </c>
      <c r="AI30" s="10">
        <v>43.2</v>
      </c>
      <c r="AJ30" s="10">
        <v>2.2999999999999998</v>
      </c>
      <c r="AK30" s="10">
        <v>16.079999999999998</v>
      </c>
      <c r="AL30" s="10">
        <v>0.21</v>
      </c>
      <c r="AM30" s="10"/>
      <c r="AN30" s="10"/>
      <c r="AO30" s="10">
        <v>2.71</v>
      </c>
      <c r="AP30" s="10">
        <v>0.12</v>
      </c>
      <c r="AQ30" s="10">
        <v>54.1</v>
      </c>
      <c r="AR30" s="10">
        <v>1.1000000000000001</v>
      </c>
      <c r="AS30" s="10">
        <v>95</v>
      </c>
      <c r="AT30" s="10">
        <v>11</v>
      </c>
      <c r="AU30" s="10">
        <v>24.4</v>
      </c>
      <c r="AV30" s="10">
        <v>2.1</v>
      </c>
      <c r="AW30" s="10">
        <v>936</v>
      </c>
      <c r="AX30" s="10">
        <v>94</v>
      </c>
      <c r="AY30" s="10">
        <v>1.593</v>
      </c>
      <c r="AZ30" s="10">
        <v>6.8000000000000005E-2</v>
      </c>
      <c r="BA30" s="10">
        <v>470</v>
      </c>
      <c r="BB30" s="10">
        <v>24</v>
      </c>
      <c r="BC30" s="10">
        <v>10200</v>
      </c>
      <c r="BD30" s="10">
        <v>1600</v>
      </c>
      <c r="BE30" s="10">
        <v>1.8</v>
      </c>
      <c r="BF30" s="10"/>
      <c r="BG30" s="10">
        <v>13</v>
      </c>
      <c r="BH30" s="10"/>
      <c r="BI30" s="10"/>
      <c r="BJ30" s="10"/>
      <c r="BK30" s="10">
        <v>25.1</v>
      </c>
      <c r="BL30" s="10">
        <v>1.1000000000000001</v>
      </c>
      <c r="BM30" s="10"/>
      <c r="BN30" s="10"/>
      <c r="BO30" s="10">
        <v>254</v>
      </c>
      <c r="BP30" s="10">
        <v>27</v>
      </c>
      <c r="BQ30" s="10">
        <v>12.45</v>
      </c>
      <c r="BR30" s="10">
        <v>0.43</v>
      </c>
    </row>
    <row r="31" spans="1:70" x14ac:dyDescent="0.25">
      <c r="A31" s="3"/>
      <c r="B31" s="2" t="s">
        <v>166</v>
      </c>
      <c r="C31" s="9"/>
      <c r="D31" s="9"/>
      <c r="E31" s="9" t="s">
        <v>167</v>
      </c>
      <c r="F31" s="9"/>
      <c r="G31" s="9">
        <v>670000</v>
      </c>
      <c r="H31" s="9">
        <v>111000</v>
      </c>
      <c r="I31" s="10"/>
      <c r="J31" s="10"/>
      <c r="K31" s="10"/>
      <c r="L31" s="10"/>
      <c r="M31" s="10">
        <v>32.5</v>
      </c>
      <c r="N31" s="10">
        <v>2.5</v>
      </c>
      <c r="O31" s="10"/>
      <c r="P31" s="10"/>
      <c r="Q31" s="10"/>
      <c r="R31" s="10"/>
      <c r="S31" s="23">
        <v>10.8</v>
      </c>
      <c r="T31" s="23">
        <v>0.7</v>
      </c>
      <c r="U31" s="10"/>
      <c r="V31" s="10"/>
      <c r="W31" s="10"/>
      <c r="X31" s="10"/>
      <c r="Y31" s="10"/>
      <c r="Z31" s="10"/>
      <c r="AA31" s="10">
        <v>1690</v>
      </c>
      <c r="AB31" s="10">
        <v>130</v>
      </c>
      <c r="AC31" s="10"/>
      <c r="AD31" s="10"/>
      <c r="AE31" s="10">
        <v>7.77</v>
      </c>
      <c r="AF31" s="10">
        <v>0.53</v>
      </c>
      <c r="AG31" s="10">
        <v>460</v>
      </c>
      <c r="AH31" s="10"/>
      <c r="AI31" s="10"/>
      <c r="AJ31" s="10"/>
      <c r="AK31" s="23">
        <v>19.100000000000001</v>
      </c>
      <c r="AL31" s="23">
        <v>1.2</v>
      </c>
      <c r="AM31" s="10"/>
      <c r="AN31" s="10"/>
      <c r="AO31" s="23">
        <v>2.92</v>
      </c>
      <c r="AP31" s="23">
        <v>0.18</v>
      </c>
      <c r="AQ31" s="10">
        <v>191</v>
      </c>
      <c r="AR31" s="10">
        <v>12</v>
      </c>
      <c r="AS31" s="10">
        <v>520</v>
      </c>
      <c r="AT31" s="10"/>
      <c r="AU31" s="10">
        <v>350</v>
      </c>
      <c r="AV31" s="10"/>
      <c r="AW31" s="10">
        <v>1570</v>
      </c>
      <c r="AX31" s="10">
        <v>160</v>
      </c>
      <c r="AY31" s="10">
        <v>2.5</v>
      </c>
      <c r="AZ31" s="10"/>
      <c r="BA31" s="10">
        <v>2160</v>
      </c>
      <c r="BB31" s="10">
        <v>230</v>
      </c>
      <c r="BC31" s="10">
        <v>10700</v>
      </c>
      <c r="BD31" s="10">
        <v>700</v>
      </c>
      <c r="BE31" s="23">
        <v>2.41</v>
      </c>
      <c r="BF31" s="23">
        <v>0.14000000000000001</v>
      </c>
      <c r="BG31" s="10"/>
      <c r="BH31" s="10"/>
      <c r="BI31" s="10"/>
      <c r="BJ31" s="10"/>
      <c r="BK31" s="10">
        <v>37.6</v>
      </c>
      <c r="BL31" s="10">
        <v>2.7</v>
      </c>
      <c r="BM31" s="10">
        <v>34</v>
      </c>
      <c r="BN31" s="10"/>
      <c r="BO31" s="10"/>
      <c r="BP31" s="10"/>
      <c r="BQ31" s="10">
        <v>33.5</v>
      </c>
      <c r="BR31" s="10">
        <v>2.1</v>
      </c>
    </row>
    <row r="32" spans="1:70" x14ac:dyDescent="0.25">
      <c r="A32" s="3"/>
      <c r="B32" s="3" t="s">
        <v>168</v>
      </c>
      <c r="C32" s="9"/>
      <c r="D32" s="9"/>
      <c r="E32" s="9" t="s">
        <v>169</v>
      </c>
      <c r="F32" s="9"/>
      <c r="G32" s="9">
        <v>229000</v>
      </c>
      <c r="H32" s="9">
        <v>280</v>
      </c>
      <c r="I32" s="10"/>
      <c r="J32" s="10"/>
      <c r="K32" s="10">
        <v>26</v>
      </c>
      <c r="L32" s="10"/>
      <c r="M32" s="10">
        <v>43.2</v>
      </c>
      <c r="N32" s="10">
        <v>3.9</v>
      </c>
      <c r="O32" s="10"/>
      <c r="P32" s="10"/>
      <c r="Q32" s="10"/>
      <c r="R32" s="10"/>
      <c r="S32" s="23">
        <v>5.82</v>
      </c>
      <c r="T32" s="23">
        <v>0.52</v>
      </c>
      <c r="U32" s="10"/>
      <c r="V32" s="10"/>
      <c r="W32" s="10">
        <v>0.57299999999999995</v>
      </c>
      <c r="X32" s="10">
        <v>4.8000000000000001E-2</v>
      </c>
      <c r="Y32" s="10"/>
      <c r="Z32" s="10"/>
      <c r="AA32" s="10">
        <v>1910</v>
      </c>
      <c r="AB32" s="10">
        <v>220</v>
      </c>
      <c r="AC32" s="10">
        <v>3610</v>
      </c>
      <c r="AD32" s="10">
        <v>370</v>
      </c>
      <c r="AE32" s="10">
        <v>20.399999999999999</v>
      </c>
      <c r="AF32" s="10">
        <v>1.5</v>
      </c>
      <c r="AG32" s="10">
        <v>432</v>
      </c>
      <c r="AH32" s="10"/>
      <c r="AI32" s="10"/>
      <c r="AJ32" s="10"/>
      <c r="AK32" s="23">
        <v>17</v>
      </c>
      <c r="AL32" s="23">
        <v>1.2</v>
      </c>
      <c r="AM32" s="10"/>
      <c r="AN32" s="10"/>
      <c r="AO32" s="23">
        <v>2.2400000000000002</v>
      </c>
      <c r="AP32" s="23">
        <v>0.17</v>
      </c>
      <c r="AQ32" s="23">
        <v>1.57</v>
      </c>
      <c r="AR32" s="23">
        <v>0.11</v>
      </c>
      <c r="AS32" s="23"/>
      <c r="AT32" s="10"/>
      <c r="AU32" s="10">
        <v>24.7</v>
      </c>
      <c r="AV32" s="10">
        <v>3.2</v>
      </c>
      <c r="AW32" s="10">
        <v>6120</v>
      </c>
      <c r="AX32" s="10">
        <v>520</v>
      </c>
      <c r="AY32" s="10">
        <v>1.81</v>
      </c>
      <c r="AZ32" s="10"/>
      <c r="BA32" s="10">
        <v>1780</v>
      </c>
      <c r="BB32" s="10">
        <v>240</v>
      </c>
      <c r="BC32" s="10">
        <v>81500</v>
      </c>
      <c r="BD32" s="10">
        <v>6500</v>
      </c>
      <c r="BE32" s="23">
        <v>2.4700000000000002</v>
      </c>
      <c r="BF32" s="23">
        <v>0.25</v>
      </c>
      <c r="BG32" s="10">
        <v>50</v>
      </c>
      <c r="BH32" s="10"/>
      <c r="BI32" s="10">
        <v>76</v>
      </c>
      <c r="BJ32" s="10"/>
      <c r="BK32" s="10">
        <v>20.8</v>
      </c>
      <c r="BL32" s="10">
        <v>1.7</v>
      </c>
      <c r="BM32" s="10">
        <v>30</v>
      </c>
      <c r="BN32" s="10"/>
      <c r="BO32" s="10">
        <v>1970</v>
      </c>
      <c r="BP32" s="10">
        <v>370</v>
      </c>
      <c r="BQ32" s="10">
        <v>34.700000000000003</v>
      </c>
      <c r="BR32" s="10">
        <v>2.7</v>
      </c>
    </row>
    <row r="37" spans="14:14" x14ac:dyDescent="0.25">
      <c r="N37" s="27"/>
    </row>
  </sheetData>
  <mergeCells count="38">
    <mergeCell ref="A19:A22"/>
    <mergeCell ref="A23:A26"/>
    <mergeCell ref="BO2:BP2"/>
    <mergeCell ref="BQ2:BR2"/>
    <mergeCell ref="A4:A7"/>
    <mergeCell ref="A8:A10"/>
    <mergeCell ref="A11:A14"/>
    <mergeCell ref="A15:A18"/>
    <mergeCell ref="BC2:BD2"/>
    <mergeCell ref="BE2:BF2"/>
    <mergeCell ref="BG2:BH2"/>
    <mergeCell ref="BI2:BJ2"/>
    <mergeCell ref="BK2:BL2"/>
    <mergeCell ref="BM2:BN2"/>
    <mergeCell ref="AQ2:AR2"/>
    <mergeCell ref="AS2:AT2"/>
    <mergeCell ref="AU2:AV2"/>
    <mergeCell ref="AW2:AX2"/>
    <mergeCell ref="AY2:AZ2"/>
    <mergeCell ref="BA2:BB2"/>
    <mergeCell ref="AE2:AF2"/>
    <mergeCell ref="AG2:AH2"/>
    <mergeCell ref="AI2:AJ2"/>
    <mergeCell ref="AK2:AL2"/>
    <mergeCell ref="AM2:AN2"/>
    <mergeCell ref="AO2:AP2"/>
    <mergeCell ref="AC2:AD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9C741-A2FA-45EB-9997-F5C7157E8A0C}">
  <dimension ref="B2:BP40"/>
  <sheetViews>
    <sheetView workbookViewId="0">
      <selection activeCell="B4" sqref="B4"/>
    </sheetView>
  </sheetViews>
  <sheetFormatPr baseColWidth="10" defaultRowHeight="15" x14ac:dyDescent="0.25"/>
  <cols>
    <col min="2" max="2" width="14.42578125" bestFit="1" customWidth="1"/>
  </cols>
  <sheetData>
    <row r="2" spans="2:68" x14ac:dyDescent="0.25">
      <c r="B2" s="26"/>
      <c r="C2" s="41" t="s">
        <v>71</v>
      </c>
      <c r="D2" s="42"/>
      <c r="E2" s="43" t="s">
        <v>72</v>
      </c>
      <c r="F2" s="43"/>
      <c r="G2" s="43" t="s">
        <v>73</v>
      </c>
      <c r="H2" s="43"/>
      <c r="I2" s="43" t="s">
        <v>74</v>
      </c>
      <c r="J2" s="43"/>
      <c r="K2" s="43" t="s">
        <v>75</v>
      </c>
      <c r="L2" s="43"/>
      <c r="M2" s="43" t="s">
        <v>76</v>
      </c>
      <c r="N2" s="43"/>
      <c r="O2" s="41" t="s">
        <v>170</v>
      </c>
      <c r="P2" s="42"/>
      <c r="Q2" s="43" t="s">
        <v>77</v>
      </c>
      <c r="R2" s="43"/>
      <c r="S2" s="43" t="s">
        <v>78</v>
      </c>
      <c r="T2" s="43"/>
      <c r="U2" s="43" t="s">
        <v>79</v>
      </c>
      <c r="V2" s="43"/>
      <c r="W2" s="43" t="s">
        <v>80</v>
      </c>
      <c r="X2" s="43"/>
      <c r="Y2" s="43" t="s">
        <v>81</v>
      </c>
      <c r="Z2" s="43"/>
      <c r="AA2" s="41" t="s">
        <v>82</v>
      </c>
      <c r="AB2" s="42"/>
      <c r="AC2" s="43" t="s">
        <v>83</v>
      </c>
      <c r="AD2" s="43"/>
      <c r="AE2" s="43" t="s">
        <v>84</v>
      </c>
      <c r="AF2" s="43"/>
      <c r="AG2" s="43" t="s">
        <v>85</v>
      </c>
      <c r="AH2" s="43"/>
      <c r="AI2" s="43" t="s">
        <v>86</v>
      </c>
      <c r="AJ2" s="43"/>
      <c r="AK2" s="43" t="s">
        <v>87</v>
      </c>
      <c r="AL2" s="43"/>
      <c r="AM2" s="43" t="s">
        <v>88</v>
      </c>
      <c r="AN2" s="43"/>
      <c r="AO2" s="43" t="s">
        <v>89</v>
      </c>
      <c r="AP2" s="43"/>
      <c r="AQ2" s="43" t="s">
        <v>90</v>
      </c>
      <c r="AR2" s="43"/>
      <c r="AS2" s="43" t="s">
        <v>91</v>
      </c>
      <c r="AT2" s="43"/>
      <c r="AU2" s="43" t="s">
        <v>92</v>
      </c>
      <c r="AV2" s="43"/>
      <c r="AW2" s="43" t="s">
        <v>93</v>
      </c>
      <c r="AX2" s="43"/>
      <c r="AY2" s="43" t="s">
        <v>94</v>
      </c>
      <c r="AZ2" s="43"/>
      <c r="BA2" s="41" t="s">
        <v>95</v>
      </c>
      <c r="BB2" s="42"/>
      <c r="BC2" s="43" t="s">
        <v>96</v>
      </c>
      <c r="BD2" s="43"/>
      <c r="BE2" s="41" t="s">
        <v>97</v>
      </c>
      <c r="BF2" s="42"/>
      <c r="BG2" s="41" t="s">
        <v>98</v>
      </c>
      <c r="BH2" s="42"/>
      <c r="BI2" s="41" t="s">
        <v>99</v>
      </c>
      <c r="BJ2" s="42"/>
      <c r="BK2" s="43" t="s">
        <v>100</v>
      </c>
      <c r="BL2" s="43"/>
      <c r="BM2" s="41" t="s">
        <v>101</v>
      </c>
      <c r="BN2" s="42"/>
      <c r="BO2" s="41" t="s">
        <v>102</v>
      </c>
      <c r="BP2" s="42"/>
    </row>
    <row r="3" spans="2:68" x14ac:dyDescent="0.25">
      <c r="C3" s="6" t="s">
        <v>105</v>
      </c>
      <c r="D3" s="7" t="s">
        <v>104</v>
      </c>
      <c r="E3" s="6" t="s">
        <v>105</v>
      </c>
      <c r="F3" s="7" t="s">
        <v>104</v>
      </c>
      <c r="G3" s="6" t="s">
        <v>105</v>
      </c>
      <c r="H3" s="7" t="s">
        <v>104</v>
      </c>
      <c r="I3" s="6" t="s">
        <v>105</v>
      </c>
      <c r="J3" s="7" t="s">
        <v>104</v>
      </c>
      <c r="K3" s="6" t="s">
        <v>105</v>
      </c>
      <c r="L3" s="7" t="s">
        <v>104</v>
      </c>
      <c r="M3" s="6" t="s">
        <v>105</v>
      </c>
      <c r="N3" s="7" t="s">
        <v>104</v>
      </c>
      <c r="O3" s="7" t="s">
        <v>105</v>
      </c>
      <c r="P3" s="7" t="s">
        <v>171</v>
      </c>
      <c r="Q3" s="6" t="s">
        <v>105</v>
      </c>
      <c r="R3" s="7" t="s">
        <v>104</v>
      </c>
      <c r="S3" s="6" t="s">
        <v>105</v>
      </c>
      <c r="T3" s="7" t="s">
        <v>104</v>
      </c>
      <c r="U3" s="6" t="s">
        <v>105</v>
      </c>
      <c r="V3" s="7" t="s">
        <v>104</v>
      </c>
      <c r="W3" s="6" t="s">
        <v>105</v>
      </c>
      <c r="X3" s="7" t="s">
        <v>104</v>
      </c>
      <c r="Y3" s="6" t="s">
        <v>105</v>
      </c>
      <c r="Z3" s="7" t="s">
        <v>104</v>
      </c>
      <c r="AA3" s="6" t="s">
        <v>105</v>
      </c>
      <c r="AB3" s="7" t="s">
        <v>104</v>
      </c>
      <c r="AC3" s="6" t="s">
        <v>105</v>
      </c>
      <c r="AD3" s="7" t="s">
        <v>104</v>
      </c>
      <c r="AE3" s="6" t="s">
        <v>105</v>
      </c>
      <c r="AF3" s="7" t="s">
        <v>104</v>
      </c>
      <c r="AG3" s="6" t="s">
        <v>105</v>
      </c>
      <c r="AH3" s="7" t="s">
        <v>104</v>
      </c>
      <c r="AI3" s="6" t="s">
        <v>105</v>
      </c>
      <c r="AJ3" s="7" t="s">
        <v>104</v>
      </c>
      <c r="AK3" s="6" t="s">
        <v>105</v>
      </c>
      <c r="AL3" s="7" t="s">
        <v>104</v>
      </c>
      <c r="AM3" s="6" t="s">
        <v>105</v>
      </c>
      <c r="AN3" s="7" t="s">
        <v>104</v>
      </c>
      <c r="AO3" s="6" t="s">
        <v>105</v>
      </c>
      <c r="AP3" s="7" t="s">
        <v>104</v>
      </c>
      <c r="AQ3" s="6" t="s">
        <v>105</v>
      </c>
      <c r="AR3" s="7" t="s">
        <v>104</v>
      </c>
      <c r="AS3" s="6" t="s">
        <v>105</v>
      </c>
      <c r="AT3" s="7" t="s">
        <v>104</v>
      </c>
      <c r="AU3" s="6" t="s">
        <v>105</v>
      </c>
      <c r="AV3" s="7" t="s">
        <v>104</v>
      </c>
      <c r="AW3" s="6" t="s">
        <v>105</v>
      </c>
      <c r="AX3" s="7" t="s">
        <v>104</v>
      </c>
      <c r="AY3" s="6" t="s">
        <v>105</v>
      </c>
      <c r="AZ3" s="7" t="s">
        <v>104</v>
      </c>
      <c r="BA3" s="6" t="s">
        <v>105</v>
      </c>
      <c r="BB3" s="7" t="s">
        <v>104</v>
      </c>
      <c r="BC3" s="6" t="s">
        <v>105</v>
      </c>
      <c r="BD3" s="7" t="s">
        <v>104</v>
      </c>
      <c r="BE3" s="6" t="s">
        <v>105</v>
      </c>
      <c r="BF3" s="7" t="s">
        <v>104</v>
      </c>
      <c r="BG3" s="6" t="s">
        <v>105</v>
      </c>
      <c r="BH3" s="7" t="s">
        <v>104</v>
      </c>
      <c r="BI3" s="6" t="s">
        <v>105</v>
      </c>
      <c r="BJ3" s="7" t="s">
        <v>104</v>
      </c>
      <c r="BK3" s="6" t="s">
        <v>105</v>
      </c>
      <c r="BL3" s="7" t="s">
        <v>104</v>
      </c>
      <c r="BM3" s="6" t="s">
        <v>105</v>
      </c>
      <c r="BN3" s="7" t="s">
        <v>104</v>
      </c>
      <c r="BO3" s="6" t="s">
        <v>105</v>
      </c>
      <c r="BP3" s="7" t="s">
        <v>104</v>
      </c>
    </row>
    <row r="4" spans="2:68" x14ac:dyDescent="0.25">
      <c r="B4" s="8" t="s">
        <v>107</v>
      </c>
      <c r="E4">
        <f>Hoja2!I4/1000</f>
        <v>0.30739999999999995</v>
      </c>
      <c r="F4">
        <f>Hoja2!J4/1000</f>
        <v>3.8799999999999994E-2</v>
      </c>
      <c r="G4">
        <f>Hoja2!K4</f>
        <v>9.5109999999999992</v>
      </c>
      <c r="H4">
        <f>Hoja2!L4</f>
        <v>1.357</v>
      </c>
      <c r="I4">
        <f>Hoja2!M4</f>
        <v>9.6820000000000004</v>
      </c>
      <c r="J4">
        <f>Hoja2!N4</f>
        <v>1.2490000000000001</v>
      </c>
      <c r="K4">
        <f>Hoja2!O4/1000</f>
        <v>2.3289999999999998E-2</v>
      </c>
      <c r="L4">
        <f>Hoja2!P4/1000</f>
        <v>7.0300000000000007E-3</v>
      </c>
      <c r="M4">
        <f>Hoja2!Q4/1000</f>
        <v>5.3400000000000001E-3</v>
      </c>
      <c r="N4">
        <f>Hoja2!R4/1000</f>
        <v>1.1259999999999998E-3</v>
      </c>
      <c r="Q4">
        <f>Hoja2!S4*1000</f>
        <v>5508</v>
      </c>
      <c r="R4">
        <f>Hoja2!T4*1000</f>
        <v>332</v>
      </c>
      <c r="S4">
        <f>Hoja2!U4/1000</f>
        <v>8.2349999999999993E-2</v>
      </c>
      <c r="T4">
        <f>Hoja2!V4/1000</f>
        <v>9.9100000000000004E-3</v>
      </c>
      <c r="U4">
        <f>Hoja2!W4*1000</f>
        <v>8119</v>
      </c>
      <c r="V4">
        <f>Hoja2!X4*1000</f>
        <v>371</v>
      </c>
      <c r="W4">
        <f>Hoja2!Y4/1000</f>
        <v>0.17100000000000001</v>
      </c>
      <c r="X4">
        <f>Hoja2!Z4/1000</f>
        <v>2.3699999999999999E-2</v>
      </c>
      <c r="Y4">
        <f>Hoja2!AA4/1000</f>
        <v>1.744</v>
      </c>
      <c r="Z4">
        <f>Hoja2!AB4/1000</f>
        <v>0.313</v>
      </c>
      <c r="AA4">
        <f>Hoja2!AC4/1000</f>
        <v>0.14680000000000001</v>
      </c>
      <c r="AB4">
        <f>Hoja2!AD4/1000</f>
        <v>3.1100000000000003E-2</v>
      </c>
      <c r="AC4">
        <f>Hoja2!AE4</f>
        <v>7.5209999999999999</v>
      </c>
      <c r="AD4">
        <f>Hoja2!AF4</f>
        <v>0.56699999999999995</v>
      </c>
      <c r="AE4">
        <f>Hoja2!AG4</f>
        <v>509.7</v>
      </c>
      <c r="AF4">
        <f>Hoja2!AH4</f>
        <v>43.5</v>
      </c>
      <c r="AG4">
        <f>Hoja2!AI4/1000</f>
        <v>1.0970000000000001E-2</v>
      </c>
      <c r="AH4">
        <f>Hoja2!AJ4/1000</f>
        <v>1.08E-3</v>
      </c>
      <c r="AI4">
        <f>Hoja2!AK4*1000</f>
        <v>25900</v>
      </c>
      <c r="AJ4">
        <f>Hoja2!AL4*1000</f>
        <v>1600</v>
      </c>
      <c r="AK4">
        <f>Hoja2!AM4/1000</f>
        <v>0.98480000000000001</v>
      </c>
      <c r="AL4">
        <f>Hoja2!AN4/1000</f>
        <v>8.5900000000000004E-2</v>
      </c>
      <c r="AM4">
        <f>Hoja2!AO4*1000</f>
        <v>1993</v>
      </c>
      <c r="AN4">
        <f>Hoja2!AP4*1000</f>
        <v>129</v>
      </c>
      <c r="AO4">
        <f>Hoja2!AQ4</f>
        <v>79.55</v>
      </c>
      <c r="AP4">
        <f>Hoja2!AR4</f>
        <v>5.77</v>
      </c>
      <c r="AQ4">
        <f>Hoja2!AS4/1000</f>
        <v>1.64</v>
      </c>
      <c r="AR4">
        <f>Hoja2!AT4/1000</f>
        <v>0.158</v>
      </c>
      <c r="AS4">
        <f>Hoja2!AU4</f>
        <v>3292</v>
      </c>
      <c r="AT4">
        <f>Hoja2!AV4</f>
        <v>214</v>
      </c>
      <c r="AU4">
        <f>Hoja2!AW4/1000</f>
        <v>1.476</v>
      </c>
      <c r="AV4">
        <f>Hoja2!AX4/1000</f>
        <v>0.16800000000000001</v>
      </c>
      <c r="AW4">
        <f>Hoja2!AY4*1000</f>
        <v>3850</v>
      </c>
      <c r="AX4">
        <f>Hoja2!AZ4*1000</f>
        <v>191</v>
      </c>
      <c r="AY4">
        <f>Hoja2!BA4/1000</f>
        <v>1.1830000000000001</v>
      </c>
      <c r="AZ4">
        <f>Hoja2!BB4/1000</f>
        <v>0.11799999999999999</v>
      </c>
      <c r="BA4">
        <f>Hoja2!BC4/1000</f>
        <v>34.75</v>
      </c>
      <c r="BB4">
        <f>Hoja2!BD4/1000</f>
        <v>5.45</v>
      </c>
      <c r="BC4">
        <f>Hoja2!BE4*1000</f>
        <v>3313</v>
      </c>
      <c r="BD4">
        <f>Hoja2!BF4*1000</f>
        <v>247</v>
      </c>
      <c r="BE4">
        <f>Hoja2!BG4/1000</f>
        <v>2.4129999999999999E-2</v>
      </c>
      <c r="BF4">
        <f>Hoja2!BH4/1000</f>
        <v>1.221E-2</v>
      </c>
      <c r="BG4">
        <f>Hoja2!BI4/1000</f>
        <v>4.8250000000000001E-2</v>
      </c>
      <c r="BH4">
        <f>Hoja2!BJ4/1000</f>
        <v>1.0490000000000001E-2</v>
      </c>
      <c r="BI4">
        <f>Hoja2!BK4</f>
        <v>21.29</v>
      </c>
      <c r="BJ4">
        <f>Hoja2!BL4</f>
        <v>1.29</v>
      </c>
      <c r="BK4">
        <f>Hoja2!BM4</f>
        <v>15.17</v>
      </c>
      <c r="BL4">
        <f>Hoja2!BN4</f>
        <v>11.09</v>
      </c>
      <c r="BM4">
        <f>Hoja2!BO4/1000</f>
        <v>1.208</v>
      </c>
      <c r="BN4">
        <f>Hoja2!BP4/1000</f>
        <v>0.2</v>
      </c>
      <c r="BO4">
        <f>Hoja2!BQ4</f>
        <v>33.020000000000003</v>
      </c>
      <c r="BP4">
        <f>Hoja2!BR4</f>
        <v>2.3199999999999998</v>
      </c>
    </row>
    <row r="5" spans="2:68" x14ac:dyDescent="0.25">
      <c r="B5" s="8" t="s">
        <v>110</v>
      </c>
      <c r="E5">
        <f>Hoja2!I5/1000</f>
        <v>2.1960000000000002</v>
      </c>
      <c r="F5">
        <f>Hoja2!J5/1000</f>
        <v>0.26800000000000002</v>
      </c>
      <c r="G5">
        <f>Hoja2!K5</f>
        <v>36.159999999999997</v>
      </c>
      <c r="H5">
        <f>Hoja2!L5</f>
        <v>3.36</v>
      </c>
      <c r="I5">
        <f>Hoja2!M5</f>
        <v>8.2639999999999993</v>
      </c>
      <c r="J5">
        <f>Hoja2!N5</f>
        <v>4.9880000000000004</v>
      </c>
      <c r="Q5">
        <f>Hoja2!S5*1000</f>
        <v>16500</v>
      </c>
      <c r="R5">
        <f>Hoja2!T5*1000</f>
        <v>950</v>
      </c>
      <c r="S5">
        <f>Hoja2!U5/1000</f>
        <v>0.1278</v>
      </c>
      <c r="T5">
        <f>Hoja2!V5/1000</f>
        <v>1.0999999999999999E-2</v>
      </c>
      <c r="U5">
        <f>Hoja2!W5*1000</f>
        <v>5475</v>
      </c>
      <c r="V5">
        <f>Hoja2!X5*1000</f>
        <v>311</v>
      </c>
      <c r="W5">
        <f>Hoja2!Y5/1000</f>
        <v>0.64729999999999999</v>
      </c>
      <c r="X5">
        <f>Hoja2!Z5/1000</f>
        <v>0.27989999999999998</v>
      </c>
      <c r="Y5">
        <f>Hoja2!AA5/1000</f>
        <v>3.4</v>
      </c>
      <c r="Z5">
        <f>Hoja2!AB5/1000</f>
        <v>1.512</v>
      </c>
      <c r="AA5">
        <f>Hoja2!AC5/1000</f>
        <v>0.186</v>
      </c>
      <c r="AB5">
        <f>Hoja2!AD5/1000</f>
        <v>6.4399999999999999E-2</v>
      </c>
      <c r="AC5">
        <f>Hoja2!AE5</f>
        <v>9.2880000000000003</v>
      </c>
      <c r="AD5">
        <f>Hoja2!AF5</f>
        <v>0.65100000000000002</v>
      </c>
      <c r="AE5">
        <f>Hoja2!AG5</f>
        <v>895.2</v>
      </c>
      <c r="AF5">
        <f>Hoja2!AH5</f>
        <v>112.8</v>
      </c>
      <c r="AG5">
        <f>Hoja2!AI5/1000</f>
        <v>1.2699999999999999E-2</v>
      </c>
      <c r="AH5">
        <f>Hoja2!AJ5/1000</f>
        <v>1.2099999999999999E-3</v>
      </c>
      <c r="AI5">
        <f>Hoja2!AK5*1000</f>
        <v>21770</v>
      </c>
      <c r="AJ5">
        <f>Hoja2!AL5*1000</f>
        <v>1080</v>
      </c>
      <c r="AM5">
        <f>Hoja2!AO5*1000</f>
        <v>1826</v>
      </c>
      <c r="AN5">
        <f>Hoja2!AP5*1000</f>
        <v>113</v>
      </c>
      <c r="AO5">
        <f>Hoja2!AQ5</f>
        <v>34.54</v>
      </c>
      <c r="AP5">
        <f>Hoja2!AR5</f>
        <v>3.55</v>
      </c>
      <c r="AQ5">
        <f>Hoja2!AS5/1000</f>
        <v>2.8450000000000002</v>
      </c>
      <c r="AR5">
        <f>Hoja2!AT5/1000</f>
        <v>0.26900000000000002</v>
      </c>
      <c r="AS5">
        <f>Hoja2!AU5</f>
        <v>1045</v>
      </c>
      <c r="AT5">
        <f>Hoja2!AV5</f>
        <v>124</v>
      </c>
      <c r="AU5">
        <f>Hoja2!AW5/1000</f>
        <v>2.306</v>
      </c>
      <c r="AV5">
        <f>Hoja2!AX5/1000</f>
        <v>0.48199999999999998</v>
      </c>
      <c r="AW5">
        <f>Hoja2!AY5*1000</f>
        <v>2871</v>
      </c>
      <c r="AX5">
        <f>Hoja2!AZ5*1000</f>
        <v>118</v>
      </c>
      <c r="AY5">
        <f>Hoja2!BA5/1000</f>
        <v>1.5</v>
      </c>
      <c r="AZ5">
        <f>Hoja2!BB5/1000</f>
        <v>0.246</v>
      </c>
      <c r="BA5">
        <f>Hoja2!BC5/1000</f>
        <v>11.08</v>
      </c>
      <c r="BB5">
        <f>Hoja2!BD5/1000</f>
        <v>1.75</v>
      </c>
      <c r="BC5">
        <f>Hoja2!BE5*1000</f>
        <v>2910</v>
      </c>
      <c r="BD5">
        <f>Hoja2!BF5*1000</f>
        <v>164</v>
      </c>
      <c r="BE5">
        <f>Hoja2!BG5/1000</f>
        <v>0.1077</v>
      </c>
      <c r="BF5">
        <f>Hoja2!BH5/1000</f>
        <v>6.3100000000000003E-2</v>
      </c>
      <c r="BG5">
        <f>Hoja2!BI5/1000</f>
        <v>0.5655</v>
      </c>
      <c r="BH5">
        <f>Hoja2!BJ5/1000</f>
        <v>7.9200000000000007E-2</v>
      </c>
      <c r="BI5">
        <f>Hoja2!BK5</f>
        <v>55.39</v>
      </c>
      <c r="BJ5">
        <f>Hoja2!BL5</f>
        <v>5.01</v>
      </c>
      <c r="BK5">
        <f>Hoja2!BM5</f>
        <v>99.98</v>
      </c>
      <c r="BL5">
        <f>Hoja2!BN5</f>
        <v>107.91</v>
      </c>
      <c r="BM5">
        <f>Hoja2!BO5/1000</f>
        <v>3.0539999999999998</v>
      </c>
      <c r="BN5">
        <f>Hoja2!BP5/1000</f>
        <v>0.96799999999999997</v>
      </c>
      <c r="BO5">
        <f>Hoja2!BQ5</f>
        <v>19.79</v>
      </c>
      <c r="BP5">
        <f>Hoja2!BR5</f>
        <v>1.69</v>
      </c>
    </row>
    <row r="6" spans="2:68" x14ac:dyDescent="0.25">
      <c r="B6" s="8" t="s">
        <v>113</v>
      </c>
      <c r="E6">
        <f>Hoja2!I6/1000</f>
        <v>9.9299999999999999E-2</v>
      </c>
      <c r="F6">
        <f>Hoja2!J6/1000</f>
        <v>3.2960000000000003E-2</v>
      </c>
      <c r="G6">
        <f>Hoja2!K6</f>
        <v>19.760000000000002</v>
      </c>
      <c r="H6">
        <f>Hoja2!L6</f>
        <v>1.71</v>
      </c>
      <c r="I6">
        <f>Hoja2!M6</f>
        <v>4.2679999999999998</v>
      </c>
      <c r="J6">
        <f>Hoja2!N6</f>
        <v>0.53300000000000003</v>
      </c>
      <c r="Q6">
        <f>Hoja2!S6*1000</f>
        <v>7648</v>
      </c>
      <c r="R6">
        <f>Hoja2!T6*1000</f>
        <v>474</v>
      </c>
      <c r="S6">
        <f>Hoja2!U6/1000</f>
        <v>3.573</v>
      </c>
      <c r="T6">
        <f>Hoja2!V6/1000</f>
        <v>0.39500000000000002</v>
      </c>
      <c r="U6">
        <f>Hoja2!W6*1000</f>
        <v>5479</v>
      </c>
      <c r="V6">
        <f>Hoja2!X6*1000</f>
        <v>290</v>
      </c>
      <c r="W6">
        <f>Hoja2!Y6/1000</f>
        <v>4.7100000000000003E-2</v>
      </c>
      <c r="X6">
        <f>Hoja2!Z6/1000</f>
        <v>1.417E-2</v>
      </c>
      <c r="Y6">
        <f>Hoja2!AA6/1000</f>
        <v>0.3805</v>
      </c>
      <c r="Z6">
        <f>Hoja2!AB6/1000</f>
        <v>0.1479</v>
      </c>
      <c r="AC6">
        <f>Hoja2!AE6</f>
        <v>5.3179999999999996</v>
      </c>
      <c r="AD6">
        <f>Hoja2!AF6</f>
        <v>0.55800000000000005</v>
      </c>
      <c r="AE6">
        <f>Hoja2!AG6</f>
        <v>92.28</v>
      </c>
      <c r="AF6">
        <f>Hoja2!AH6</f>
        <v>10.25</v>
      </c>
      <c r="AG6">
        <f>Hoja2!AI6/1000</f>
        <v>1.431E-2</v>
      </c>
      <c r="AH6">
        <f>Hoja2!AJ6/1000</f>
        <v>1.7600000000000001E-3</v>
      </c>
      <c r="AI6">
        <f>Hoja2!AK6*1000</f>
        <v>34040</v>
      </c>
      <c r="AJ6">
        <f>Hoja2!AL6*1000</f>
        <v>2240</v>
      </c>
      <c r="AM6">
        <f>Hoja2!AO6*1000</f>
        <v>2402</v>
      </c>
      <c r="AN6">
        <f>Hoja2!AP6*1000</f>
        <v>159</v>
      </c>
      <c r="AO6">
        <f>Hoja2!AQ6</f>
        <v>75.47</v>
      </c>
      <c r="AP6">
        <f>Hoja2!AR6</f>
        <v>5.33</v>
      </c>
      <c r="AQ6">
        <f>Hoja2!AS6/1000</f>
        <v>0.85470000000000002</v>
      </c>
      <c r="AR6">
        <f>Hoja2!AT6/1000</f>
        <v>8.0099999999999991E-2</v>
      </c>
      <c r="AS6">
        <f>Hoja2!AU6</f>
        <v>384</v>
      </c>
      <c r="AT6">
        <f>Hoja2!AV6</f>
        <v>44.8</v>
      </c>
      <c r="AU6">
        <f>Hoja2!AW6/1000</f>
        <v>0.34129999999999999</v>
      </c>
      <c r="AV6">
        <f>Hoja2!AX6/1000</f>
        <v>0.14050000000000001</v>
      </c>
      <c r="AW6">
        <f>Hoja2!AY6*1000</f>
        <v>3462</v>
      </c>
      <c r="AX6">
        <f>Hoja2!AZ6*1000</f>
        <v>205</v>
      </c>
      <c r="AY6">
        <f>Hoja2!BA6/1000</f>
        <v>0.85809999999999997</v>
      </c>
      <c r="AZ6">
        <f>Hoja2!BB6/1000</f>
        <v>0.14730000000000001</v>
      </c>
      <c r="BA6">
        <f>Hoja2!BC6/1000</f>
        <v>11.4</v>
      </c>
      <c r="BB6">
        <f>Hoja2!BD6/1000</f>
        <v>0.97</v>
      </c>
      <c r="BC6">
        <f>Hoja2!BE6*1000</f>
        <v>5099</v>
      </c>
      <c r="BD6">
        <f>Hoja2!BF6*1000</f>
        <v>404</v>
      </c>
      <c r="BE6">
        <f>Hoja2!BG6/1000</f>
        <v>2.1219999999999999E-2</v>
      </c>
      <c r="BF6">
        <f>Hoja2!BH6/1000</f>
        <v>1.316E-2</v>
      </c>
      <c r="BG6">
        <f>Hoja2!BI6/1000</f>
        <v>3.8149999999999996E-2</v>
      </c>
      <c r="BH6">
        <f>Hoja2!BJ6/1000</f>
        <v>7.6699999999999997E-3</v>
      </c>
      <c r="BI6">
        <f>Hoja2!BK6</f>
        <v>15.82</v>
      </c>
      <c r="BJ6">
        <f>Hoja2!BL6</f>
        <v>1.21</v>
      </c>
      <c r="BM6">
        <f>Hoja2!BO6/1000</f>
        <v>0.1472</v>
      </c>
      <c r="BN6">
        <f>Hoja2!BP6/1000</f>
        <v>2.5499999999999998E-2</v>
      </c>
      <c r="BO6">
        <f>Hoja2!BQ6</f>
        <v>169.2</v>
      </c>
      <c r="BP6">
        <f>Hoja2!BR6</f>
        <v>15.8</v>
      </c>
    </row>
    <row r="7" spans="2:68" x14ac:dyDescent="0.25">
      <c r="B7" s="8" t="s">
        <v>116</v>
      </c>
      <c r="E7">
        <f>Hoja2!I7/1000</f>
        <v>2.887E-2</v>
      </c>
      <c r="F7">
        <f>Hoja2!J7/1000</f>
        <v>1.2500000000000001E-2</v>
      </c>
      <c r="G7">
        <f>Hoja2!K7</f>
        <v>18.53</v>
      </c>
      <c r="H7">
        <f>Hoja2!L7</f>
        <v>2.0699999999999998</v>
      </c>
      <c r="I7">
        <f>Hoja2!M7</f>
        <v>1.9239999999999999</v>
      </c>
      <c r="J7">
        <f>Hoja2!N7</f>
        <v>0.24299999999999999</v>
      </c>
      <c r="Q7">
        <f>Hoja2!S7*1000</f>
        <v>6680</v>
      </c>
      <c r="R7">
        <f>Hoja2!T7*1000</f>
        <v>446</v>
      </c>
      <c r="S7">
        <f>Hoja2!U7/1000</f>
        <v>4.3400000000000001E-2</v>
      </c>
      <c r="T7">
        <f>Hoja2!V7/1000</f>
        <v>7.3499999999999998E-3</v>
      </c>
      <c r="U7">
        <f>Hoja2!W7*1000</f>
        <v>6413</v>
      </c>
      <c r="V7">
        <f>Hoja2!X7*1000</f>
        <v>389</v>
      </c>
      <c r="W7">
        <f>Hoja2!Y7/1000</f>
        <v>2.5309999999999999E-2</v>
      </c>
      <c r="X7">
        <f>Hoja2!Z7/1000</f>
        <v>8.3400000000000002E-3</v>
      </c>
      <c r="Y7">
        <f>Hoja2!AA7/1000</f>
        <v>0.28110000000000002</v>
      </c>
      <c r="Z7">
        <f>Hoja2!AB7/1000</f>
        <v>0.161</v>
      </c>
      <c r="AA7">
        <f>Hoja2!AC7/1000</f>
        <v>0.1123</v>
      </c>
      <c r="AB7">
        <f>Hoja2!AD7/1000</f>
        <v>1.2500000000000001E-2</v>
      </c>
      <c r="AC7">
        <f>Hoja2!AE7</f>
        <v>5.7030000000000003</v>
      </c>
      <c r="AD7">
        <f>Hoja2!AF7</f>
        <v>0.93799999999999994</v>
      </c>
      <c r="AE7">
        <f>Hoja2!AG7</f>
        <v>80.599999999999994</v>
      </c>
      <c r="AF7">
        <f>Hoja2!AH7</f>
        <v>8.57</v>
      </c>
      <c r="AG7">
        <f>Hoja2!AI7/1000</f>
        <v>3.4419999999999999E-2</v>
      </c>
      <c r="AH7">
        <f>Hoja2!AJ7/1000</f>
        <v>2.7200000000000002E-3</v>
      </c>
      <c r="AI7">
        <f>Hoja2!AK7*1000</f>
        <v>9726</v>
      </c>
      <c r="AJ7">
        <f>Hoja2!AL7*1000</f>
        <v>760</v>
      </c>
      <c r="AM7">
        <f>Hoja2!AO7*1000</f>
        <v>2732</v>
      </c>
      <c r="AN7">
        <f>Hoja2!AP7*1000</f>
        <v>204</v>
      </c>
      <c r="AO7">
        <f>Hoja2!AQ7</f>
        <v>420</v>
      </c>
      <c r="AP7">
        <f>Hoja2!AR7</f>
        <v>38.9</v>
      </c>
      <c r="AQ7">
        <f>Hoja2!AS7/1000</f>
        <v>8.5080000000000003E-2</v>
      </c>
      <c r="AR7">
        <f>Hoja2!AT7/1000</f>
        <v>2.879E-2</v>
      </c>
      <c r="AS7">
        <f>Hoja2!AU7</f>
        <v>55.66</v>
      </c>
      <c r="AT7">
        <f>Hoja2!AV7</f>
        <v>16.95</v>
      </c>
      <c r="AU7">
        <f>Hoja2!AW7/1000</f>
        <v>1.327</v>
      </c>
      <c r="AV7">
        <f>Hoja2!AX7/1000</f>
        <v>0.215</v>
      </c>
      <c r="AW7">
        <f>Hoja2!AY7*1000</f>
        <v>1593</v>
      </c>
      <c r="AX7">
        <f>Hoja2!AZ7*1000</f>
        <v>97</v>
      </c>
      <c r="AY7">
        <f>Hoja2!BA7/1000</f>
        <v>0.2571</v>
      </c>
      <c r="AZ7">
        <f>Hoja2!BB7/1000</f>
        <v>5.5100000000000003E-2</v>
      </c>
      <c r="BA7">
        <f>Hoja2!BC7/1000</f>
        <v>9.2989999999999995</v>
      </c>
      <c r="BB7">
        <f>Hoja2!BD7/1000</f>
        <v>1.127</v>
      </c>
      <c r="BC7">
        <f>Hoja2!BE7*1000</f>
        <v>1795</v>
      </c>
      <c r="BD7">
        <f>Hoja2!BF7*1000</f>
        <v>147</v>
      </c>
      <c r="BG7">
        <f>Hoja2!BI7/1000</f>
        <v>0.45950000000000002</v>
      </c>
      <c r="BH7">
        <f>Hoja2!BJ7/1000</f>
        <v>7.0900000000000005E-2</v>
      </c>
      <c r="BI7">
        <f>Hoja2!BK7</f>
        <v>14.62</v>
      </c>
      <c r="BJ7">
        <f>Hoja2!BL7</f>
        <v>1.57</v>
      </c>
      <c r="BM7">
        <f>Hoja2!BO7/1000</f>
        <v>9.2749999999999999E-2</v>
      </c>
      <c r="BN7">
        <f>Hoja2!BP7/1000</f>
        <v>5.4590000000000007E-2</v>
      </c>
      <c r="BO7">
        <f>Hoja2!BQ7</f>
        <v>15.72</v>
      </c>
      <c r="BP7">
        <f>Hoja2!BR7</f>
        <v>2.3199999999999998</v>
      </c>
    </row>
    <row r="8" spans="2:68" x14ac:dyDescent="0.25">
      <c r="B8" s="12" t="s">
        <v>119</v>
      </c>
      <c r="E8">
        <f>Hoja2!I8/1000</f>
        <v>0.30569999999999997</v>
      </c>
      <c r="F8">
        <f>Hoja2!J8/1000</f>
        <v>3.6899999999999995E-2</v>
      </c>
      <c r="G8">
        <f>Hoja2!K8</f>
        <v>9.5969999999999995</v>
      </c>
      <c r="H8">
        <f>Hoja2!L8</f>
        <v>1.105</v>
      </c>
      <c r="I8">
        <f>Hoja2!M8</f>
        <v>10.119999999999999</v>
      </c>
      <c r="J8">
        <f>Hoja2!N8</f>
        <v>1.77</v>
      </c>
      <c r="K8">
        <f>Hoja2!O8/1000</f>
        <v>2.1340000000000001E-2</v>
      </c>
      <c r="L8">
        <f>Hoja2!P8/1000</f>
        <v>2.6800000000000001E-3</v>
      </c>
      <c r="M8">
        <f>Hoja2!Q8/1000</f>
        <v>6.1660000000000005E-3</v>
      </c>
      <c r="N8">
        <f>Hoja2!R8/1000</f>
        <v>1.206E-3</v>
      </c>
      <c r="Q8">
        <f>Hoja2!S8*1000</f>
        <v>5560</v>
      </c>
      <c r="R8">
        <f>Hoja2!T8*1000</f>
        <v>336</v>
      </c>
      <c r="S8">
        <f>Hoja2!U8/1000</f>
        <v>8.251E-2</v>
      </c>
      <c r="T8">
        <f>Hoja2!V8/1000</f>
        <v>1.2119999999999999E-2</v>
      </c>
      <c r="U8">
        <f>Hoja2!W8*1000</f>
        <v>8144</v>
      </c>
      <c r="V8">
        <f>Hoja2!X8*1000</f>
        <v>401</v>
      </c>
      <c r="W8">
        <f>Hoja2!Y8/1000</f>
        <v>0.1759</v>
      </c>
      <c r="X8">
        <f>Hoja2!Z8/1000</f>
        <v>1.8100000000000002E-2</v>
      </c>
      <c r="Y8">
        <f>Hoja2!AA8/1000</f>
        <v>1.774</v>
      </c>
      <c r="Z8">
        <f>Hoja2!AB8/1000</f>
        <v>0.33300000000000002</v>
      </c>
      <c r="AA8">
        <f>Hoja2!AC8/1000</f>
        <v>0.14709999999999998</v>
      </c>
      <c r="AB8">
        <f>Hoja2!AD8/1000</f>
        <v>1.11E-2</v>
      </c>
      <c r="AC8">
        <f>Hoja2!AE8</f>
        <v>7.5129999999999999</v>
      </c>
      <c r="AD8">
        <f>Hoja2!AF8</f>
        <v>0.60899999999999999</v>
      </c>
      <c r="AE8">
        <f>Hoja2!AG8</f>
        <v>514.5</v>
      </c>
      <c r="AF8">
        <f>Hoja2!AH8</f>
        <v>43.7</v>
      </c>
      <c r="AG8">
        <f>Hoja2!AI8/1000</f>
        <v>1.072E-2</v>
      </c>
      <c r="AH8">
        <f>Hoja2!AJ8/1000</f>
        <v>7.9000000000000001E-4</v>
      </c>
      <c r="AI8">
        <f>Hoja2!AK8*1000</f>
        <v>25930</v>
      </c>
      <c r="AJ8">
        <f>Hoja2!AL8*1000</f>
        <v>1460</v>
      </c>
      <c r="AK8">
        <f>Hoja2!AM8/1000</f>
        <v>1.0329999999999999</v>
      </c>
      <c r="AL8">
        <f>Hoja2!AN8/1000</f>
        <v>0.123</v>
      </c>
      <c r="AM8">
        <f>Hoja2!AO8*1000</f>
        <v>2009.9999999999998</v>
      </c>
      <c r="AN8">
        <f>Hoja2!AP8*1000</f>
        <v>128</v>
      </c>
      <c r="AO8">
        <f>Hoja2!AQ8</f>
        <v>80.099999999999994</v>
      </c>
      <c r="AP8">
        <f>Hoja2!AR8</f>
        <v>5.79</v>
      </c>
      <c r="AQ8">
        <f>Hoja2!AS8/1000</f>
        <v>1.663</v>
      </c>
      <c r="AR8">
        <f>Hoja2!AT8/1000</f>
        <v>0.151</v>
      </c>
      <c r="AS8">
        <f>Hoja2!AU8</f>
        <v>3247</v>
      </c>
      <c r="AT8">
        <f>Hoja2!AV8</f>
        <v>259</v>
      </c>
      <c r="AU8">
        <f>Hoja2!AW8/1000</f>
        <v>1.5</v>
      </c>
      <c r="AV8">
        <f>Hoja2!AX8/1000</f>
        <v>0.16600000000000001</v>
      </c>
      <c r="AW8">
        <f>Hoja2!AY8*1000</f>
        <v>3861</v>
      </c>
      <c r="AX8">
        <f>Hoja2!AZ8*1000</f>
        <v>199</v>
      </c>
      <c r="AY8">
        <f>Hoja2!BA8/1000</f>
        <v>1.153</v>
      </c>
      <c r="AZ8">
        <f>Hoja2!BB8/1000</f>
        <v>0.11899999999999999</v>
      </c>
      <c r="BA8">
        <f>Hoja2!BC8/1000</f>
        <v>34.840000000000003</v>
      </c>
      <c r="BB8">
        <f>Hoja2!BD8/1000</f>
        <v>3.36</v>
      </c>
      <c r="BC8">
        <f>Hoja2!BE8*1000</f>
        <v>3315</v>
      </c>
      <c r="BD8">
        <f>Hoja2!BF8*1000</f>
        <v>230</v>
      </c>
      <c r="BE8">
        <f>Hoja2!BG8/1000</f>
        <v>3.0120000000000001E-2</v>
      </c>
      <c r="BF8">
        <f>Hoja2!BH8/1000</f>
        <v>1.312E-2</v>
      </c>
      <c r="BG8">
        <f>Hoja2!BI8/1000</f>
        <v>4.437E-2</v>
      </c>
      <c r="BH8">
        <f>Hoja2!BJ8/1000</f>
        <v>9.4500000000000001E-3</v>
      </c>
      <c r="BI8">
        <f>Hoja2!BK8</f>
        <v>21.29</v>
      </c>
      <c r="BJ8">
        <f>Hoja2!BL8</f>
        <v>1.67</v>
      </c>
      <c r="BK8">
        <f>Hoja2!BM8</f>
        <v>12.94</v>
      </c>
      <c r="BL8">
        <f>Hoja2!BN8</f>
        <v>7.56</v>
      </c>
      <c r="BM8">
        <f>Hoja2!BO8/1000</f>
        <v>1.2270000000000001</v>
      </c>
      <c r="BN8">
        <f>Hoja2!BP8/1000</f>
        <v>0.193</v>
      </c>
      <c r="BO8">
        <f>Hoja2!BQ8</f>
        <v>32.76</v>
      </c>
      <c r="BP8">
        <f>Hoja2!BR8</f>
        <v>2.62</v>
      </c>
    </row>
    <row r="9" spans="2:68" x14ac:dyDescent="0.25">
      <c r="B9" s="12" t="s">
        <v>120</v>
      </c>
      <c r="E9">
        <f>Hoja2!I9/1000</f>
        <v>5.9840000000000004E-2</v>
      </c>
      <c r="F9">
        <f>Hoja2!J9/1000</f>
        <v>7.62E-3</v>
      </c>
      <c r="G9">
        <f>Hoja2!K9</f>
        <v>17.98</v>
      </c>
      <c r="H9">
        <f>Hoja2!L9</f>
        <v>1.57</v>
      </c>
      <c r="I9">
        <f>Hoja2!M9</f>
        <v>14.45</v>
      </c>
      <c r="J9">
        <f>Hoja2!N9</f>
        <v>1.55</v>
      </c>
      <c r="Q9">
        <f>Hoja2!S9*1000</f>
        <v>15670</v>
      </c>
      <c r="R9">
        <f>Hoja2!T9*1000</f>
        <v>1030</v>
      </c>
      <c r="S9">
        <f>Hoja2!U9/1000</f>
        <v>7.3620000000000005E-2</v>
      </c>
      <c r="T9">
        <f>Hoja2!V9/1000</f>
        <v>7.5300000000000002E-3</v>
      </c>
      <c r="U9">
        <f>Hoja2!W9*1000</f>
        <v>236.6</v>
      </c>
      <c r="V9">
        <f>Hoja2!X9*1000</f>
        <v>67.599999999999994</v>
      </c>
      <c r="W9">
        <f>Hoja2!Y9/1000</f>
        <v>0.12140000000000001</v>
      </c>
      <c r="X9">
        <f>Hoja2!Z9/1000</f>
        <v>1.3900000000000001E-2</v>
      </c>
      <c r="Y9">
        <f>Hoja2!AA9/1000</f>
        <v>0.35049999999999998</v>
      </c>
      <c r="Z9">
        <f>Hoja2!AB9/1000</f>
        <v>0.114</v>
      </c>
      <c r="AA9">
        <f>Hoja2!AC9/1000</f>
        <v>1.8350000000000002E-2</v>
      </c>
      <c r="AB9">
        <f>Hoja2!AD9/1000</f>
        <v>3.1800000000000001E-3</v>
      </c>
      <c r="AC9">
        <f>Hoja2!AE9</f>
        <v>6.694</v>
      </c>
      <c r="AD9">
        <f>Hoja2!AF9</f>
        <v>0.78500000000000003</v>
      </c>
      <c r="AE9">
        <f>Hoja2!AG9</f>
        <v>76.819999999999993</v>
      </c>
      <c r="AF9">
        <f>Hoja2!AH9</f>
        <v>11.21</v>
      </c>
      <c r="AG9">
        <f>Hoja2!AI9/1000</f>
        <v>2.972E-2</v>
      </c>
      <c r="AH9">
        <f>Hoja2!AJ9/1000</f>
        <v>2.15E-3</v>
      </c>
      <c r="AI9">
        <f>Hoja2!AK9*1000</f>
        <v>11290</v>
      </c>
      <c r="AJ9">
        <f>Hoja2!AL9*1000</f>
        <v>590</v>
      </c>
      <c r="AK9">
        <f>Hoja2!AM9/1000</f>
        <v>4.8710000000000003E-2</v>
      </c>
      <c r="AL9">
        <f>Hoja2!AN9/1000</f>
        <v>1.494E-2</v>
      </c>
      <c r="AM9">
        <f>Hoja2!AO9*1000</f>
        <v>2385</v>
      </c>
      <c r="AN9">
        <f>Hoja2!AP9*1000</f>
        <v>143</v>
      </c>
      <c r="AO9">
        <f>Hoja2!AQ9</f>
        <v>101.6</v>
      </c>
      <c r="AP9">
        <f>Hoja2!AR9</f>
        <v>7.9</v>
      </c>
      <c r="AQ9">
        <f>Hoja2!AS9/1000</f>
        <v>0.52429999999999999</v>
      </c>
      <c r="AR9">
        <f>Hoja2!AT9/1000</f>
        <v>4.9700000000000001E-2</v>
      </c>
      <c r="AS9">
        <f>Hoja2!AU9</f>
        <v>36.880000000000003</v>
      </c>
      <c r="AT9">
        <f>Hoja2!AV9</f>
        <v>13.33</v>
      </c>
      <c r="AU9">
        <f>Hoja2!AW9/1000</f>
        <v>0.99229999999999996</v>
      </c>
      <c r="AV9">
        <f>Hoja2!AX9/1000</f>
        <v>0.1724</v>
      </c>
      <c r="AW9">
        <f>Hoja2!AY9*1000</f>
        <v>2414</v>
      </c>
      <c r="AX9">
        <f>Hoja2!AZ9*1000</f>
        <v>135</v>
      </c>
      <c r="AY9">
        <f>Hoja2!BA9/1000</f>
        <v>0.73670000000000002</v>
      </c>
      <c r="AZ9">
        <f>Hoja2!BB9/1000</f>
        <v>0.1017</v>
      </c>
      <c r="BA9">
        <f>Hoja2!BC9/1000</f>
        <v>11.19</v>
      </c>
      <c r="BB9">
        <f>Hoja2!BD9/1000</f>
        <v>0.98</v>
      </c>
      <c r="BC9">
        <f>Hoja2!BE9*1000</f>
        <v>767.2</v>
      </c>
      <c r="BD9">
        <f>Hoja2!BF9*1000</f>
        <v>75.399999999999991</v>
      </c>
      <c r="BE9">
        <f>Hoja2!BG9/1000</f>
        <v>5.9859999999999997E-2</v>
      </c>
      <c r="BF9">
        <f>Hoja2!BH9/1000</f>
        <v>1.111E-2</v>
      </c>
      <c r="BG9">
        <f>Hoja2!BI9/1000</f>
        <v>2.9589999999999998E-2</v>
      </c>
      <c r="BH9">
        <f>Hoja2!BJ9/1000</f>
        <v>1.1990000000000001E-2</v>
      </c>
      <c r="BI9">
        <f>Hoja2!BK9</f>
        <v>37.53</v>
      </c>
      <c r="BJ9">
        <f>Hoja2!BL9</f>
        <v>3.12</v>
      </c>
      <c r="BM9">
        <f>Hoja2!BO9/1000</f>
        <v>0.11220000000000001</v>
      </c>
      <c r="BN9">
        <f>Hoja2!BP9/1000</f>
        <v>2.24E-2</v>
      </c>
      <c r="BO9">
        <f>Hoja2!BQ9</f>
        <v>31.4</v>
      </c>
      <c r="BP9">
        <f>Hoja2!BR9</f>
        <v>3.03</v>
      </c>
    </row>
    <row r="10" spans="2:68" x14ac:dyDescent="0.25">
      <c r="B10" s="12" t="s">
        <v>123</v>
      </c>
      <c r="E10">
        <f>Hoja2!I10/1000</f>
        <v>1.6030000000000003E-2</v>
      </c>
      <c r="F10">
        <f>Hoja2!J10/1000</f>
        <v>5.2100000000000002E-3</v>
      </c>
      <c r="G10">
        <f>Hoja2!K10</f>
        <v>29.22</v>
      </c>
      <c r="H10">
        <f>Hoja2!L10</f>
        <v>2.46</v>
      </c>
      <c r="I10">
        <f>Hoja2!M10</f>
        <v>0.67110000000000003</v>
      </c>
      <c r="J10">
        <f>Hoja2!N10</f>
        <v>7.1400000000000005E-2</v>
      </c>
      <c r="Q10">
        <f>Hoja2!S10*1000</f>
        <v>14350</v>
      </c>
      <c r="R10">
        <f>Hoja2!T10*1000</f>
        <v>1180</v>
      </c>
      <c r="S10">
        <f>Hoja2!U10/1000</f>
        <v>2.2109999999999998E-2</v>
      </c>
      <c r="T10">
        <f>Hoja2!V10/1000</f>
        <v>3.82E-3</v>
      </c>
      <c r="U10">
        <f>Hoja2!W10*1000</f>
        <v>656.3</v>
      </c>
      <c r="V10">
        <f>Hoja2!X10*1000</f>
        <v>93.100000000000009</v>
      </c>
      <c r="W10">
        <f>Hoja2!Y10/1000</f>
        <v>6.1189999999999994E-2</v>
      </c>
      <c r="X10">
        <f>Hoja2!Z10/1000</f>
        <v>1.0960000000000001E-2</v>
      </c>
      <c r="Y10">
        <f>Hoja2!AA10/1000</f>
        <v>0.49030000000000001</v>
      </c>
      <c r="Z10">
        <f>Hoja2!AB10/1000</f>
        <v>7.5999999999999998E-2</v>
      </c>
      <c r="AA10">
        <f>Hoja2!AC10/1000</f>
        <v>8.3549999999999996E-3</v>
      </c>
      <c r="AB10">
        <f>Hoja2!AD10/1000</f>
        <v>2.1680000000000002E-3</v>
      </c>
      <c r="AC10">
        <f>Hoja2!AE10</f>
        <v>3.4740000000000002</v>
      </c>
      <c r="AD10">
        <f>Hoja2!AF10</f>
        <v>0.64800000000000002</v>
      </c>
      <c r="AE10">
        <f>Hoja2!AG10</f>
        <v>90.71</v>
      </c>
      <c r="AF10">
        <f>Hoja2!AH10</f>
        <v>10.44</v>
      </c>
      <c r="AG10">
        <f>Hoja2!AI10/1000</f>
        <v>1.5439999999999999E-2</v>
      </c>
      <c r="AH10">
        <f>Hoja2!AJ10/1000</f>
        <v>1.33E-3</v>
      </c>
      <c r="AI10">
        <f>Hoja2!AK10*1000</f>
        <v>49360</v>
      </c>
      <c r="AJ10">
        <f>Hoja2!AL10*1000</f>
        <v>3940</v>
      </c>
      <c r="AK10">
        <f>Hoja2!AM10/1000</f>
        <v>0.46629999999999999</v>
      </c>
      <c r="AL10">
        <f>Hoja2!AN10/1000</f>
        <v>7.5400000000000009E-2</v>
      </c>
      <c r="AM10">
        <f>Hoja2!AO10*1000</f>
        <v>3547</v>
      </c>
      <c r="AN10">
        <f>Hoja2!AP10*1000</f>
        <v>223</v>
      </c>
      <c r="AO10">
        <f>Hoja2!AQ10</f>
        <v>141.30000000000001</v>
      </c>
      <c r="AP10">
        <f>Hoja2!AR10</f>
        <v>11.8</v>
      </c>
      <c r="AQ10">
        <f>Hoja2!AS10/1000</f>
        <v>1.125</v>
      </c>
      <c r="AR10">
        <f>Hoja2!AT10/1000</f>
        <v>0.121</v>
      </c>
      <c r="AS10">
        <f>Hoja2!AU10</f>
        <v>27.97</v>
      </c>
      <c r="AT10">
        <f>Hoja2!AV10</f>
        <v>13.37</v>
      </c>
      <c r="AU10">
        <f>Hoja2!AW10/1000</f>
        <v>0.18809999999999999</v>
      </c>
      <c r="AV10">
        <f>Hoja2!AX10/1000</f>
        <v>9.7500000000000003E-2</v>
      </c>
      <c r="AW10">
        <f>Hoja2!AY10*1000</f>
        <v>2809</v>
      </c>
      <c r="AX10">
        <f>Hoja2!AZ10*1000</f>
        <v>191</v>
      </c>
      <c r="AY10">
        <f>Hoja2!BA10/1000</f>
        <v>0.125</v>
      </c>
      <c r="AZ10">
        <f>Hoja2!BB10/1000</f>
        <v>3.2399999999999998E-2</v>
      </c>
      <c r="BA10">
        <f>Hoja2!BC10/1000</f>
        <v>3.26</v>
      </c>
      <c r="BB10">
        <f>Hoja2!BD10/1000</f>
        <v>0.371</v>
      </c>
      <c r="BC10">
        <f>Hoja2!BE10*1000</f>
        <v>4680</v>
      </c>
      <c r="BD10">
        <f>Hoja2!BF10*1000</f>
        <v>346</v>
      </c>
      <c r="BE10">
        <f>Hoja2!BG10/1000</f>
        <v>1.3769999999999999E-2</v>
      </c>
      <c r="BF10">
        <f>Hoja2!BH10/1000</f>
        <v>4.9400000000000008E-3</v>
      </c>
      <c r="BG10">
        <f>Hoja2!BI10/1000</f>
        <v>2.0480000000000002E-2</v>
      </c>
      <c r="BH10">
        <f>Hoja2!BJ10/1000</f>
        <v>2.3699999999999999E-2</v>
      </c>
      <c r="BI10">
        <f>Hoja2!BK10</f>
        <v>6.9950000000000001</v>
      </c>
      <c r="BJ10">
        <f>Hoja2!BL10</f>
        <v>1.3420000000000001</v>
      </c>
      <c r="BM10">
        <f>Hoja2!BO10/1000</f>
        <v>4.947E-2</v>
      </c>
      <c r="BN10">
        <f>Hoja2!BP10/1000</f>
        <v>3.2299999999999995E-2</v>
      </c>
      <c r="BO10">
        <f>Hoja2!BQ10</f>
        <v>53.71</v>
      </c>
      <c r="BP10">
        <f>Hoja2!BR10</f>
        <v>5.12</v>
      </c>
    </row>
    <row r="11" spans="2:68" x14ac:dyDescent="0.25">
      <c r="B11" s="13" t="s">
        <v>125</v>
      </c>
      <c r="E11">
        <f>Hoja2!I11/1000</f>
        <v>1.41E-2</v>
      </c>
      <c r="F11">
        <f>Hoja2!J11/1000</f>
        <v>5.7499999999999999E-3</v>
      </c>
      <c r="G11">
        <f>Hoja2!K11</f>
        <v>2.274</v>
      </c>
      <c r="H11">
        <f>Hoja2!L11</f>
        <v>0.82499999999999996</v>
      </c>
      <c r="I11">
        <f>Hoja2!M11</f>
        <v>0.1704</v>
      </c>
      <c r="J11">
        <f>Hoja2!N11</f>
        <v>0.18490000000000001</v>
      </c>
      <c r="M11">
        <f>Hoja2!Q11/1000</f>
        <v>1.5249999999999999E-3</v>
      </c>
      <c r="N11">
        <f>Hoja2!R11/1000</f>
        <v>4.2499999999999998E-4</v>
      </c>
      <c r="Q11">
        <f>Hoja2!S11*1000</f>
        <v>85.98</v>
      </c>
      <c r="R11">
        <f>Hoja2!T11*1000</f>
        <v>84.78</v>
      </c>
      <c r="S11">
        <f>Hoja2!U11/1000</f>
        <v>1.303E-2</v>
      </c>
      <c r="T11">
        <f>Hoja2!V11/1000</f>
        <v>2.7200000000000002E-3</v>
      </c>
      <c r="U11">
        <f>Hoja2!W11*1000</f>
        <v>305.5</v>
      </c>
      <c r="V11">
        <f>Hoja2!X11*1000</f>
        <v>29</v>
      </c>
      <c r="W11">
        <f>Hoja2!Y11/1000</f>
        <v>5.744E-3</v>
      </c>
      <c r="X11">
        <f>Hoja2!Z11/1000</f>
        <v>8.149E-3</v>
      </c>
      <c r="Y11">
        <f>Hoja2!AA11/1000</f>
        <v>0.10970000000000001</v>
      </c>
      <c r="Z11">
        <f>Hoja2!AB11/1000</f>
        <v>0.1195</v>
      </c>
      <c r="AC11">
        <f>Hoja2!AE11</f>
        <v>1.8149999999999999</v>
      </c>
      <c r="AD11">
        <f>Hoja2!AF11</f>
        <v>0.32600000000000001</v>
      </c>
      <c r="AE11">
        <f>Hoja2!AG11</f>
        <v>35.96</v>
      </c>
      <c r="AF11">
        <f>Hoja2!AH11</f>
        <v>8.3000000000000007</v>
      </c>
      <c r="AI11">
        <f>Hoja2!AK11*1000</f>
        <v>4489</v>
      </c>
      <c r="AJ11">
        <f>Hoja2!AL11*1000</f>
        <v>400</v>
      </c>
      <c r="AK11">
        <f>Hoja2!AM11/1000</f>
        <v>3.0999999999999999E-3</v>
      </c>
      <c r="AL11">
        <f>Hoja2!AN11/1000</f>
        <v>8.0000000000000004E-4</v>
      </c>
      <c r="AM11">
        <f>Hoja2!AO11*1000</f>
        <v>1074</v>
      </c>
      <c r="AN11">
        <f>Hoja2!AP11*1000</f>
        <v>94</v>
      </c>
      <c r="AO11">
        <f>Hoja2!AQ11</f>
        <v>3.7309999999999999</v>
      </c>
      <c r="AP11">
        <f>Hoja2!AR11</f>
        <v>0.72799999999999998</v>
      </c>
      <c r="AQ11">
        <f>Hoja2!AS11/1000</f>
        <v>0.2311</v>
      </c>
      <c r="AR11">
        <f>Hoja2!AT11/1000</f>
        <v>3.1699999999999999E-2</v>
      </c>
      <c r="AS11">
        <f>Hoja2!AU11</f>
        <v>10.36</v>
      </c>
      <c r="AT11">
        <f>Hoja2!AV11</f>
        <v>13.81</v>
      </c>
      <c r="AU11">
        <f>Hoja2!AW11/1000</f>
        <v>0.1047</v>
      </c>
      <c r="AV11">
        <f>Hoja2!AX11/1000</f>
        <v>5.7099999999999998E-2</v>
      </c>
      <c r="AW11">
        <f>Hoja2!AY11*1000</f>
        <v>3203</v>
      </c>
      <c r="AX11">
        <f>Hoja2!AZ11*1000</f>
        <v>220</v>
      </c>
      <c r="AY11">
        <f>Hoja2!BA11/1000</f>
        <v>6.0380000000000003E-2</v>
      </c>
      <c r="AZ11">
        <f>Hoja2!BB11/1000</f>
        <v>8.2790000000000002E-2</v>
      </c>
      <c r="BA11">
        <f>Hoja2!BC11/1000</f>
        <v>1.486</v>
      </c>
      <c r="BB11">
        <f>Hoja2!BD11/1000</f>
        <v>0.20300000000000001</v>
      </c>
      <c r="BC11">
        <f>Hoja2!BE11*1000</f>
        <v>946.30000000000007</v>
      </c>
      <c r="BD11">
        <f>Hoja2!BF11*1000</f>
        <v>112.60000000000001</v>
      </c>
      <c r="BE11">
        <f>Hoja2!BG11/1000</f>
        <v>4.1830000000000001E-3</v>
      </c>
      <c r="BF11">
        <f>Hoja2!BH11/1000</f>
        <v>2.49E-3</v>
      </c>
      <c r="BI11">
        <f>Hoja2!BK11</f>
        <v>0.30309999999999998</v>
      </c>
      <c r="BJ11">
        <f>Hoja2!BL11</f>
        <v>0.61050000000000004</v>
      </c>
      <c r="BM11">
        <f>Hoja2!BO11/1000</f>
        <v>6.1530000000000001E-2</v>
      </c>
      <c r="BN11">
        <f>Hoja2!BP11/1000</f>
        <v>6.7080000000000001E-2</v>
      </c>
      <c r="BO11">
        <f>Hoja2!BQ11</f>
        <v>25.63</v>
      </c>
      <c r="BP11">
        <f>Hoja2!BR11</f>
        <v>2.38</v>
      </c>
    </row>
    <row r="12" spans="2:68" x14ac:dyDescent="0.25">
      <c r="B12" s="13" t="s">
        <v>127</v>
      </c>
      <c r="E12">
        <f>Hoja2!I12/1000</f>
        <v>0.43289999999999995</v>
      </c>
      <c r="F12">
        <f>Hoja2!J12/1000</f>
        <v>4.4200000000000003E-2</v>
      </c>
      <c r="G12">
        <f>Hoja2!K12</f>
        <v>34.729999999999997</v>
      </c>
      <c r="H12">
        <f>Hoja2!L12</f>
        <v>2.74</v>
      </c>
      <c r="I12">
        <f>Hoja2!M12</f>
        <v>10.86</v>
      </c>
      <c r="J12">
        <f>Hoja2!N12</f>
        <v>2.5099999999999998</v>
      </c>
      <c r="M12">
        <f>Hoja2!Q12/1000</f>
        <v>1.09E-2</v>
      </c>
      <c r="N12">
        <f>Hoja2!R12/1000</f>
        <v>1.01E-3</v>
      </c>
      <c r="Q12">
        <f>Hoja2!S12*1000</f>
        <v>23150</v>
      </c>
      <c r="R12">
        <f>Hoja2!T12*1000</f>
        <v>1540</v>
      </c>
      <c r="S12">
        <f>Hoja2!U12/1000</f>
        <v>5.1900000000000002E-2</v>
      </c>
      <c r="T12">
        <f>Hoja2!V12/1000</f>
        <v>8.2400000000000008E-3</v>
      </c>
      <c r="U12">
        <f>Hoja2!W12*1000</f>
        <v>5266</v>
      </c>
      <c r="V12">
        <f>Hoja2!X12*1000</f>
        <v>403</v>
      </c>
      <c r="W12">
        <f>Hoja2!Y12/1000</f>
        <v>0.3211</v>
      </c>
      <c r="X12">
        <f>Hoja2!Z12/1000</f>
        <v>8.1299999999999997E-2</v>
      </c>
      <c r="Y12">
        <f>Hoja2!AA12/1000</f>
        <v>1.038</v>
      </c>
      <c r="Z12">
        <f>Hoja2!AB12/1000</f>
        <v>0.40799999999999997</v>
      </c>
      <c r="AA12">
        <f>Hoja2!AC12/1000</f>
        <v>4.5850000000000002E-2</v>
      </c>
      <c r="AB12">
        <f>Hoja2!AD12/1000</f>
        <v>5.8499999999999993E-3</v>
      </c>
      <c r="AC12">
        <f>Hoja2!AE12</f>
        <v>4.2569999999999997</v>
      </c>
      <c r="AD12">
        <f>Hoja2!AF12</f>
        <v>0.56999999999999995</v>
      </c>
      <c r="AE12">
        <f>Hoja2!AG12</f>
        <v>231.6</v>
      </c>
      <c r="AF12">
        <f>Hoja2!AH12</f>
        <v>27.6</v>
      </c>
      <c r="AG12">
        <f>Hoja2!AI12/1000</f>
        <v>8.8789999999999997E-3</v>
      </c>
      <c r="AH12">
        <f>Hoja2!AJ12/1000</f>
        <v>1.5900000000000001E-3</v>
      </c>
      <c r="AI12">
        <f>Hoja2!AK12*1000</f>
        <v>26200</v>
      </c>
      <c r="AJ12">
        <f>Hoja2!AL12*1000</f>
        <v>1650</v>
      </c>
      <c r="AK12">
        <f>Hoja2!AM12/1000</f>
        <v>0.65949999999999998</v>
      </c>
      <c r="AL12">
        <f>Hoja2!AN12/1000</f>
        <v>0.13600000000000001</v>
      </c>
      <c r="AM12">
        <f>Hoja2!AO12*1000</f>
        <v>1644</v>
      </c>
      <c r="AN12">
        <f>Hoja2!AP12*1000</f>
        <v>125</v>
      </c>
      <c r="AO12">
        <f>Hoja2!AQ12</f>
        <v>40.200000000000003</v>
      </c>
      <c r="AP12">
        <f>Hoja2!AR12</f>
        <v>3.46</v>
      </c>
      <c r="AQ12">
        <f>Hoja2!AS12/1000</f>
        <v>0.37589999999999996</v>
      </c>
      <c r="AR12">
        <f>Hoja2!AT12/1000</f>
        <v>5.2600000000000001E-2</v>
      </c>
      <c r="AS12">
        <f>Hoja2!AU12</f>
        <v>189.8</v>
      </c>
      <c r="AT12">
        <f>Hoja2!AV12</f>
        <v>28.9</v>
      </c>
      <c r="AU12">
        <f>Hoja2!AW12/1000</f>
        <v>1.0880000000000001</v>
      </c>
      <c r="AV12">
        <f>Hoja2!AX12/1000</f>
        <v>0.193</v>
      </c>
      <c r="AW12">
        <f>Hoja2!AY12*1000</f>
        <v>2361</v>
      </c>
      <c r="AX12">
        <f>Hoja2!AZ12*1000</f>
        <v>137</v>
      </c>
      <c r="AY12">
        <f>Hoja2!BA12/1000</f>
        <v>0.83710000000000007</v>
      </c>
      <c r="AZ12">
        <f>Hoja2!BB12/1000</f>
        <v>0.1047</v>
      </c>
      <c r="BA12">
        <f>Hoja2!BC12/1000</f>
        <v>2.0179999999999998</v>
      </c>
      <c r="BB12">
        <f>Hoja2!BD12/1000</f>
        <v>0.21099999999999999</v>
      </c>
      <c r="BC12">
        <f>Hoja2!BE12*1000</f>
        <v>3003</v>
      </c>
      <c r="BD12">
        <f>Hoja2!BF12*1000</f>
        <v>217</v>
      </c>
      <c r="BE12">
        <f>Hoja2!BG12/1000</f>
        <v>3.5830000000000001E-2</v>
      </c>
      <c r="BF12">
        <f>Hoja2!BH12/1000</f>
        <v>9.92E-3</v>
      </c>
      <c r="BG12">
        <f>Hoja2!BI12/1000</f>
        <v>0.12029999999999999</v>
      </c>
      <c r="BH12">
        <f>Hoja2!BJ12/1000</f>
        <v>2.3699999999999999E-2</v>
      </c>
      <c r="BI12">
        <f>Hoja2!BK12</f>
        <v>57.39</v>
      </c>
      <c r="BJ12">
        <f>Hoja2!BL12</f>
        <v>6.38</v>
      </c>
      <c r="BK12">
        <f>Hoja2!BM12</f>
        <v>26.26</v>
      </c>
      <c r="BL12">
        <f>Hoja2!BN12</f>
        <v>23.33</v>
      </c>
      <c r="BM12">
        <f>Hoja2!BO12/1000</f>
        <v>0.93370000000000009</v>
      </c>
      <c r="BN12">
        <f>Hoja2!BP12/1000</f>
        <v>0.28349999999999997</v>
      </c>
      <c r="BO12">
        <f>Hoja2!BQ12</f>
        <v>19.66</v>
      </c>
      <c r="BP12">
        <f>Hoja2!BR12</f>
        <v>1.49</v>
      </c>
    </row>
    <row r="13" spans="2:68" x14ac:dyDescent="0.25">
      <c r="B13" s="13" t="s">
        <v>129</v>
      </c>
      <c r="E13">
        <f>Hoja2!I13/1000</f>
        <v>2.095E-2</v>
      </c>
      <c r="F13">
        <f>Hoja2!J13/1000</f>
        <v>1.8859999999999998E-2</v>
      </c>
      <c r="G13">
        <f>Hoja2!K13</f>
        <v>28.65</v>
      </c>
      <c r="H13">
        <f>Hoja2!L13</f>
        <v>2.37</v>
      </c>
      <c r="I13">
        <f>Hoja2!M13</f>
        <v>81.99</v>
      </c>
      <c r="J13">
        <f>Hoja2!N13</f>
        <v>7.59</v>
      </c>
      <c r="M13">
        <f>Hoja2!Q13/1000</f>
        <v>1.2900000000000001E-3</v>
      </c>
      <c r="N13">
        <f>Hoja2!R13/1000</f>
        <v>6.8999999999999997E-4</v>
      </c>
      <c r="Q13">
        <f>Hoja2!S13*1000</f>
        <v>6814</v>
      </c>
      <c r="R13">
        <f>Hoja2!T13*1000</f>
        <v>442</v>
      </c>
      <c r="S13">
        <f>Hoja2!U13/1000</f>
        <v>4.6500000000000005E-3</v>
      </c>
      <c r="T13">
        <f>Hoja2!V13/1000</f>
        <v>4.2830000000000003E-3</v>
      </c>
      <c r="U13">
        <f>Hoja2!W13*1000</f>
        <v>11240</v>
      </c>
      <c r="V13">
        <f>Hoja2!X13*1000</f>
        <v>540</v>
      </c>
      <c r="W13">
        <f>Hoja2!Y13/1000</f>
        <v>8.14E-2</v>
      </c>
      <c r="X13">
        <f>Hoja2!Z13/1000</f>
        <v>1.281E-2</v>
      </c>
      <c r="Y13">
        <f>Hoja2!AA13/1000</f>
        <v>1.0980000000000001</v>
      </c>
      <c r="Z13">
        <f>Hoja2!AB13/1000</f>
        <v>0.35</v>
      </c>
      <c r="AA13">
        <f>Hoja2!AC13/1000</f>
        <v>0.1031</v>
      </c>
      <c r="AB13">
        <f>Hoja2!AD13/1000</f>
        <v>1.77E-2</v>
      </c>
      <c r="AC13">
        <f>Hoja2!AE13</f>
        <v>11.49</v>
      </c>
      <c r="AD13">
        <f>Hoja2!AF13</f>
        <v>0.87</v>
      </c>
      <c r="AE13">
        <f>Hoja2!AG13</f>
        <v>112.2</v>
      </c>
      <c r="AF13">
        <f>Hoja2!AH13</f>
        <v>10.199999999999999</v>
      </c>
      <c r="AG13">
        <f>Hoja2!AI13/1000</f>
        <v>1.078E-2</v>
      </c>
      <c r="AH13">
        <f>Hoja2!AJ13/1000</f>
        <v>1.6999999999999999E-3</v>
      </c>
      <c r="AI13">
        <f>Hoja2!AK13*1000</f>
        <v>37670</v>
      </c>
      <c r="AJ13">
        <f>Hoja2!AL13*1000</f>
        <v>2550</v>
      </c>
      <c r="AK13">
        <f>Hoja2!AM13/1000</f>
        <v>1.6899999999999998E-2</v>
      </c>
      <c r="AL13">
        <f>Hoja2!AN13/1000</f>
        <v>3.29E-3</v>
      </c>
      <c r="AM13">
        <f>Hoja2!AO13*1000</f>
        <v>2644</v>
      </c>
      <c r="AN13">
        <f>Hoja2!AP13*1000</f>
        <v>184</v>
      </c>
      <c r="AO13">
        <f>Hoja2!AQ13</f>
        <v>1443</v>
      </c>
      <c r="AP13">
        <f>Hoja2!AR13</f>
        <v>107</v>
      </c>
      <c r="AQ13">
        <f>Hoja2!AS13/1000</f>
        <v>0.2676</v>
      </c>
      <c r="AR13">
        <f>Hoja2!AT13/1000</f>
        <v>4.58E-2</v>
      </c>
      <c r="AS13">
        <f>Hoja2!AU13</f>
        <v>33.79</v>
      </c>
      <c r="AT13">
        <f>Hoja2!AV13</f>
        <v>17.07</v>
      </c>
      <c r="AU13">
        <f>Hoja2!AW13/1000</f>
        <v>0.73220000000000007</v>
      </c>
      <c r="AV13">
        <f>Hoja2!AX13/1000</f>
        <v>0.18919999999999998</v>
      </c>
      <c r="AW13">
        <f>Hoja2!AY13*1000</f>
        <v>2021.9999999999998</v>
      </c>
      <c r="AX13">
        <f>Hoja2!AZ13*1000</f>
        <v>120</v>
      </c>
      <c r="AY13">
        <f>Hoja2!BA13/1000</f>
        <v>7.1550000000000002E-2</v>
      </c>
      <c r="AZ13">
        <f>Hoja2!BB13/1000</f>
        <v>2.384E-2</v>
      </c>
      <c r="BA13">
        <f>Hoja2!BC13/1000</f>
        <v>7.6849999999999996</v>
      </c>
      <c r="BB13">
        <f>Hoja2!BD13/1000</f>
        <v>0.84899999999999998</v>
      </c>
      <c r="BC13">
        <f>Hoja2!BE13*1000</f>
        <v>2419</v>
      </c>
      <c r="BD13">
        <f>Hoja2!BF13*1000</f>
        <v>202</v>
      </c>
      <c r="BE13">
        <f>Hoja2!BG13/1000</f>
        <v>7.1440000000000002E-3</v>
      </c>
      <c r="BF13">
        <f>Hoja2!BH13/1000</f>
        <v>3.7109999999999999E-3</v>
      </c>
      <c r="BG13">
        <f>Hoja2!BI13/1000</f>
        <v>2.63E-2</v>
      </c>
      <c r="BH13">
        <f>Hoja2!BJ13/1000</f>
        <v>1.0539999999999999E-2</v>
      </c>
      <c r="BI13">
        <f>Hoja2!BK13</f>
        <v>25.33</v>
      </c>
      <c r="BJ13">
        <f>Hoja2!BL13</f>
        <v>2.29</v>
      </c>
      <c r="BK13">
        <f>Hoja2!BM13</f>
        <v>0</v>
      </c>
      <c r="BL13">
        <f>Hoja2!BN13</f>
        <v>0</v>
      </c>
      <c r="BM13">
        <f>Hoja2!BO13/1000</f>
        <v>6.7989999999999995E-2</v>
      </c>
      <c r="BN13">
        <f>Hoja2!BP13/1000</f>
        <v>4.6640000000000001E-2</v>
      </c>
      <c r="BO13">
        <f>Hoja2!BQ13</f>
        <v>20.25</v>
      </c>
      <c r="BP13">
        <f>Hoja2!BR13</f>
        <v>1.9</v>
      </c>
    </row>
    <row r="14" spans="2:68" x14ac:dyDescent="0.25">
      <c r="B14" s="13" t="s">
        <v>132</v>
      </c>
      <c r="E14">
        <f>Hoja2!I14/1000</f>
        <v>0.31210000000000004</v>
      </c>
      <c r="F14">
        <f>Hoja2!J14/1000</f>
        <v>4.87E-2</v>
      </c>
      <c r="G14">
        <f>Hoja2!K14</f>
        <v>27.35</v>
      </c>
      <c r="H14">
        <f>Hoja2!L14</f>
        <v>2.8</v>
      </c>
      <c r="I14">
        <f>Hoja2!M14</f>
        <v>51.75</v>
      </c>
      <c r="J14">
        <f>Hoja2!N14</f>
        <v>4.43</v>
      </c>
      <c r="K14">
        <f>Hoja2!O14/1000</f>
        <v>5.1549999999999999E-2</v>
      </c>
      <c r="L14">
        <f>Hoja2!P14/1000</f>
        <v>4.81E-3</v>
      </c>
      <c r="M14">
        <f>Hoja2!Q14/1000</f>
        <v>1.78E-2</v>
      </c>
      <c r="N14">
        <f>Hoja2!R14/1000</f>
        <v>8.3000000000000001E-4</v>
      </c>
      <c r="Q14">
        <f>Hoja2!S14*1000</f>
        <v>16530</v>
      </c>
      <c r="R14">
        <f>Hoja2!T14*1000</f>
        <v>1080</v>
      </c>
      <c r="S14">
        <f>Hoja2!U14/1000</f>
        <v>0.1938</v>
      </c>
      <c r="T14">
        <f>Hoja2!V14/1000</f>
        <v>1.9100000000000002E-2</v>
      </c>
      <c r="U14">
        <f>Hoja2!W14*1000</f>
        <v>1225</v>
      </c>
      <c r="V14">
        <f>Hoja2!X14*1000</f>
        <v>153</v>
      </c>
      <c r="W14">
        <f>Hoja2!Y14/1000</f>
        <v>0.29419999999999996</v>
      </c>
      <c r="X14">
        <f>Hoja2!Z14/1000</f>
        <v>4.5200000000000004E-2</v>
      </c>
      <c r="Y14">
        <f>Hoja2!AA14/1000</f>
        <v>2.5390000000000001</v>
      </c>
      <c r="Z14">
        <f>Hoja2!AB14/1000</f>
        <v>0.82499999999999996</v>
      </c>
      <c r="AA14">
        <f>Hoja2!AC14/1000</f>
        <v>7.3120000000000004E-2</v>
      </c>
      <c r="AB14">
        <f>Hoja2!AD14/1000</f>
        <v>9.2499999999999995E-3</v>
      </c>
      <c r="AC14">
        <f>Hoja2!AE14</f>
        <v>8.66</v>
      </c>
      <c r="AD14">
        <f>Hoja2!AF14</f>
        <v>1.1220000000000001</v>
      </c>
      <c r="AE14">
        <f>Hoja2!AG14</f>
        <v>466.9</v>
      </c>
      <c r="AF14">
        <f>Hoja2!AH14</f>
        <v>56.8</v>
      </c>
      <c r="AG14">
        <f>Hoja2!AI14/1000</f>
        <v>8.8270000000000001E-2</v>
      </c>
      <c r="AH14">
        <f>Hoja2!AJ14/1000</f>
        <v>7.8700000000000003E-3</v>
      </c>
      <c r="AI14">
        <f>Hoja2!AK14*1000</f>
        <v>4495</v>
      </c>
      <c r="AJ14">
        <f>Hoja2!AL14*1000</f>
        <v>411</v>
      </c>
      <c r="AK14">
        <f>Hoja2!AM14/1000</f>
        <v>0.35349999999999998</v>
      </c>
      <c r="AL14">
        <f>Hoja2!AN14/1000</f>
        <v>4.2900000000000001E-2</v>
      </c>
      <c r="AM14">
        <f>Hoja2!AO14*1000</f>
        <v>1181</v>
      </c>
      <c r="AN14">
        <f>Hoja2!AP14*1000</f>
        <v>87</v>
      </c>
      <c r="AO14">
        <f>Hoja2!AQ14</f>
        <v>629.1</v>
      </c>
      <c r="AP14">
        <f>Hoja2!AR14</f>
        <v>47.4</v>
      </c>
      <c r="AQ14">
        <f>Hoja2!AS14/1000</f>
        <v>0.23599999999999999</v>
      </c>
      <c r="AR14">
        <f>Hoja2!AT14/1000</f>
        <v>2.9000000000000001E-2</v>
      </c>
      <c r="AS14">
        <f>Hoja2!AU14</f>
        <v>338.4</v>
      </c>
      <c r="AT14">
        <f>Hoja2!AV14</f>
        <v>44.2</v>
      </c>
      <c r="AU14">
        <f>Hoja2!AW14/1000</f>
        <v>1.79</v>
      </c>
      <c r="AV14">
        <f>Hoja2!AX14/1000</f>
        <v>0.20100000000000001</v>
      </c>
      <c r="AW14">
        <f>Hoja2!AY14*1000</f>
        <v>913.3</v>
      </c>
      <c r="AX14">
        <f>Hoja2!AZ14*1000</f>
        <v>69.400000000000006</v>
      </c>
      <c r="AY14">
        <f>Hoja2!BA14/1000</f>
        <v>6.07</v>
      </c>
      <c r="AZ14">
        <f>Hoja2!BB14/1000</f>
        <v>0.54500000000000004</v>
      </c>
      <c r="BA14">
        <f>Hoja2!BC14/1000</f>
        <v>5.4580000000000002</v>
      </c>
      <c r="BB14">
        <f>Hoja2!BD14/1000</f>
        <v>0.77</v>
      </c>
      <c r="BC14">
        <f>Hoja2!BE14*1000</f>
        <v>1099</v>
      </c>
      <c r="BD14">
        <f>Hoja2!BF14*1000</f>
        <v>100</v>
      </c>
      <c r="BE14">
        <f>Hoja2!BG14/1000</f>
        <v>0.34399999999999997</v>
      </c>
      <c r="BF14">
        <f>Hoja2!BH14/1000</f>
        <v>0.19319999999999998</v>
      </c>
      <c r="BG14">
        <f>Hoja2!BI14/1000</f>
        <v>9.3700000000000006E-2</v>
      </c>
      <c r="BH14">
        <f>Hoja2!BJ14/1000</f>
        <v>2.9079999999999998E-2</v>
      </c>
      <c r="BI14">
        <f>Hoja2!BK14</f>
        <v>44.82</v>
      </c>
      <c r="BJ14">
        <f>Hoja2!BL14</f>
        <v>4.3600000000000003</v>
      </c>
      <c r="BK14">
        <f>Hoja2!BM14</f>
        <v>29.2</v>
      </c>
      <c r="BL14">
        <f>Hoja2!BN14</f>
        <v>27.43</v>
      </c>
      <c r="BM14">
        <f>Hoja2!BO14/1000</f>
        <v>1.119</v>
      </c>
      <c r="BN14">
        <f>Hoja2!BP14/1000</f>
        <v>0.193</v>
      </c>
      <c r="BO14">
        <f>Hoja2!BQ14</f>
        <v>88.56</v>
      </c>
      <c r="BP14">
        <f>Hoja2!BR14</f>
        <v>8.25</v>
      </c>
    </row>
    <row r="15" spans="2:68" x14ac:dyDescent="0.25">
      <c r="B15" s="15" t="s">
        <v>134</v>
      </c>
      <c r="E15">
        <f>Hoja2!I15/1000</f>
        <v>0.41610000000000003</v>
      </c>
      <c r="F15">
        <f>Hoja2!J15/1000</f>
        <v>5.6799999999999996E-2</v>
      </c>
      <c r="G15">
        <f>Hoja2!K15</f>
        <v>41.79</v>
      </c>
      <c r="H15">
        <f>Hoja2!L15</f>
        <v>3.68</v>
      </c>
      <c r="I15">
        <f>Hoja2!M15</f>
        <v>23.38</v>
      </c>
      <c r="J15">
        <f>Hoja2!N15</f>
        <v>3.69</v>
      </c>
      <c r="K15">
        <f>Hoja2!O15/1000</f>
        <v>1.0150000000000001E-2</v>
      </c>
      <c r="L15">
        <f>Hoja2!P15/1000</f>
        <v>8.4999999999999995E-4</v>
      </c>
      <c r="M15">
        <f>Hoja2!Q15/1000</f>
        <v>1.5550000000000001E-2</v>
      </c>
      <c r="N15">
        <f>Hoja2!R15/1000</f>
        <v>2.4500000000000004E-3</v>
      </c>
      <c r="Q15">
        <f>Hoja2!S15*1000</f>
        <v>30630</v>
      </c>
      <c r="R15">
        <f>Hoja2!T15*1000</f>
        <v>2040</v>
      </c>
      <c r="S15">
        <f>Hoja2!U15/1000</f>
        <v>2.5910000000000002</v>
      </c>
      <c r="T15">
        <f>Hoja2!V15/1000</f>
        <v>0.25800000000000001</v>
      </c>
      <c r="U15">
        <f>Hoja2!W15*1000</f>
        <v>4548</v>
      </c>
      <c r="V15">
        <f>Hoja2!X15*1000</f>
        <v>344</v>
      </c>
      <c r="W15">
        <f>Hoja2!Y15/1000</f>
        <v>0.30330000000000001</v>
      </c>
      <c r="X15">
        <f>Hoja2!Z15/1000</f>
        <v>4.7899999999999998E-2</v>
      </c>
      <c r="Y15">
        <f>Hoja2!AA15/1000</f>
        <v>6.4729999999999999</v>
      </c>
      <c r="Z15">
        <f>Hoja2!AB15/1000</f>
        <v>1.1240000000000001</v>
      </c>
      <c r="AA15">
        <f>Hoja2!AC15/1000</f>
        <v>6.2689999999999996E-2</v>
      </c>
      <c r="AB15">
        <f>Hoja2!AD15/1000</f>
        <v>1.2869999999999999E-2</v>
      </c>
      <c r="AC15">
        <f>Hoja2!AE15</f>
        <v>12.15</v>
      </c>
      <c r="AD15">
        <f>Hoja2!AF15</f>
        <v>1.21</v>
      </c>
      <c r="AE15">
        <f>Hoja2!AG15</f>
        <v>333.8</v>
      </c>
      <c r="AF15">
        <f>Hoja2!AH15</f>
        <v>37.1</v>
      </c>
      <c r="AG15">
        <f>Hoja2!AI15/1000</f>
        <v>7.6120000000000007E-2</v>
      </c>
      <c r="AH15">
        <f>Hoja2!AJ15/1000</f>
        <v>1.7090000000000001E-2</v>
      </c>
      <c r="AI15">
        <f>Hoja2!AK15*1000</f>
        <v>54490</v>
      </c>
      <c r="AJ15">
        <f>Hoja2!AL15*1000</f>
        <v>4100</v>
      </c>
      <c r="AK15">
        <f>Hoja2!AM15/1000</f>
        <v>9.3889999999999993</v>
      </c>
      <c r="AL15">
        <f>Hoja2!AN15/1000</f>
        <v>1.0169999999999999</v>
      </c>
      <c r="AM15">
        <f>Hoja2!AO15*1000</f>
        <v>4684</v>
      </c>
      <c r="AN15">
        <f>Hoja2!AP15*1000</f>
        <v>319</v>
      </c>
      <c r="AO15">
        <f>Hoja2!AQ15</f>
        <v>296.8</v>
      </c>
      <c r="AP15">
        <f>Hoja2!AR15</f>
        <v>18.5</v>
      </c>
      <c r="AQ15">
        <f>Hoja2!AS15/1000</f>
        <v>1.214</v>
      </c>
      <c r="AR15">
        <f>Hoja2!AT15/1000</f>
        <v>0.151</v>
      </c>
      <c r="AS15">
        <f>Hoja2!AU15</f>
        <v>267.39999999999998</v>
      </c>
      <c r="AT15">
        <f>Hoja2!AV15</f>
        <v>59.9</v>
      </c>
      <c r="AU15">
        <f>Hoja2!AW15/1000</f>
        <v>1.0669999999999999</v>
      </c>
      <c r="AV15">
        <f>Hoja2!AX15/1000</f>
        <v>0.19500000000000001</v>
      </c>
      <c r="AW15">
        <f>Hoja2!AY15*1000</f>
        <v>4637</v>
      </c>
      <c r="AX15">
        <f>Hoja2!AZ15*1000</f>
        <v>257</v>
      </c>
      <c r="AY15">
        <f>Hoja2!BA15/1000</f>
        <v>5.3810000000000002</v>
      </c>
      <c r="AZ15">
        <f>Hoja2!BB15/1000</f>
        <v>0.72299999999999998</v>
      </c>
      <c r="BA15">
        <f>Hoja2!BC15/1000</f>
        <v>26.911000000000001</v>
      </c>
      <c r="BB15">
        <f>Hoja2!BD15/1000</f>
        <v>3.87</v>
      </c>
      <c r="BC15">
        <f>Hoja2!BE15*1000</f>
        <v>5266</v>
      </c>
      <c r="BD15">
        <f>Hoja2!BF15*1000</f>
        <v>470</v>
      </c>
      <c r="BE15">
        <f>Hoja2!BG15/1000</f>
        <v>0.23219999999999999</v>
      </c>
      <c r="BF15">
        <f>Hoja2!BH15/1000</f>
        <v>4.41E-2</v>
      </c>
      <c r="BG15">
        <f>Hoja2!BI15/1000</f>
        <v>7.1930000000000008E-2</v>
      </c>
      <c r="BH15">
        <f>Hoja2!BJ15/1000</f>
        <v>3.0609999999999998E-2</v>
      </c>
      <c r="BI15">
        <f>Hoja2!BK15</f>
        <v>83.38</v>
      </c>
      <c r="BJ15">
        <f>Hoja2!BL15</f>
        <v>13.15</v>
      </c>
      <c r="BK15">
        <f>Hoja2!BM15</f>
        <v>5.734</v>
      </c>
      <c r="BL15">
        <f>Hoja2!BN15</f>
        <v>2.9550000000000001</v>
      </c>
      <c r="BM15">
        <f>Hoja2!BO15/1000</f>
        <v>0.83129999999999993</v>
      </c>
      <c r="BN15">
        <f>Hoja2!BP15/1000</f>
        <v>9.6700000000000008E-2</v>
      </c>
      <c r="BO15">
        <f>Hoja2!BQ15</f>
        <v>187.6</v>
      </c>
      <c r="BP15">
        <f>Hoja2!BR15</f>
        <v>14.6</v>
      </c>
    </row>
    <row r="16" spans="2:68" x14ac:dyDescent="0.25">
      <c r="B16" s="15" t="s">
        <v>136</v>
      </c>
      <c r="E16">
        <f>Hoja2!I16/1000</f>
        <v>0.27060000000000001</v>
      </c>
      <c r="F16">
        <f>Hoja2!J16/1000</f>
        <v>4.3099999999999999E-2</v>
      </c>
      <c r="G16">
        <f>Hoja2!K16</f>
        <v>48.06</v>
      </c>
      <c r="H16">
        <f>Hoja2!L16</f>
        <v>3.48</v>
      </c>
      <c r="I16">
        <f>Hoja2!M16</f>
        <v>23.69</v>
      </c>
      <c r="J16">
        <f>Hoja2!N16</f>
        <v>2.4300000000000002</v>
      </c>
      <c r="K16">
        <f>Hoja2!O16/1000</f>
        <v>0.01</v>
      </c>
      <c r="L16">
        <f>Hoja2!P16/1000</f>
        <v>1.6100000000000001E-3</v>
      </c>
      <c r="M16">
        <f>Hoja2!Q16/1000</f>
        <v>7.4599999999999996E-3</v>
      </c>
      <c r="N16">
        <f>Hoja2!R16/1000</f>
        <v>6.3600000000000002E-3</v>
      </c>
      <c r="Q16">
        <f>Hoja2!S16*1000</f>
        <v>31540</v>
      </c>
      <c r="R16">
        <f>Hoja2!T16*1000</f>
        <v>2500</v>
      </c>
      <c r="S16">
        <f>Hoja2!U16/1000</f>
        <v>3.05</v>
      </c>
      <c r="T16">
        <f>Hoja2!V16/1000</f>
        <v>0.379</v>
      </c>
      <c r="U16">
        <f>Hoja2!W16*1000</f>
        <v>4259</v>
      </c>
      <c r="V16">
        <f>Hoja2!X16*1000</f>
        <v>284</v>
      </c>
      <c r="W16">
        <f>Hoja2!Y16/1000</f>
        <v>4.4960000000000004</v>
      </c>
      <c r="X16">
        <f>Hoja2!Z16/1000</f>
        <v>0.372</v>
      </c>
      <c r="Y16">
        <f>Hoja2!AA16/1000</f>
        <v>0.68570000000000009</v>
      </c>
      <c r="Z16">
        <f>Hoja2!AB16/1000</f>
        <v>0.27250000000000002</v>
      </c>
      <c r="AA16">
        <f>Hoja2!AC16/1000</f>
        <v>0.44700000000000001</v>
      </c>
      <c r="AB16">
        <f>Hoja2!AD16/1000</f>
        <v>4.1399999999999999E-2</v>
      </c>
      <c r="AC16">
        <f>Hoja2!AE16</f>
        <v>9.673</v>
      </c>
      <c r="AD16">
        <f>Hoja2!AF16</f>
        <v>1.0149999999999999</v>
      </c>
      <c r="AE16">
        <f>Hoja2!AG16</f>
        <v>232.8</v>
      </c>
      <c r="AF16">
        <f>Hoja2!AH16</f>
        <v>20.7</v>
      </c>
      <c r="AG16">
        <f>Hoja2!AI16/1000</f>
        <v>3.5020000000000003E-2</v>
      </c>
      <c r="AH16">
        <f>Hoja2!AJ16/1000</f>
        <v>7.0000000000000001E-3</v>
      </c>
      <c r="AI16">
        <f>Hoja2!AK16*1000</f>
        <v>9050</v>
      </c>
      <c r="AJ16">
        <f>Hoja2!AL16*1000</f>
        <v>635</v>
      </c>
      <c r="AK16">
        <f>Hoja2!AM16/1000</f>
        <v>0.34200000000000003</v>
      </c>
      <c r="AL16">
        <f>Hoja2!AN16/1000</f>
        <v>5.1299999999999998E-2</v>
      </c>
      <c r="AM16">
        <f>Hoja2!AO16*1000</f>
        <v>4510</v>
      </c>
      <c r="AN16">
        <f>Hoja2!AP16*1000</f>
        <v>306</v>
      </c>
      <c r="AO16">
        <f>Hoja2!AQ16</f>
        <v>127.4</v>
      </c>
      <c r="AP16">
        <f>Hoja2!AR16</f>
        <v>13</v>
      </c>
      <c r="AQ16">
        <f>Hoja2!AS16/1000</f>
        <v>0.22650000000000001</v>
      </c>
      <c r="AR16">
        <f>Hoja2!AT16/1000</f>
        <v>5.0999999999999997E-2</v>
      </c>
      <c r="AS16">
        <f>Hoja2!AU16</f>
        <v>1146</v>
      </c>
      <c r="AT16">
        <f>Hoja2!AV16</f>
        <v>103</v>
      </c>
      <c r="AU16">
        <f>Hoja2!AW16/1000</f>
        <v>2.7290000000000001</v>
      </c>
      <c r="AV16">
        <f>Hoja2!AX16/1000</f>
        <v>0.42299999999999999</v>
      </c>
      <c r="AW16">
        <f>Hoja2!AY16*1000</f>
        <v>1584</v>
      </c>
      <c r="AX16">
        <f>Hoja2!AZ16*1000</f>
        <v>95</v>
      </c>
      <c r="AY16">
        <f>Hoja2!BA16/1000</f>
        <v>1.258</v>
      </c>
      <c r="AZ16">
        <f>Hoja2!BB16/1000</f>
        <v>0.22</v>
      </c>
      <c r="BA16">
        <f>Hoja2!BC16/1000</f>
        <v>10.936</v>
      </c>
      <c r="BB16">
        <f>Hoja2!BD16/1000</f>
        <v>0.86599999999999999</v>
      </c>
      <c r="BC16">
        <f>Hoja2!BE16*1000</f>
        <v>4491</v>
      </c>
      <c r="BD16">
        <f>Hoja2!BF16*1000</f>
        <v>367</v>
      </c>
      <c r="BE16">
        <f>Hoja2!BG16/1000</f>
        <v>0.12390000000000001</v>
      </c>
      <c r="BF16">
        <f>Hoja2!BH16/1000</f>
        <v>3.1699999999999999E-2</v>
      </c>
      <c r="BG16">
        <f>Hoja2!BI16/1000</f>
        <v>8.7260000000000004E-2</v>
      </c>
      <c r="BH16">
        <f>Hoja2!BJ16/1000</f>
        <v>2.087E-2</v>
      </c>
      <c r="BI16">
        <f>Hoja2!BK16</f>
        <v>94.95</v>
      </c>
      <c r="BJ16">
        <f>Hoja2!BL16</f>
        <v>16.45</v>
      </c>
      <c r="BK16">
        <f>Hoja2!BM16</f>
        <v>3.0449999999999999</v>
      </c>
      <c r="BL16">
        <f>Hoja2!BN16</f>
        <v>1.59</v>
      </c>
      <c r="BM16">
        <f>Hoja2!BO16/1000</f>
        <v>0.4748</v>
      </c>
      <c r="BN16">
        <f>Hoja2!BP16/1000</f>
        <v>0.15909999999999999</v>
      </c>
      <c r="BO16">
        <f>Hoja2!BQ16</f>
        <v>231.9</v>
      </c>
      <c r="BP16">
        <f>Hoja2!BR16</f>
        <v>24.9</v>
      </c>
    </row>
    <row r="17" spans="2:68" x14ac:dyDescent="0.25">
      <c r="B17" s="15" t="s">
        <v>138</v>
      </c>
      <c r="E17">
        <f>Hoja2!I17/1000</f>
        <v>0.30660000000000004</v>
      </c>
      <c r="F17">
        <f>Hoja2!J17/1000</f>
        <v>5.3800000000000001E-2</v>
      </c>
      <c r="G17">
        <f>Hoja2!K17</f>
        <v>9.5129999999999999</v>
      </c>
      <c r="H17">
        <f>Hoja2!L17</f>
        <v>1.2390000000000001</v>
      </c>
      <c r="I17">
        <f>Hoja2!M17</f>
        <v>11.16</v>
      </c>
      <c r="J17">
        <f>Hoja2!N17</f>
        <v>3.44</v>
      </c>
      <c r="K17">
        <f>Hoja2!O17/1000</f>
        <v>1.9129999999999998E-2</v>
      </c>
      <c r="L17">
        <f>Hoja2!P17/1000</f>
        <v>9.3000000000000005E-4</v>
      </c>
      <c r="Q17">
        <f>Hoja2!S17*1000</f>
        <v>5501</v>
      </c>
      <c r="R17">
        <f>Hoja2!T17*1000</f>
        <v>382</v>
      </c>
      <c r="S17">
        <f>Hoja2!U17/1000</f>
        <v>8.5559999999999997E-2</v>
      </c>
      <c r="T17">
        <f>Hoja2!V17/1000</f>
        <v>1.264E-2</v>
      </c>
      <c r="U17">
        <f>Hoja2!W17*1000</f>
        <v>8191.0000000000009</v>
      </c>
      <c r="V17">
        <f>Hoja2!X17*1000</f>
        <v>477</v>
      </c>
      <c r="W17">
        <f>Hoja2!Y17/1000</f>
        <v>0.18159999999999998</v>
      </c>
      <c r="X17">
        <f>Hoja2!Z17/1000</f>
        <v>2.0399999999999998E-2</v>
      </c>
      <c r="Y17">
        <f>Hoja2!AA17/1000</f>
        <v>1.8879999999999999</v>
      </c>
      <c r="Z17">
        <f>Hoja2!AB17/1000</f>
        <v>0.59699999999999998</v>
      </c>
      <c r="AA17">
        <f>Hoja2!AC17/1000</f>
        <v>0.15740000000000001</v>
      </c>
      <c r="AB17">
        <f>Hoja2!AD17/1000</f>
        <v>1.7500000000000002E-2</v>
      </c>
      <c r="AC17">
        <f>Hoja2!AE17</f>
        <v>7.49</v>
      </c>
      <c r="AD17">
        <f>Hoja2!AF17</f>
        <v>0.873</v>
      </c>
      <c r="AE17">
        <f>Hoja2!AG17</f>
        <v>515</v>
      </c>
      <c r="AF17">
        <f>Hoja2!AH17</f>
        <v>46.7</v>
      </c>
      <c r="AG17">
        <f>Hoja2!AI17/1000</f>
        <v>1.274E-2</v>
      </c>
      <c r="AH17">
        <f>Hoja2!AJ17/1000</f>
        <v>3.5699999999999998E-3</v>
      </c>
      <c r="AI17">
        <f>Hoja2!AK17*1000</f>
        <v>25870</v>
      </c>
      <c r="AJ17">
        <f>Hoja2!AL17*1000</f>
        <v>1800</v>
      </c>
      <c r="AK17">
        <f>Hoja2!AM17/1000</f>
        <v>0.92649999999999999</v>
      </c>
      <c r="AL17">
        <f>Hoja2!AN17/1000</f>
        <v>0.11550000000000001</v>
      </c>
      <c r="AM17">
        <f>Hoja2!AO17*1000</f>
        <v>1986</v>
      </c>
      <c r="AN17">
        <f>Hoja2!AP17*1000</f>
        <v>145</v>
      </c>
      <c r="AO17">
        <f>Hoja2!AQ17</f>
        <v>79.78</v>
      </c>
      <c r="AP17">
        <f>Hoja2!AR17</f>
        <v>6.06</v>
      </c>
      <c r="AQ17">
        <f>Hoja2!AS17/1000</f>
        <v>1.6519999999999999</v>
      </c>
      <c r="AR17">
        <f>Hoja2!AT17/1000</f>
        <v>0.17</v>
      </c>
      <c r="AS17">
        <f>Hoja2!AU17</f>
        <v>3254</v>
      </c>
      <c r="AT17">
        <f>Hoja2!AV17</f>
        <v>312</v>
      </c>
      <c r="AU17">
        <f>Hoja2!AW17/1000</f>
        <v>1.4450000000000001</v>
      </c>
      <c r="AV17">
        <f>Hoja2!AX17/1000</f>
        <v>0.223</v>
      </c>
      <c r="AW17">
        <f>Hoja2!AY17*1000</f>
        <v>3835</v>
      </c>
      <c r="AX17">
        <f>Hoja2!AZ17*1000</f>
        <v>231</v>
      </c>
      <c r="AY17">
        <f>Hoja2!BA17/1000</f>
        <v>1.119</v>
      </c>
      <c r="AZ17">
        <f>Hoja2!BB17/1000</f>
        <v>0.222</v>
      </c>
      <c r="BA17">
        <f>Hoja2!BC17/1000</f>
        <v>34.567999999999998</v>
      </c>
      <c r="BB17">
        <f>Hoja2!BD17/1000</f>
        <v>4.3099999999999996</v>
      </c>
      <c r="BC17">
        <f>Hoja2!BE17*1000</f>
        <v>3310</v>
      </c>
      <c r="BD17">
        <f>Hoja2!BF17*1000</f>
        <v>260</v>
      </c>
      <c r="BE17">
        <f>Hoja2!BG17/1000</f>
        <v>4.0070000000000001E-2</v>
      </c>
      <c r="BF17">
        <f>Hoja2!BH17/1000</f>
        <v>1.575E-2</v>
      </c>
      <c r="BG17">
        <f>Hoja2!BI17/1000</f>
        <v>4.8439999999999997E-2</v>
      </c>
      <c r="BH17">
        <f>Hoja2!BJ17/1000</f>
        <v>1.8350000000000002E-2</v>
      </c>
      <c r="BI17">
        <f>Hoja2!BK17</f>
        <v>20.09</v>
      </c>
      <c r="BJ17">
        <f>Hoja2!BL17</f>
        <v>3.67</v>
      </c>
      <c r="BK17">
        <f>Hoja2!BM17</f>
        <v>9.6479999999999997</v>
      </c>
      <c r="BL17">
        <f>Hoja2!BN17</f>
        <v>6.1230000000000002</v>
      </c>
      <c r="BM17">
        <f>Hoja2!BO17/1000</f>
        <v>1.3140000000000001</v>
      </c>
      <c r="BN17">
        <f>Hoja2!BP17/1000</f>
        <v>0.28999999999999998</v>
      </c>
      <c r="BO17">
        <f>Hoja2!BQ17</f>
        <v>32.99</v>
      </c>
      <c r="BP17">
        <f>Hoja2!BR17</f>
        <v>2.58</v>
      </c>
    </row>
    <row r="18" spans="2:68" x14ac:dyDescent="0.25">
      <c r="B18" s="15" t="s">
        <v>141</v>
      </c>
      <c r="E18">
        <f>Hoja2!I18/1000</f>
        <v>1.5619999999999998E-2</v>
      </c>
      <c r="F18">
        <f>Hoja2!J18/1000</f>
        <v>7.0000000000000001E-3</v>
      </c>
      <c r="G18">
        <f>Hoja2!K18</f>
        <v>2.3980000000000001</v>
      </c>
      <c r="H18">
        <f>Hoja2!L18</f>
        <v>0.67600000000000005</v>
      </c>
      <c r="I18">
        <f>Hoja2!M18</f>
        <v>0.18240000000000001</v>
      </c>
      <c r="J18">
        <f>Hoja2!N18</f>
        <v>0.15640000000000001</v>
      </c>
      <c r="K18">
        <f>Hoja2!O18/1000</f>
        <v>1.027E-2</v>
      </c>
      <c r="L18">
        <f>Hoja2!P18/1000</f>
        <v>2.7E-4</v>
      </c>
      <c r="Q18">
        <f>Hoja2!S18*1000</f>
        <v>68.489999999999995</v>
      </c>
      <c r="R18">
        <f>Hoja2!T18*1000</f>
        <v>39.480000000000004</v>
      </c>
      <c r="S18">
        <f>Hoja2!U18/1000</f>
        <v>5.9930000000000001E-3</v>
      </c>
      <c r="T18">
        <f>Hoja2!V18/1000</f>
        <v>3.8419999999999999E-3</v>
      </c>
      <c r="U18">
        <f>Hoja2!W18*1000</f>
        <v>388.1</v>
      </c>
      <c r="V18">
        <f>Hoja2!X18*1000</f>
        <v>116.9</v>
      </c>
      <c r="W18">
        <f>Hoja2!Y18/1000</f>
        <v>1.2880000000000001E-2</v>
      </c>
      <c r="X18">
        <f>Hoja2!Z18/1000</f>
        <v>1.374E-2</v>
      </c>
      <c r="Y18">
        <f>Hoja2!AA18/1000</f>
        <v>9.6390000000000003E-2</v>
      </c>
      <c r="Z18">
        <f>Hoja2!AB18/1000</f>
        <v>0.14334</v>
      </c>
      <c r="AC18">
        <f>Hoja2!AE18</f>
        <v>2.1429999999999998</v>
      </c>
      <c r="AD18">
        <f>Hoja2!AF18</f>
        <v>0.55200000000000005</v>
      </c>
      <c r="AE18">
        <f>Hoja2!AG18</f>
        <v>27.8</v>
      </c>
      <c r="AF18">
        <f>Hoja2!AH18</f>
        <v>4.21</v>
      </c>
      <c r="AI18">
        <f>Hoja2!AK18*1000</f>
        <v>3667</v>
      </c>
      <c r="AJ18">
        <f>Hoja2!AL18*1000</f>
        <v>276</v>
      </c>
      <c r="AK18">
        <f>Hoja2!AM18/1000</f>
        <v>2.8900000000000002E-3</v>
      </c>
      <c r="AL18">
        <f>Hoja2!AN18/1000</f>
        <v>2.2000000000000001E-3</v>
      </c>
      <c r="AM18">
        <f>Hoja2!AO18*1000</f>
        <v>1227</v>
      </c>
      <c r="AN18">
        <f>Hoja2!AP18*1000</f>
        <v>101</v>
      </c>
      <c r="AO18">
        <f>Hoja2!AQ18</f>
        <v>5.8479999999999999</v>
      </c>
      <c r="AP18">
        <f>Hoja2!AR18</f>
        <v>0.76300000000000001</v>
      </c>
      <c r="AQ18">
        <f>Hoja2!AS18/1000</f>
        <v>0.32369999999999999</v>
      </c>
      <c r="AR18">
        <f>Hoja2!AT18/1000</f>
        <v>3.7399999999999996E-2</v>
      </c>
      <c r="AS18">
        <f>Hoja2!AU18</f>
        <v>8.3629999999999995</v>
      </c>
      <c r="AT18">
        <f>Hoja2!AV18</f>
        <v>9.4280000000000008</v>
      </c>
      <c r="AU18">
        <f>Hoja2!AW18/1000</f>
        <v>0.22540000000000002</v>
      </c>
      <c r="AV18">
        <f>Hoja2!AX18/1000</f>
        <v>7.9400000000000012E-2</v>
      </c>
      <c r="AW18">
        <f>Hoja2!AY18*1000</f>
        <v>3174</v>
      </c>
      <c r="AX18">
        <f>Hoja2!AZ18*1000</f>
        <v>230</v>
      </c>
      <c r="AY18">
        <f>Hoja2!BA18/1000</f>
        <v>8.0329999999999999E-2</v>
      </c>
      <c r="AZ18">
        <f>Hoja2!BB18/1000</f>
        <v>0.11728</v>
      </c>
      <c r="BA18">
        <f>Hoja2!BC18/1000</f>
        <v>0.48089999999999999</v>
      </c>
      <c r="BB18">
        <f>Hoja2!BD18/1000</f>
        <v>7.8099999999999989E-2</v>
      </c>
      <c r="BC18">
        <f>Hoja2!BE18*1000</f>
        <v>1056</v>
      </c>
      <c r="BD18">
        <f>Hoja2!BF18*1000</f>
        <v>101</v>
      </c>
      <c r="BE18">
        <f>Hoja2!BG18/1000</f>
        <v>8.2660000000000008E-3</v>
      </c>
      <c r="BF18">
        <f>Hoja2!BH18/1000</f>
        <v>1.129E-2</v>
      </c>
      <c r="BG18">
        <f>Hoja2!BI18/1000</f>
        <v>4.9000000000000002E-2</v>
      </c>
      <c r="BH18">
        <f>Hoja2!BJ18/1000</f>
        <v>1.418E-2</v>
      </c>
      <c r="BI18">
        <f>Hoja2!BK18</f>
        <v>0.2445</v>
      </c>
      <c r="BJ18">
        <f>Hoja2!BL18</f>
        <v>0.37840000000000001</v>
      </c>
      <c r="BO18">
        <f>Hoja2!BQ18</f>
        <v>22.64</v>
      </c>
      <c r="BP18">
        <f>Hoja2!BR18</f>
        <v>2.12</v>
      </c>
    </row>
    <row r="19" spans="2:68" x14ac:dyDescent="0.25">
      <c r="B19" s="16" t="s">
        <v>144</v>
      </c>
      <c r="E19">
        <f>Hoja2!I19/1000</f>
        <v>0.28999999999999998</v>
      </c>
      <c r="F19">
        <f>Hoja2!J19/1000</f>
        <v>2.2699999999999998E-2</v>
      </c>
      <c r="G19">
        <f>Hoja2!K19</f>
        <v>17.98</v>
      </c>
      <c r="H19">
        <f>Hoja2!L19</f>
        <v>1.59</v>
      </c>
      <c r="I19">
        <f>Hoja2!M19</f>
        <v>2.625</v>
      </c>
      <c r="J19">
        <f>Hoja2!N19</f>
        <v>0.71299999999999997</v>
      </c>
      <c r="K19">
        <f>Hoja2!O19/1000</f>
        <v>9.0399999999999994E-3</v>
      </c>
      <c r="L19">
        <f>Hoja2!P19/1000</f>
        <v>4.95E-4</v>
      </c>
      <c r="M19">
        <f>Hoja2!Q19/1000</f>
        <v>1.541E-2</v>
      </c>
      <c r="N19">
        <f>Hoja2!R19/1000</f>
        <v>5.5300000000000002E-3</v>
      </c>
      <c r="Q19">
        <f>Hoja2!S19*1000</f>
        <v>11450</v>
      </c>
      <c r="R19">
        <f>Hoja2!T19*1000</f>
        <v>670</v>
      </c>
      <c r="S19">
        <f>Hoja2!U19/1000</f>
        <v>0.40649999999999997</v>
      </c>
      <c r="T19">
        <f>Hoja2!V19/1000</f>
        <v>5.8000000000000003E-2</v>
      </c>
      <c r="U19">
        <f>Hoja2!W19*1000</f>
        <v>3819</v>
      </c>
      <c r="V19">
        <f>Hoja2!X19*1000</f>
        <v>137</v>
      </c>
      <c r="W19">
        <f>Hoja2!Y19/1000</f>
        <v>9.1420000000000001E-2</v>
      </c>
      <c r="X19">
        <f>Hoja2!Z19/1000</f>
        <v>0.22034999999999999</v>
      </c>
      <c r="Y19">
        <f>Hoja2!AA19/1000</f>
        <v>0.47370000000000001</v>
      </c>
      <c r="Z19">
        <f>Hoja2!AB19/1000</f>
        <v>0.12759999999999999</v>
      </c>
      <c r="AA19">
        <f>Hoja2!AC19/1000</f>
        <v>6.2100000000000002E-2</v>
      </c>
      <c r="AB19">
        <f>Hoja2!AD19/1000</f>
        <v>7.9000000000000008E-3</v>
      </c>
      <c r="AC19">
        <f>Hoja2!AE19</f>
        <v>6.5380000000000003</v>
      </c>
      <c r="AD19">
        <f>Hoja2!AF19</f>
        <v>0.67800000000000005</v>
      </c>
      <c r="AE19">
        <f>Hoja2!AG19</f>
        <v>192.4</v>
      </c>
      <c r="AF19">
        <f>Hoja2!AH19</f>
        <v>19.5</v>
      </c>
      <c r="AG19">
        <f>Hoja2!AI19/1000</f>
        <v>4.4889999999999999E-3</v>
      </c>
      <c r="AH19">
        <f>Hoja2!AJ19/1000</f>
        <v>1.5770000000000001E-3</v>
      </c>
      <c r="AI19">
        <f>Hoja2!AK19*1000</f>
        <v>22950</v>
      </c>
      <c r="AJ19">
        <f>Hoja2!AL19*1000</f>
        <v>1290</v>
      </c>
      <c r="AK19">
        <f>Hoja2!AM19/1000</f>
        <v>3.3410000000000002</v>
      </c>
      <c r="AL19">
        <f>Hoja2!AN19/1000</f>
        <v>0.41299999999999998</v>
      </c>
      <c r="AM19">
        <f>Hoja2!AO19*1000</f>
        <v>1582</v>
      </c>
      <c r="AN19">
        <f>Hoja2!AP19*1000</f>
        <v>87</v>
      </c>
      <c r="AO19">
        <f>Hoja2!AQ19</f>
        <v>19.47</v>
      </c>
      <c r="AP19">
        <f>Hoja2!AR19</f>
        <v>1.74</v>
      </c>
      <c r="AQ19">
        <f>Hoja2!AS19/1000</f>
        <v>0.5121</v>
      </c>
      <c r="AR19">
        <f>Hoja2!AT19/1000</f>
        <v>5.0999999999999997E-2</v>
      </c>
      <c r="AS19">
        <f>Hoja2!AU19</f>
        <v>241.6</v>
      </c>
      <c r="AT19">
        <f>Hoja2!AV19</f>
        <v>35.200000000000003</v>
      </c>
      <c r="AU19">
        <f>Hoja2!AW19/1000</f>
        <v>0.41099999999999998</v>
      </c>
      <c r="AV19">
        <f>Hoja2!AX19/1000</f>
        <v>9.4E-2</v>
      </c>
      <c r="AW19">
        <f>Hoja2!AY19*1000</f>
        <v>2012</v>
      </c>
      <c r="AX19">
        <f>Hoja2!AZ19*1000</f>
        <v>128</v>
      </c>
      <c r="AY19">
        <f>Hoja2!BA19/1000</f>
        <v>0.80079999999999996</v>
      </c>
      <c r="AZ19">
        <f>Hoja2!BB19/1000</f>
        <v>0.11320000000000001</v>
      </c>
      <c r="BA19">
        <f>Hoja2!BC19/1000</f>
        <v>5.0510000000000002</v>
      </c>
      <c r="BB19">
        <f>Hoja2!BD19/1000</f>
        <v>0.29099999999999998</v>
      </c>
      <c r="BC19">
        <f>Hoja2!BE19*1000</f>
        <v>1247</v>
      </c>
      <c r="BD19">
        <f>Hoja2!BF19*1000</f>
        <v>86</v>
      </c>
      <c r="BE19">
        <f>Hoja2!BG19/1000</f>
        <v>2.068E-2</v>
      </c>
      <c r="BF19">
        <f>Hoja2!BH19/1000</f>
        <v>2.32E-3</v>
      </c>
      <c r="BI19">
        <f>Hoja2!BK19</f>
        <v>26.53</v>
      </c>
      <c r="BJ19">
        <f>Hoja2!BL19</f>
        <v>1.03</v>
      </c>
      <c r="BM19">
        <f>Hoja2!BO19/1000</f>
        <v>0.40749999999999997</v>
      </c>
      <c r="BN19">
        <f>Hoja2!BP19/1000</f>
        <v>0.1103</v>
      </c>
      <c r="BO19">
        <f>Hoja2!BQ19</f>
        <v>104.8</v>
      </c>
      <c r="BP19">
        <f>Hoja2!BR19</f>
        <v>8.3000000000000007</v>
      </c>
    </row>
    <row r="20" spans="2:68" x14ac:dyDescent="0.25">
      <c r="B20" s="16" t="s">
        <v>146</v>
      </c>
      <c r="E20">
        <f>Hoja2!I20/1000</f>
        <v>6.6599999999999993E-2</v>
      </c>
      <c r="F20">
        <f>Hoja2!J20/1000</f>
        <v>1.1130000000000001E-2</v>
      </c>
      <c r="G20">
        <f>Hoja2!K20</f>
        <v>66.78</v>
      </c>
      <c r="H20">
        <f>Hoja2!L20</f>
        <v>7.24</v>
      </c>
      <c r="I20">
        <f>Hoja2!M20</f>
        <v>17.010000000000002</v>
      </c>
      <c r="J20">
        <f>Hoja2!N20</f>
        <v>1.3</v>
      </c>
      <c r="K20">
        <f>Hoja2!O20/1000</f>
        <v>5.2399999999999995E-2</v>
      </c>
      <c r="L20">
        <f>Hoja2!P20/1000</f>
        <v>5.0000000000000001E-3</v>
      </c>
      <c r="M20">
        <f>Hoja2!Q20/1000</f>
        <v>1.022E-2</v>
      </c>
      <c r="N20">
        <f>Hoja2!R20/1000</f>
        <v>9.7999999999999997E-4</v>
      </c>
      <c r="Q20">
        <f>Hoja2!S20*1000</f>
        <v>6065</v>
      </c>
      <c r="R20">
        <f>Hoja2!T20*1000</f>
        <v>387</v>
      </c>
      <c r="S20">
        <f>Hoja2!U20/1000</f>
        <v>7.4029999999999999E-3</v>
      </c>
      <c r="T20">
        <f>Hoja2!V20/1000</f>
        <v>6.9429999999999995E-3</v>
      </c>
      <c r="U20">
        <f>Hoja2!W20*1000</f>
        <v>2425</v>
      </c>
      <c r="V20">
        <f>Hoja2!X20*1000</f>
        <v>255</v>
      </c>
      <c r="W20">
        <f>Hoja2!Y20/1000</f>
        <v>0.10920000000000001</v>
      </c>
      <c r="X20">
        <f>Hoja2!Z20/1000</f>
        <v>1.8499999999999999E-2</v>
      </c>
      <c r="Y20">
        <f>Hoja2!AA20/1000</f>
        <v>0.3427</v>
      </c>
      <c r="Z20">
        <f>Hoja2!AB20/1000</f>
        <v>0.12279999999999999</v>
      </c>
      <c r="AA20">
        <f>Hoja2!AC20/1000</f>
        <v>9.1299999999999992E-2</v>
      </c>
      <c r="AB20">
        <f>Hoja2!AD20/1000</f>
        <v>8.6999999999999994E-3</v>
      </c>
      <c r="AC20">
        <f>Hoja2!AE20</f>
        <v>4.827</v>
      </c>
      <c r="AD20">
        <f>Hoja2!AF20</f>
        <v>0.67500000000000004</v>
      </c>
      <c r="AE20">
        <f>Hoja2!AG20</f>
        <v>73.47</v>
      </c>
      <c r="AF20">
        <f>Hoja2!AH20</f>
        <v>8.24</v>
      </c>
      <c r="AG20">
        <f>Hoja2!AI20/1000</f>
        <v>5.7079999999999999E-2</v>
      </c>
      <c r="AH20">
        <f>Hoja2!AJ20/1000</f>
        <v>3.3900000000000002E-3</v>
      </c>
      <c r="AI20">
        <f>Hoja2!AK20*1000</f>
        <v>5043</v>
      </c>
      <c r="AJ20">
        <f>Hoja2!AL20*1000</f>
        <v>360</v>
      </c>
      <c r="AK20">
        <f>Hoja2!AM20/1000</f>
        <v>0.8247000000000001</v>
      </c>
      <c r="AL20">
        <f>Hoja2!AN20/1000</f>
        <v>0.20130000000000001</v>
      </c>
      <c r="AM20">
        <f>Hoja2!AO20*1000</f>
        <v>2143</v>
      </c>
      <c r="AN20">
        <f>Hoja2!AP20*1000</f>
        <v>157</v>
      </c>
      <c r="AO20">
        <f>Hoja2!AQ20</f>
        <v>791.9</v>
      </c>
      <c r="AP20">
        <f>Hoja2!AR20</f>
        <v>79.599999999999994</v>
      </c>
      <c r="AQ20">
        <f>Hoja2!AS20/1000</f>
        <v>3.3030000000000004E-2</v>
      </c>
      <c r="AR20">
        <f>Hoja2!AT20/1000</f>
        <v>1.231E-2</v>
      </c>
      <c r="AS20">
        <f>Hoja2!AU20</f>
        <v>2173</v>
      </c>
      <c r="AT20">
        <f>Hoja2!AV20</f>
        <v>178</v>
      </c>
      <c r="AU20">
        <f>Hoja2!AW20/1000</f>
        <v>3.8690000000000002</v>
      </c>
      <c r="AV20">
        <f>Hoja2!AX20/1000</f>
        <v>0.33700000000000002</v>
      </c>
      <c r="AW20">
        <f>Hoja2!AY20*1000</f>
        <v>835.9</v>
      </c>
      <c r="AX20">
        <f>Hoja2!AZ20*1000</f>
        <v>51.5</v>
      </c>
      <c r="AY20">
        <f>Hoja2!BA20/1000</f>
        <v>0.13390000000000002</v>
      </c>
      <c r="AZ20">
        <f>Hoja2!BB20/1000</f>
        <v>3.2500000000000001E-2</v>
      </c>
      <c r="BA20">
        <f>Hoja2!BC20/1000</f>
        <v>16.559000000000001</v>
      </c>
      <c r="BB20">
        <f>Hoja2!BD20/1000</f>
        <v>0.65900000000000003</v>
      </c>
      <c r="BC20">
        <f>Hoja2!BE20*1000</f>
        <v>1077</v>
      </c>
      <c r="BD20">
        <f>Hoja2!BF20*1000</f>
        <v>113</v>
      </c>
      <c r="BE20">
        <f>Hoja2!BG20/1000</f>
        <v>7.3000000000000001E-3</v>
      </c>
      <c r="BF20">
        <f>Hoja2!BH20/1000</f>
        <v>1.74E-3</v>
      </c>
      <c r="BG20">
        <f>Hoja2!BI20/1000</f>
        <v>2.053E-2</v>
      </c>
      <c r="BH20">
        <f>Hoja2!BJ20/1000</f>
        <v>7.0899999999999999E-3</v>
      </c>
      <c r="BI20">
        <f>Hoja2!BK20</f>
        <v>17.079999999999998</v>
      </c>
      <c r="BJ20">
        <f>Hoja2!BL20</f>
        <v>0.74</v>
      </c>
      <c r="BM20">
        <f>Hoja2!BO20/1000</f>
        <v>0.11120000000000001</v>
      </c>
      <c r="BN20">
        <f>Hoja2!BP20/1000</f>
        <v>1.8499999999999999E-2</v>
      </c>
      <c r="BO20">
        <f>Hoja2!BQ20</f>
        <v>12.66</v>
      </c>
      <c r="BP20">
        <f>Hoja2!BR20</f>
        <v>1.36</v>
      </c>
    </row>
    <row r="21" spans="2:68" x14ac:dyDescent="0.25">
      <c r="B21" s="16" t="s">
        <v>149</v>
      </c>
      <c r="E21">
        <f>Hoja2!I21/1000</f>
        <v>0.40600000000000003</v>
      </c>
      <c r="F21">
        <f>Hoja2!J21/1000</f>
        <v>4.7200000000000006E-2</v>
      </c>
      <c r="G21">
        <f>Hoja2!K21</f>
        <v>44.5</v>
      </c>
      <c r="H21">
        <f>Hoja2!L21</f>
        <v>2.87</v>
      </c>
      <c r="I21">
        <f>Hoja2!M21</f>
        <v>9.9209999999999994</v>
      </c>
      <c r="J21">
        <f>Hoja2!N21</f>
        <v>1.7290000000000001</v>
      </c>
      <c r="K21">
        <f>Hoja2!O21/1000</f>
        <v>3.9200000000000006E-2</v>
      </c>
      <c r="L21">
        <f>Hoja2!P21/1000</f>
        <v>1.1599999999999999E-2</v>
      </c>
      <c r="M21">
        <f>Hoja2!Q21/1000</f>
        <v>1.9609999999999999E-2</v>
      </c>
      <c r="N21">
        <f>Hoja2!R21/1000</f>
        <v>1.6999999999999999E-3</v>
      </c>
      <c r="Q21">
        <f>Hoja2!S21*1000</f>
        <v>22860</v>
      </c>
      <c r="R21">
        <f>Hoja2!T21*1000</f>
        <v>1550</v>
      </c>
      <c r="S21">
        <f>Hoja2!U21/1000</f>
        <v>4.7789999999999999E-2</v>
      </c>
      <c r="T21">
        <f>Hoja2!V21/1000</f>
        <v>6.4099999999999999E-3</v>
      </c>
      <c r="U21">
        <f>Hoja2!W21*1000</f>
        <v>5256</v>
      </c>
      <c r="V21">
        <f>Hoja2!X21*1000</f>
        <v>202</v>
      </c>
      <c r="W21">
        <f>Hoja2!Y21/1000</f>
        <v>0.26450000000000001</v>
      </c>
      <c r="X21">
        <f>Hoja2!Z21/1000</f>
        <v>6.3600000000000004E-2</v>
      </c>
      <c r="Y21">
        <f>Hoja2!AA21/1000</f>
        <v>0.82289999999999996</v>
      </c>
      <c r="Z21">
        <f>Hoja2!AB21/1000</f>
        <v>0.2014</v>
      </c>
      <c r="AA21">
        <f>Hoja2!AC21/1000</f>
        <v>6.1499999999999999E-2</v>
      </c>
      <c r="AB21">
        <f>Hoja2!AD21/1000</f>
        <v>8.5000000000000006E-3</v>
      </c>
      <c r="AC21">
        <f>Hoja2!AE21</f>
        <v>4.2210000000000001</v>
      </c>
      <c r="AD21">
        <f>Hoja2!AF21</f>
        <v>0.77400000000000002</v>
      </c>
      <c r="AE21">
        <f>Hoja2!AG21</f>
        <v>223.9</v>
      </c>
      <c r="AF21">
        <f>Hoja2!AH21</f>
        <v>20.5</v>
      </c>
      <c r="AG21">
        <f>Hoja2!AI21/1000</f>
        <v>1.03E-2</v>
      </c>
      <c r="AH21">
        <f>Hoja2!AJ21/1000</f>
        <v>4.0300000000000006E-3</v>
      </c>
      <c r="AI21">
        <f>Hoja2!AK21*1000</f>
        <v>26120</v>
      </c>
      <c r="AJ21">
        <f>Hoja2!AL21*1000</f>
        <v>1230</v>
      </c>
      <c r="AK21">
        <f>Hoja2!AM21/1000</f>
        <v>0.47699999999999998</v>
      </c>
      <c r="AL21">
        <f>Hoja2!AN21/1000</f>
        <v>5.7000000000000002E-2</v>
      </c>
      <c r="AM21">
        <f>Hoja2!AO21*1000</f>
        <v>1625</v>
      </c>
      <c r="AN21">
        <f>Hoja2!AP21*1000</f>
        <v>107</v>
      </c>
      <c r="AO21">
        <f>Hoja2!AQ21</f>
        <v>40.39</v>
      </c>
      <c r="AP21">
        <f>Hoja2!AR21</f>
        <v>2.81</v>
      </c>
      <c r="AQ21">
        <f>Hoja2!AS21/1000</f>
        <v>0.35930000000000001</v>
      </c>
      <c r="AR21">
        <f>Hoja2!AT21/1000</f>
        <v>3.9399999999999998E-2</v>
      </c>
      <c r="AS21">
        <f>Hoja2!AU21</f>
        <v>191.3</v>
      </c>
      <c r="AT21">
        <f>Hoja2!AV21</f>
        <v>27.7</v>
      </c>
      <c r="AU21">
        <f>Hoja2!AW21/1000</f>
        <v>1.147</v>
      </c>
      <c r="AV21">
        <f>Hoja2!AX21/1000</f>
        <v>0.219</v>
      </c>
      <c r="AW21">
        <f>Hoja2!AY21*1000</f>
        <v>2340</v>
      </c>
      <c r="AX21">
        <f>Hoja2!AZ21*1000</f>
        <v>127</v>
      </c>
      <c r="AY21">
        <f>Hoja2!BA21/1000</f>
        <v>0.82820000000000005</v>
      </c>
      <c r="AZ21">
        <f>Hoja2!BB21/1000</f>
        <v>0.1168</v>
      </c>
      <c r="BA21">
        <f>Hoja2!BC21/1000</f>
        <v>1.978</v>
      </c>
      <c r="BB21">
        <f>Hoja2!BD21/1000</f>
        <v>0.122</v>
      </c>
      <c r="BC21">
        <f>Hoja2!BE21*1000</f>
        <v>2971</v>
      </c>
      <c r="BD21">
        <f>Hoja2!BF21*1000</f>
        <v>207</v>
      </c>
      <c r="BE21">
        <f>Hoja2!BG21/1000</f>
        <v>3.4799999999999998E-2</v>
      </c>
      <c r="BF21">
        <f>Hoja2!BH21/1000</f>
        <v>9.8999999999999999E-4</v>
      </c>
      <c r="BG21">
        <f>Hoja2!BI21/1000</f>
        <v>0.13019999999999998</v>
      </c>
      <c r="BH21">
        <f>Hoja2!BJ21/1000</f>
        <v>2.81E-2</v>
      </c>
      <c r="BI21">
        <f>Hoja2!BK21</f>
        <v>54.11</v>
      </c>
      <c r="BJ21">
        <f>Hoja2!BL21</f>
        <v>2.58</v>
      </c>
      <c r="BK21">
        <f>Hoja2!BM21</f>
        <v>10.4</v>
      </c>
      <c r="BL21">
        <f>Hoja2!BN21</f>
        <v>1.27</v>
      </c>
      <c r="BM21">
        <f>Hoja2!BO21/1000</f>
        <v>0.77339999999999998</v>
      </c>
      <c r="BN21">
        <f>Hoja2!BP21/1000</f>
        <v>0.26389999999999997</v>
      </c>
      <c r="BO21">
        <f>Hoja2!BQ21</f>
        <v>19.71</v>
      </c>
      <c r="BP21">
        <f>Hoja2!BR21</f>
        <v>1.5</v>
      </c>
    </row>
    <row r="22" spans="2:68" x14ac:dyDescent="0.25">
      <c r="B22" s="16" t="s">
        <v>150</v>
      </c>
      <c r="E22">
        <f>Hoja2!I22/1000</f>
        <v>5.7299999999999997E-2</v>
      </c>
      <c r="F22">
        <f>Hoja2!J22/1000</f>
        <v>3.1379999999999998E-2</v>
      </c>
      <c r="G22">
        <f>Hoja2!K22</f>
        <v>17.850000000000001</v>
      </c>
      <c r="H22">
        <f>Hoja2!L22</f>
        <v>1.75</v>
      </c>
      <c r="I22">
        <f>Hoja2!M22</f>
        <v>10.050000000000001</v>
      </c>
      <c r="J22">
        <f>Hoja2!N22</f>
        <v>2.7</v>
      </c>
      <c r="K22">
        <f>Hoja2!O22/1000</f>
        <v>2.2600000000000002E-2</v>
      </c>
      <c r="L22">
        <f>Hoja2!P22/1000</f>
        <v>1.4E-3</v>
      </c>
      <c r="M22">
        <f>Hoja2!Q22/1000</f>
        <v>5.2550000000000001E-3</v>
      </c>
      <c r="N22">
        <f>Hoja2!R22/1000</f>
        <v>1.8549999999999999E-3</v>
      </c>
      <c r="Q22">
        <f>Hoja2!S22*1000</f>
        <v>7135</v>
      </c>
      <c r="R22">
        <f>Hoja2!T22*1000</f>
        <v>543</v>
      </c>
      <c r="S22">
        <f>Hoja2!U22/1000</f>
        <v>4.0090000000000001E-2</v>
      </c>
      <c r="T22">
        <f>Hoja2!V22/1000</f>
        <v>5.9699999999999996E-3</v>
      </c>
      <c r="U22">
        <f>Hoja2!W22*1000</f>
        <v>6330</v>
      </c>
      <c r="V22">
        <f>Hoja2!X22*1000</f>
        <v>197</v>
      </c>
      <c r="W22">
        <f>Hoja2!Y22/1000</f>
        <v>3.056E-2</v>
      </c>
      <c r="X22">
        <f>Hoja2!Z22/1000</f>
        <v>2.1350000000000001E-2</v>
      </c>
      <c r="Y22">
        <f>Hoja2!AA22/1000</f>
        <v>0.27979999999999999</v>
      </c>
      <c r="Z22">
        <f>Hoja2!AB22/1000</f>
        <v>9.820000000000001E-2</v>
      </c>
      <c r="AA22">
        <f>Hoja2!AC22/1000</f>
        <v>0.128</v>
      </c>
      <c r="AB22">
        <f>Hoja2!AD22/1000</f>
        <v>1.2E-2</v>
      </c>
      <c r="AC22">
        <f>Hoja2!AE22</f>
        <v>5.9770000000000003</v>
      </c>
      <c r="AD22">
        <f>Hoja2!AF22</f>
        <v>0.88200000000000001</v>
      </c>
      <c r="AE22">
        <f>Hoja2!AG22</f>
        <v>85.88</v>
      </c>
      <c r="AF22">
        <f>Hoja2!AH22</f>
        <v>9.5500000000000007</v>
      </c>
      <c r="AG22">
        <f>Hoja2!AI22/1000</f>
        <v>2.7820000000000001E-2</v>
      </c>
      <c r="AH22">
        <f>Hoja2!AJ22/1000</f>
        <v>4.2300000000000003E-3</v>
      </c>
      <c r="AI22">
        <f>Hoja2!AK22*1000</f>
        <v>9975</v>
      </c>
      <c r="AJ22">
        <f>Hoja2!AL22*1000</f>
        <v>719</v>
      </c>
      <c r="AK22">
        <f>Hoja2!AM22/1000</f>
        <v>6.105E-2</v>
      </c>
      <c r="AL22">
        <f>Hoja2!AN22/1000</f>
        <v>1.23E-2</v>
      </c>
      <c r="AM22">
        <f>Hoja2!AO22*1000</f>
        <v>2989</v>
      </c>
      <c r="AN22">
        <f>Hoja2!AP22*1000</f>
        <v>253</v>
      </c>
      <c r="AO22">
        <f>Hoja2!AQ22</f>
        <v>457.7</v>
      </c>
      <c r="AP22">
        <f>Hoja2!AR22</f>
        <v>50.5</v>
      </c>
      <c r="AQ22">
        <f>Hoja2!AS22/1000</f>
        <v>0.12290000000000001</v>
      </c>
      <c r="AR22">
        <f>Hoja2!AT22/1000</f>
        <v>1.9899999999999998E-2</v>
      </c>
      <c r="AS22">
        <f>Hoja2!AU22</f>
        <v>70.290000000000006</v>
      </c>
      <c r="AT22">
        <f>Hoja2!AV22</f>
        <v>20.67</v>
      </c>
      <c r="AU22">
        <f>Hoja2!AW22/1000</f>
        <v>1.044</v>
      </c>
      <c r="AV22">
        <f>Hoja2!AX22/1000</f>
        <v>0.13400000000000001</v>
      </c>
      <c r="AW22">
        <f>Hoja2!AY22*1000</f>
        <v>1600</v>
      </c>
      <c r="AX22">
        <f>Hoja2!AZ22*1000</f>
        <v>116</v>
      </c>
      <c r="AY22">
        <f>Hoja2!BA22/1000</f>
        <v>0.19450000000000001</v>
      </c>
      <c r="AZ22">
        <f>Hoja2!BB22/1000</f>
        <v>4.478E-2</v>
      </c>
      <c r="BA22">
        <f>Hoja2!BC22/1000</f>
        <v>11.4</v>
      </c>
      <c r="BB22">
        <f>Hoja2!BD22/1000</f>
        <v>0.56899999999999995</v>
      </c>
      <c r="BC22">
        <f>Hoja2!BE22*1000</f>
        <v>1789</v>
      </c>
      <c r="BD22">
        <f>Hoja2!BF22*1000</f>
        <v>128</v>
      </c>
      <c r="BE22">
        <f>Hoja2!BG22/1000</f>
        <v>6.8550000000000008E-3</v>
      </c>
      <c r="BF22">
        <f>Hoja2!BH22/1000</f>
        <v>2.7499999999999998E-3</v>
      </c>
      <c r="BG22">
        <f>Hoja2!BI22/1000</f>
        <v>0.37980000000000003</v>
      </c>
      <c r="BH22">
        <f>Hoja2!BJ22/1000</f>
        <v>3.8700000000000005E-2</v>
      </c>
      <c r="BI22">
        <f>Hoja2!BK22</f>
        <v>18.25</v>
      </c>
      <c r="BJ22">
        <f>Hoja2!BL22</f>
        <v>1.45</v>
      </c>
      <c r="BM22">
        <f>Hoja2!BO22/1000</f>
        <v>0.17419999999999999</v>
      </c>
      <c r="BN22">
        <f>Hoja2!BP22/1000</f>
        <v>2.7300000000000001E-2</v>
      </c>
      <c r="BO22">
        <f>Hoja2!BQ22</f>
        <v>16.329999999999998</v>
      </c>
      <c r="BP22">
        <f>Hoja2!BR22</f>
        <v>1.79</v>
      </c>
    </row>
    <row r="23" spans="2:68" x14ac:dyDescent="0.25">
      <c r="B23" s="17" t="s">
        <v>151</v>
      </c>
      <c r="E23">
        <f>Hoja2!I23/1000</f>
        <v>1.291E-2</v>
      </c>
      <c r="F23">
        <f>Hoja2!J23/1000</f>
        <v>1.3470000000000001E-2</v>
      </c>
      <c r="G23">
        <f>Hoja2!K23</f>
        <v>26.13</v>
      </c>
      <c r="H23">
        <f>Hoja2!L23</f>
        <v>2.5499999999999998</v>
      </c>
      <c r="I23">
        <f>Hoja2!M23</f>
        <v>24.83</v>
      </c>
      <c r="J23">
        <f>Hoja2!N23</f>
        <v>2.17</v>
      </c>
      <c r="K23">
        <f>Hoja2!O23/1000</f>
        <v>3.3700000000000002E-3</v>
      </c>
      <c r="L23">
        <f>Hoja2!P23/1000</f>
        <v>1.16E-3</v>
      </c>
      <c r="M23">
        <f>Hoja2!Q23/1000</f>
        <v>2.4849999999999999</v>
      </c>
      <c r="N23">
        <f>Hoja2!R23/1000</f>
        <v>2.4849999999999999</v>
      </c>
      <c r="Q23">
        <f>Hoja2!S23*1000</f>
        <v>7084</v>
      </c>
      <c r="R23">
        <f>Hoja2!T23*1000</f>
        <v>423</v>
      </c>
      <c r="S23">
        <f>Hoja2!U23/1000</f>
        <v>1.0369999999999999E-2</v>
      </c>
      <c r="T23">
        <f>Hoja2!V23/1000</f>
        <v>1.243E-2</v>
      </c>
      <c r="U23">
        <f>Hoja2!W23*1000</f>
        <v>9809</v>
      </c>
      <c r="V23">
        <f>Hoja2!X23*1000</f>
        <v>658</v>
      </c>
      <c r="W23">
        <f>Hoja2!Y23/1000</f>
        <v>7.9769999999999994E-2</v>
      </c>
      <c r="X23">
        <f>Hoja2!Z23/1000</f>
        <v>1.2630000000000001E-2</v>
      </c>
      <c r="Y23">
        <f>Hoja2!AA23/1000</f>
        <v>0.63149999999999995</v>
      </c>
      <c r="Z23">
        <f>Hoja2!AB23/1000</f>
        <v>0.15590000000000001</v>
      </c>
      <c r="AA23">
        <f>Hoja2!AC23/1000</f>
        <v>4.165E-2</v>
      </c>
      <c r="AB23">
        <f>Hoja2!AD23/1000</f>
        <v>8.2300000000000012E-3</v>
      </c>
      <c r="AC23">
        <f>Hoja2!AE23</f>
        <v>11.06</v>
      </c>
      <c r="AD23">
        <f>Hoja2!AF23</f>
        <v>0.81</v>
      </c>
      <c r="AE23">
        <f>Hoja2!AG23</f>
        <v>93.94</v>
      </c>
      <c r="AF23">
        <f>Hoja2!AH23</f>
        <v>9.0500000000000007</v>
      </c>
      <c r="AG23">
        <f>Hoja2!AI23/1000</f>
        <v>7.7599999999999995E-3</v>
      </c>
      <c r="AH23">
        <f>Hoja2!AJ23/1000</f>
        <v>2.2820000000000002E-3</v>
      </c>
      <c r="AI23">
        <f>Hoja2!AK23*1000</f>
        <v>39010</v>
      </c>
      <c r="AJ23">
        <f>Hoja2!AL23*1000</f>
        <v>2720</v>
      </c>
      <c r="AM23">
        <f>Hoja2!AO23*1000</f>
        <v>3086</v>
      </c>
      <c r="AN23">
        <f>Hoja2!AP23*1000</f>
        <v>184</v>
      </c>
      <c r="AO23">
        <f>Hoja2!AQ23</f>
        <v>916.3</v>
      </c>
      <c r="AP23">
        <f>Hoja2!AR23</f>
        <v>72.599999999999994</v>
      </c>
      <c r="AQ23">
        <f>Hoja2!AS23/1000</f>
        <v>0.35810000000000003</v>
      </c>
      <c r="AR23">
        <f>Hoja2!AT23/1000</f>
        <v>2.9700000000000001E-2</v>
      </c>
      <c r="AS23">
        <f>Hoja2!AU23</f>
        <v>95.06</v>
      </c>
      <c r="AT23">
        <f>Hoja2!AV23</f>
        <v>17.07</v>
      </c>
      <c r="AU23">
        <f>Hoja2!AW23/1000</f>
        <v>0.64890000000000003</v>
      </c>
      <c r="AV23">
        <f>Hoja2!AX23/1000</f>
        <v>7.3400000000000007E-2</v>
      </c>
      <c r="AW23">
        <f>Hoja2!AY23*1000</f>
        <v>2095</v>
      </c>
      <c r="AX23">
        <f>Hoja2!AZ23*1000</f>
        <v>135</v>
      </c>
      <c r="AY23">
        <f>Hoja2!BA23/1000</f>
        <v>6.3829999999999998E-2</v>
      </c>
      <c r="AZ23">
        <f>Hoja2!BB23/1000</f>
        <v>3.4549999999999997E-2</v>
      </c>
      <c r="BA23">
        <f>Hoja2!BC23/1000</f>
        <v>11.545999999999999</v>
      </c>
      <c r="BB23">
        <f>Hoja2!BD23/1000</f>
        <v>1.012</v>
      </c>
      <c r="BC23">
        <f>Hoja2!BE23*1000</f>
        <v>2377</v>
      </c>
      <c r="BD23">
        <f>Hoja2!BF23*1000</f>
        <v>187</v>
      </c>
      <c r="BE23">
        <f>Hoja2!BG23/1000</f>
        <v>1.4630000000000001E-2</v>
      </c>
      <c r="BF23">
        <f>Hoja2!BH23/1000</f>
        <v>6.8899999999999994E-3</v>
      </c>
      <c r="BG23">
        <f>Hoja2!BI23/1000</f>
        <v>4.3209999999999998E-2</v>
      </c>
      <c r="BH23">
        <f>Hoja2!BJ23/1000</f>
        <v>2.266E-2</v>
      </c>
      <c r="BI23">
        <f>Hoja2!BK23</f>
        <v>21</v>
      </c>
      <c r="BJ23">
        <f>Hoja2!BL23</f>
        <v>2.37</v>
      </c>
      <c r="BM23">
        <f>Hoja2!BO23/1000</f>
        <v>6.7589999999999997E-2</v>
      </c>
      <c r="BN23">
        <f>Hoja2!BP23/1000</f>
        <v>2.7820000000000001E-2</v>
      </c>
      <c r="BO23">
        <f>Hoja2!BQ23</f>
        <v>22.68</v>
      </c>
      <c r="BP23">
        <f>Hoja2!BR23</f>
        <v>1.65</v>
      </c>
    </row>
    <row r="24" spans="2:68" x14ac:dyDescent="0.25">
      <c r="B24" s="17" t="s">
        <v>153</v>
      </c>
      <c r="E24">
        <f>Hoja2!I24/1000</f>
        <v>2.1539999999999999</v>
      </c>
      <c r="F24">
        <f>Hoja2!J24/1000</f>
        <v>0.40799999999999997</v>
      </c>
      <c r="G24">
        <f>Hoja2!K24</f>
        <v>36.79</v>
      </c>
      <c r="H24">
        <f>Hoja2!L24</f>
        <v>3.31</v>
      </c>
      <c r="I24">
        <f>Hoja2!M24</f>
        <v>12.35</v>
      </c>
      <c r="J24">
        <f>Hoja2!N24</f>
        <v>7.69</v>
      </c>
      <c r="K24">
        <f>Hoja2!O24/1000</f>
        <v>0.1215</v>
      </c>
      <c r="L24">
        <f>Hoja2!P24/1000</f>
        <v>2.35E-2</v>
      </c>
      <c r="M24">
        <f>Hoja2!Q24/1000</f>
        <v>1.84E-2</v>
      </c>
      <c r="N24">
        <f>Hoja2!R24/1000</f>
        <v>8.4000000000000012E-3</v>
      </c>
      <c r="Q24">
        <f>Hoja2!S24*1000</f>
        <v>16530</v>
      </c>
      <c r="R24">
        <f>Hoja2!T24*1000</f>
        <v>940</v>
      </c>
      <c r="S24">
        <f>Hoja2!U24/1000</f>
        <v>0.12709999999999999</v>
      </c>
      <c r="T24">
        <f>Hoja2!V24/1000</f>
        <v>1.5599999999999999E-2</v>
      </c>
      <c r="U24">
        <f>Hoja2!W24*1000</f>
        <v>5522</v>
      </c>
      <c r="V24">
        <f>Hoja2!X24*1000</f>
        <v>350</v>
      </c>
      <c r="W24">
        <f>Hoja2!Y24/1000</f>
        <v>0.74939999999999996</v>
      </c>
      <c r="X24">
        <f>Hoja2!Z24/1000</f>
        <v>0.3271</v>
      </c>
      <c r="Y24">
        <f>Hoja2!AA24/1000</f>
        <v>4.1710000000000003</v>
      </c>
      <c r="Z24">
        <f>Hoja2!AB24/1000</f>
        <v>1.8160000000000001</v>
      </c>
      <c r="AA24">
        <f>Hoja2!AC24/1000</f>
        <v>0.19450000000000001</v>
      </c>
      <c r="AB24">
        <f>Hoja2!AD24/1000</f>
        <v>3.9600000000000003E-2</v>
      </c>
      <c r="AC24">
        <f>Hoja2!AE24</f>
        <v>9.2149999999999999</v>
      </c>
      <c r="AD24">
        <f>Hoja2!AF24</f>
        <v>0.85299999999999998</v>
      </c>
      <c r="AE24">
        <f>Hoja2!AG24</f>
        <v>923.1</v>
      </c>
      <c r="AF24">
        <f>Hoja2!AH24</f>
        <v>149.30000000000001</v>
      </c>
      <c r="AG24">
        <f>Hoja2!AI24/1000</f>
        <v>1.2230000000000001E-2</v>
      </c>
      <c r="AH24">
        <f>Hoja2!AJ24/1000</f>
        <v>1.2700000000000001E-3</v>
      </c>
      <c r="AI24">
        <f>Hoja2!AK24*1000</f>
        <v>21870</v>
      </c>
      <c r="AJ24">
        <f>Hoja2!AL24*1000</f>
        <v>1510</v>
      </c>
      <c r="AK24">
        <f>Hoja2!AM24/1000</f>
        <v>1.3109999999999999</v>
      </c>
      <c r="AL24">
        <f>Hoja2!AN24/1000</f>
        <v>0.41099999999999998</v>
      </c>
      <c r="AM24">
        <f>Hoja2!AO24*1000</f>
        <v>1845</v>
      </c>
      <c r="AN24">
        <f>Hoja2!AP24*1000</f>
        <v>114</v>
      </c>
      <c r="AO24">
        <f>Hoja2!AQ24</f>
        <v>34.68</v>
      </c>
      <c r="AP24">
        <f>Hoja2!AR24</f>
        <v>3.55</v>
      </c>
      <c r="AQ24">
        <f>Hoja2!AS24/1000</f>
        <v>2.843</v>
      </c>
      <c r="AR24">
        <f>Hoja2!AT24/1000</f>
        <v>0.27300000000000002</v>
      </c>
      <c r="AS24">
        <f>Hoja2!AU24</f>
        <v>1043</v>
      </c>
      <c r="AT24">
        <f>Hoja2!AV24</f>
        <v>107</v>
      </c>
      <c r="AU24">
        <f>Hoja2!AW24/1000</f>
        <v>2.1779999999999999</v>
      </c>
      <c r="AV24">
        <f>Hoja2!AX24/1000</f>
        <v>0.52100000000000002</v>
      </c>
      <c r="AW24">
        <f>Hoja2!AY24*1000</f>
        <v>2877</v>
      </c>
      <c r="AX24">
        <f>Hoja2!AZ24*1000</f>
        <v>149</v>
      </c>
      <c r="AY24">
        <f>Hoja2!BA24/1000</f>
        <v>1.5189999999999999</v>
      </c>
      <c r="AZ24">
        <f>Hoja2!BB24/1000</f>
        <v>0.186</v>
      </c>
      <c r="BA24">
        <f>Hoja2!BC24/1000</f>
        <v>11.567</v>
      </c>
      <c r="BB24">
        <f>Hoja2!BD24/1000</f>
        <v>1.4039999999999999</v>
      </c>
      <c r="BC24">
        <f>Hoja2!BE24*1000</f>
        <v>2964</v>
      </c>
      <c r="BD24">
        <f>Hoja2!BF24*1000</f>
        <v>218</v>
      </c>
      <c r="BE24">
        <f>Hoja2!BG24/1000</f>
        <v>0.12029999999999999</v>
      </c>
      <c r="BF24">
        <f>Hoja2!BH24/1000</f>
        <v>2.8399999999999998E-2</v>
      </c>
      <c r="BG24">
        <f>Hoja2!BI24/1000</f>
        <v>0.59699999999999998</v>
      </c>
      <c r="BH24">
        <f>Hoja2!BJ24/1000</f>
        <v>6.9500000000000006E-2</v>
      </c>
      <c r="BI24">
        <f>Hoja2!BK24</f>
        <v>55.91</v>
      </c>
      <c r="BJ24">
        <f>Hoja2!BL24</f>
        <v>7.18</v>
      </c>
      <c r="BK24">
        <f>Hoja2!BM24</f>
        <v>60.94</v>
      </c>
      <c r="BL24">
        <f>Hoja2!BN24</f>
        <v>51.34</v>
      </c>
      <c r="BM24">
        <f>Hoja2!BO24/1000</f>
        <v>3.5779999999999998</v>
      </c>
      <c r="BN24">
        <f>Hoja2!BP24/1000</f>
        <v>1.831</v>
      </c>
      <c r="BO24">
        <f>Hoja2!BQ24</f>
        <v>19.71</v>
      </c>
      <c r="BP24">
        <f>Hoja2!BR24</f>
        <v>1.71</v>
      </c>
    </row>
    <row r="25" spans="2:68" x14ac:dyDescent="0.25">
      <c r="B25" s="17" t="s">
        <v>154</v>
      </c>
      <c r="E25">
        <f>Hoja2!I25/1000</f>
        <v>1.6039999999999999E-2</v>
      </c>
      <c r="F25">
        <f>Hoja2!J25/1000</f>
        <v>2.97E-3</v>
      </c>
      <c r="G25">
        <f>Hoja2!K25</f>
        <v>29.11</v>
      </c>
      <c r="H25">
        <f>Hoja2!L25</f>
        <v>2.66</v>
      </c>
      <c r="I25">
        <f>Hoja2!M25</f>
        <v>0.73029999999999995</v>
      </c>
      <c r="J25">
        <f>Hoja2!N25</f>
        <v>0.27650000000000002</v>
      </c>
      <c r="M25">
        <f>Hoja2!Q25/1000</f>
        <v>1.6299999999999999E-3</v>
      </c>
      <c r="N25">
        <f>Hoja2!R25/1000</f>
        <v>6.0999999999999997E-4</v>
      </c>
      <c r="Q25">
        <f>Hoja2!S25*1000</f>
        <v>14450</v>
      </c>
      <c r="R25">
        <f>Hoja2!T25*1000</f>
        <v>830</v>
      </c>
      <c r="S25">
        <f>Hoja2!U25/1000</f>
        <v>2.171E-2</v>
      </c>
      <c r="T25">
        <f>Hoja2!V25/1000</f>
        <v>3.8599999999999997E-3</v>
      </c>
      <c r="U25">
        <f>Hoja2!W25*1000</f>
        <v>675.3</v>
      </c>
      <c r="V25">
        <f>Hoja2!X25*1000</f>
        <v>154.6</v>
      </c>
      <c r="W25">
        <f>Hoja2!Y25/1000</f>
        <v>6.2420000000000003E-2</v>
      </c>
      <c r="X25">
        <f>Hoja2!Z25/1000</f>
        <v>1.225E-2</v>
      </c>
      <c r="Y25">
        <f>Hoja2!AA25/1000</f>
        <v>0.46920000000000001</v>
      </c>
      <c r="Z25">
        <f>Hoja2!AB25/1000</f>
        <v>0.16119999999999998</v>
      </c>
      <c r="AC25">
        <f>Hoja2!AE25</f>
        <v>3.298</v>
      </c>
      <c r="AD25">
        <f>Hoja2!AF25</f>
        <v>0.45100000000000001</v>
      </c>
      <c r="AE25">
        <f>Hoja2!AG25</f>
        <v>89.92</v>
      </c>
      <c r="AF25">
        <f>Hoja2!AH25</f>
        <v>8.14</v>
      </c>
      <c r="AG25">
        <f>Hoja2!AI25/1000</f>
        <v>1.533E-2</v>
      </c>
      <c r="AH25">
        <f>Hoja2!AJ25/1000</f>
        <v>1.1799999999999998E-3</v>
      </c>
      <c r="AI25">
        <f>Hoja2!AK25*1000</f>
        <v>48830</v>
      </c>
      <c r="AJ25">
        <f>Hoja2!AL25*1000</f>
        <v>4080</v>
      </c>
      <c r="AK25">
        <f>Hoja2!AM25/1000</f>
        <v>0.48410000000000003</v>
      </c>
      <c r="AL25">
        <f>Hoja2!AN25/1000</f>
        <v>0.11020000000000001</v>
      </c>
      <c r="AM25">
        <f>Hoja2!AO25*1000</f>
        <v>3557</v>
      </c>
      <c r="AN25">
        <f>Hoja2!AP25*1000</f>
        <v>240</v>
      </c>
      <c r="AO25">
        <f>Hoja2!AQ25</f>
        <v>140.80000000000001</v>
      </c>
      <c r="AP25">
        <f>Hoja2!AR25</f>
        <v>10.7</v>
      </c>
      <c r="AQ25">
        <f>Hoja2!AS25/1000</f>
        <v>1.119</v>
      </c>
      <c r="AR25">
        <f>Hoja2!AT25/1000</f>
        <v>0.13400000000000001</v>
      </c>
      <c r="AS25">
        <f>Hoja2!AU25</f>
        <v>28.44</v>
      </c>
      <c r="AT25">
        <f>Hoja2!AV25</f>
        <v>11.94</v>
      </c>
      <c r="AU25">
        <f>Hoja2!AW25/1000</f>
        <v>0.14610000000000001</v>
      </c>
      <c r="AV25">
        <f>Hoja2!AX25/1000</f>
        <v>7.3499999999999996E-2</v>
      </c>
      <c r="AW25">
        <f>Hoja2!AY25*1000</f>
        <v>2789</v>
      </c>
      <c r="AX25">
        <f>Hoja2!AZ25*1000</f>
        <v>149</v>
      </c>
      <c r="AY25">
        <f>Hoja2!BA25/1000</f>
        <v>0.1333</v>
      </c>
      <c r="AZ25">
        <f>Hoja2!BB25/1000</f>
        <v>5.4200000000000005E-2</v>
      </c>
      <c r="BA25">
        <f>Hoja2!BC25/1000</f>
        <v>3.1909999999999998</v>
      </c>
      <c r="BB25">
        <f>Hoja2!BD25/1000</f>
        <v>0.56799999999999995</v>
      </c>
      <c r="BC25">
        <f>Hoja2!BE25*1000</f>
        <v>4726</v>
      </c>
      <c r="BD25">
        <f>Hoja2!BF25*1000</f>
        <v>361</v>
      </c>
      <c r="BE25">
        <f>Hoja2!BG25/1000</f>
        <v>1.6550000000000002E-2</v>
      </c>
      <c r="BF25">
        <f>Hoja2!BH25/1000</f>
        <v>6.6699999999999997E-3</v>
      </c>
      <c r="BG25">
        <f>Hoja2!BI25/1000</f>
        <v>4.2169999999999999E-2</v>
      </c>
      <c r="BH25">
        <f>Hoja2!BJ25/1000</f>
        <v>5.0470000000000001E-2</v>
      </c>
      <c r="BI25">
        <f>Hoja2!BK25</f>
        <v>6.8719999999999999</v>
      </c>
      <c r="BJ25">
        <f>Hoja2!BL25</f>
        <v>0.73099999999999998</v>
      </c>
      <c r="BO25">
        <f>Hoja2!BQ25</f>
        <v>53.52</v>
      </c>
      <c r="BP25">
        <f>Hoja2!BR25</f>
        <v>4.3</v>
      </c>
    </row>
    <row r="26" spans="2:68" x14ac:dyDescent="0.25">
      <c r="B26" s="17" t="s">
        <v>156</v>
      </c>
      <c r="E26">
        <f>Hoja2!I26/1000</f>
        <v>0.04</v>
      </c>
      <c r="F26">
        <f>Hoja2!J26/1000</f>
        <v>1.4279999999999999E-2</v>
      </c>
      <c r="G26">
        <f>Hoja2!K26</f>
        <v>50.23</v>
      </c>
      <c r="H26">
        <f>Hoja2!L26</f>
        <v>4.13</v>
      </c>
      <c r="I26">
        <f>Hoja2!M26</f>
        <v>5.6555</v>
      </c>
      <c r="J26">
        <f>Hoja2!N26</f>
        <v>0.625</v>
      </c>
      <c r="K26">
        <f>Hoja2!O26/1000</f>
        <v>2.3749999999999999E-3</v>
      </c>
      <c r="L26">
        <f>Hoja2!P26/1000</f>
        <v>1.0950000000000001E-3</v>
      </c>
      <c r="M26">
        <f>Hoja2!Q26/1000</f>
        <v>1.25E-3</v>
      </c>
      <c r="N26">
        <f>Hoja2!R26/1000</f>
        <v>6.69E-4</v>
      </c>
      <c r="Q26">
        <f>Hoja2!S26*1000</f>
        <v>17980</v>
      </c>
      <c r="R26">
        <f>Hoja2!T26*1000</f>
        <v>1030</v>
      </c>
      <c r="S26">
        <f>Hoja2!U26/1000</f>
        <v>0.14430000000000001</v>
      </c>
      <c r="T26">
        <f>Hoja2!V26/1000</f>
        <v>2.23E-2</v>
      </c>
      <c r="U26">
        <f>Hoja2!W26*1000</f>
        <v>1994</v>
      </c>
      <c r="V26">
        <f>Hoja2!X26*1000</f>
        <v>163</v>
      </c>
      <c r="W26">
        <f>Hoja2!Y26/1000</f>
        <v>6.5069999999999989E-2</v>
      </c>
      <c r="X26">
        <f>Hoja2!Z26/1000</f>
        <v>1.29E-2</v>
      </c>
      <c r="Y26">
        <f>Hoja2!AA26/1000</f>
        <v>2.7610000000000001</v>
      </c>
      <c r="Z26">
        <f>Hoja2!AB26/1000</f>
        <v>0.40899999999999997</v>
      </c>
      <c r="AA26">
        <f>Hoja2!AC26/1000</f>
        <v>7.9140000000000002E-2</v>
      </c>
      <c r="AB26">
        <f>Hoja2!AD26/1000</f>
        <v>1.328E-2</v>
      </c>
      <c r="AC26">
        <f>Hoja2!AE26</f>
        <v>2.5910000000000002</v>
      </c>
      <c r="AD26">
        <f>Hoja2!AF26</f>
        <v>0.439</v>
      </c>
      <c r="AE26">
        <f>Hoja2!AG26</f>
        <v>67.040000000000006</v>
      </c>
      <c r="AF26">
        <f>Hoja2!AH26</f>
        <v>7.03</v>
      </c>
      <c r="AG26">
        <f>Hoja2!AI26/1000</f>
        <v>9.9689999999999987E-3</v>
      </c>
      <c r="AH26">
        <f>Hoja2!AJ26/1000</f>
        <v>9.2700000000000009E-4</v>
      </c>
      <c r="AI26">
        <f>Hoja2!AK26*1000</f>
        <v>47790</v>
      </c>
      <c r="AJ26">
        <f>Hoja2!AL26*1000</f>
        <v>3490</v>
      </c>
      <c r="AK26">
        <f>Hoja2!AM26/1000</f>
        <v>0.67279999999999995</v>
      </c>
      <c r="AL26">
        <f>Hoja2!AN26/1000</f>
        <v>0.13109999999999999</v>
      </c>
      <c r="AM26">
        <f>Hoja2!AO26*1000</f>
        <v>4737</v>
      </c>
      <c r="AN26">
        <f>Hoja2!AP26*1000</f>
        <v>336</v>
      </c>
      <c r="AO26">
        <f>Hoja2!AQ26</f>
        <v>66.209999999999994</v>
      </c>
      <c r="AP26">
        <f>Hoja2!AR26</f>
        <v>3.7</v>
      </c>
      <c r="AQ26">
        <f>Hoja2!AS26/1000</f>
        <v>14.914</v>
      </c>
      <c r="AR26">
        <f>Hoja2!AT26/1000</f>
        <v>1.998</v>
      </c>
      <c r="AS26">
        <f>Hoja2!AU26</f>
        <v>1016</v>
      </c>
      <c r="AT26">
        <f>Hoja2!AV26</f>
        <v>78</v>
      </c>
      <c r="AU26">
        <f>Hoja2!AW26/1000</f>
        <v>0.18980000000000002</v>
      </c>
      <c r="AV26">
        <f>Hoja2!AX26/1000</f>
        <v>0.1115</v>
      </c>
      <c r="AW26">
        <f>Hoja2!AY26*1000</f>
        <v>4901</v>
      </c>
      <c r="AX26">
        <f>Hoja2!AZ26*1000</f>
        <v>276</v>
      </c>
      <c r="AY26">
        <f>Hoja2!BA26/1000</f>
        <v>0.23669999999999999</v>
      </c>
      <c r="AZ26">
        <f>Hoja2!BB26/1000</f>
        <v>3.7600000000000001E-2</v>
      </c>
      <c r="BA26">
        <f>Hoja2!BC26/1000</f>
        <v>21.768000000000001</v>
      </c>
      <c r="BB26">
        <f>Hoja2!BD26/1000</f>
        <v>3.1019999999999999</v>
      </c>
      <c r="BC26">
        <f>Hoja2!BE26*1000</f>
        <v>8458</v>
      </c>
      <c r="BD26">
        <f>Hoja2!BF26*1000</f>
        <v>682</v>
      </c>
      <c r="BE26">
        <f>Hoja2!BG26/1000</f>
        <v>3.8859999999999999E-2</v>
      </c>
      <c r="BF26">
        <f>Hoja2!BH26/1000</f>
        <v>1.2320000000000001E-2</v>
      </c>
      <c r="BG26">
        <f>Hoja2!BI26/1000</f>
        <v>6.5280000000000005E-2</v>
      </c>
      <c r="BH26">
        <f>Hoja2!BJ26/1000</f>
        <v>4.0719999999999999E-2</v>
      </c>
      <c r="BI26">
        <f>Hoja2!BK26</f>
        <v>32.56</v>
      </c>
      <c r="BJ26">
        <f>Hoja2!BL26</f>
        <v>4.8899999999999997</v>
      </c>
      <c r="BO26">
        <f>Hoja2!BQ26</f>
        <v>50.82</v>
      </c>
      <c r="BP26">
        <f>Hoja2!BR26</f>
        <v>3.71</v>
      </c>
    </row>
    <row r="27" spans="2:68" x14ac:dyDescent="0.25">
      <c r="B27" s="22" t="s">
        <v>158</v>
      </c>
      <c r="C27">
        <f>Hoja2!G27/1000</f>
        <v>598</v>
      </c>
      <c r="D27">
        <f>Hoja2!H27/1000</f>
        <v>12</v>
      </c>
      <c r="E27">
        <f>Hoja2!I27/1000</f>
        <v>0.112</v>
      </c>
      <c r="F27">
        <f>Hoja2!J27/1000</f>
        <v>4.0000000000000001E-3</v>
      </c>
      <c r="G27">
        <f>Hoja2!K27</f>
        <v>33.299999999999997</v>
      </c>
      <c r="H27">
        <f>Hoja2!L27</f>
        <v>0.7</v>
      </c>
      <c r="Q27">
        <f>Hoja2!S27*1000</f>
        <v>50500</v>
      </c>
      <c r="R27">
        <f>Hoja2!T27*1000</f>
        <v>900</v>
      </c>
      <c r="S27">
        <f>Hoja2!U27/1000</f>
        <v>1.52</v>
      </c>
      <c r="T27">
        <f>Hoja2!V27/1000</f>
        <v>0.04</v>
      </c>
      <c r="W27">
        <f>Hoja2!Y27/1000</f>
        <v>0.56999999999999995</v>
      </c>
      <c r="X27">
        <f>Hoja2!Z27/1000</f>
        <v>0.02</v>
      </c>
      <c r="Y27">
        <f>Hoja2!AA27/1000</f>
        <v>1.99</v>
      </c>
      <c r="Z27">
        <f>Hoja2!AB27/1000</f>
        <v>0.06</v>
      </c>
      <c r="AC27">
        <f>Hoja2!AE27</f>
        <v>368</v>
      </c>
      <c r="AD27">
        <f>Hoja2!AF27</f>
        <v>7</v>
      </c>
      <c r="AG27">
        <f>Hoja2!AI27/1000</f>
        <v>3.4000000000000002E-2</v>
      </c>
      <c r="AH27">
        <f>Hoja2!AJ27/1000</f>
        <v>4.0000000000000001E-3</v>
      </c>
      <c r="AI27">
        <f>Hoja2!AK27*1000</f>
        <v>27000</v>
      </c>
      <c r="AJ27">
        <f>Hoja2!AL27*1000</f>
        <v>500</v>
      </c>
      <c r="AO27">
        <f>Hoja2!AQ27</f>
        <v>246</v>
      </c>
      <c r="AP27">
        <f>Hoja2!AR27</f>
        <v>8</v>
      </c>
      <c r="AS27">
        <f>Hoja2!AU27</f>
        <v>136</v>
      </c>
      <c r="AT27">
        <f>Hoja2!AV27</f>
        <v>4</v>
      </c>
      <c r="AU27">
        <f>Hoja2!AW27/1000</f>
        <v>1.59</v>
      </c>
      <c r="AV27">
        <f>Hoja2!AX27/1000</f>
        <v>7.0000000000000007E-2</v>
      </c>
      <c r="AW27">
        <f>Hoja2!AY27*1000</f>
        <v>2160</v>
      </c>
      <c r="AX27">
        <f>Hoja2!AZ27*1000</f>
        <v>40</v>
      </c>
      <c r="BA27">
        <f>Hoja2!BC27/1000</f>
        <v>14.89</v>
      </c>
      <c r="BB27">
        <f>Hoja2!BD27/1000</f>
        <v>0.27</v>
      </c>
      <c r="BE27">
        <f>Hoja2!BG27/1000</f>
        <v>6.3E-2</v>
      </c>
      <c r="BF27">
        <f>Hoja2!BH27/1000</f>
        <v>6.0000000000000001E-3</v>
      </c>
      <c r="BG27">
        <f>Hoja2!BI27/1000</f>
        <v>5.3999999999999999E-2</v>
      </c>
      <c r="BH27">
        <f>Hoja2!BJ27/1000</f>
        <v>3.0000000000000001E-3</v>
      </c>
      <c r="BM27">
        <f>Hoja2!BO27/1000</f>
        <v>0.83499999999999996</v>
      </c>
      <c r="BN27">
        <f>Hoja2!BP27/1000</f>
        <v>0.01</v>
      </c>
      <c r="BO27">
        <f>Hoja2!BQ27</f>
        <v>30.9</v>
      </c>
      <c r="BP27">
        <f>Hoja2!BR27</f>
        <v>0.7</v>
      </c>
    </row>
    <row r="28" spans="2:68" x14ac:dyDescent="0.25">
      <c r="B28" s="25" t="s">
        <v>161</v>
      </c>
      <c r="E28">
        <f>Hoja2!I28/1000</f>
        <v>10.199999999999999</v>
      </c>
      <c r="F28">
        <f>Hoja2!J28/1000</f>
        <v>0.5</v>
      </c>
      <c r="S28">
        <f>Hoja2!U28/1000</f>
        <v>19.399999999999999</v>
      </c>
      <c r="T28">
        <f>Hoja2!V28/1000</f>
        <v>0.6</v>
      </c>
      <c r="AC28">
        <f>Hoja2!AE28</f>
        <v>31200</v>
      </c>
      <c r="AD28">
        <f>Hoja2!AF28</f>
        <v>1000</v>
      </c>
      <c r="AE28">
        <f>Hoja2!AG28</f>
        <v>1484</v>
      </c>
      <c r="AF28">
        <f>Hoja2!AH28</f>
        <v>57</v>
      </c>
      <c r="AG28">
        <f>Hoja2!AI28/1000</f>
        <v>3.37</v>
      </c>
      <c r="AH28">
        <f>Hoja2!AJ28/1000</f>
        <v>0.14000000000000001</v>
      </c>
      <c r="AU28">
        <f>Hoja2!AW28/1000</f>
        <v>2.72</v>
      </c>
      <c r="AV28">
        <f>Hoja2!AX28/1000</f>
        <v>0.35</v>
      </c>
      <c r="AY28">
        <f>Hoja2!BA28/1000</f>
        <v>0.31900000000000001</v>
      </c>
      <c r="AZ28">
        <f>Hoja2!BB28/1000</f>
        <v>4.4999999999999998E-2</v>
      </c>
      <c r="BG28">
        <f>Hoja2!BI28/1000</f>
        <v>7.06</v>
      </c>
      <c r="BH28">
        <f>Hoja2!BJ28/1000</f>
        <v>0.48</v>
      </c>
      <c r="BO28">
        <f>Hoja2!BQ28</f>
        <v>86600</v>
      </c>
      <c r="BP28">
        <f>Hoja2!BR28</f>
        <v>2400</v>
      </c>
    </row>
    <row r="29" spans="2:68" x14ac:dyDescent="0.25">
      <c r="B29" s="25" t="s">
        <v>163</v>
      </c>
      <c r="I29">
        <f>Hoja2!M29</f>
        <v>11</v>
      </c>
      <c r="J29">
        <f>Hoja2!N29</f>
        <v>0.5</v>
      </c>
      <c r="AC29">
        <f>Hoja2!AE29</f>
        <v>5.67</v>
      </c>
      <c r="AD29">
        <f>Hoja2!AF29</f>
        <v>0.18</v>
      </c>
      <c r="AE29">
        <f>Hoja2!AG29</f>
        <v>148</v>
      </c>
      <c r="AF29">
        <f>Hoja2!AH29</f>
        <v>3.9</v>
      </c>
      <c r="AI29">
        <f>Hoja2!AK29*1000</f>
        <v>32500</v>
      </c>
      <c r="AJ29">
        <f>Hoja2!AL29*1000</f>
        <v>690</v>
      </c>
      <c r="AM29">
        <f>Hoja2!AO29*1000</f>
        <v>2160</v>
      </c>
      <c r="AN29">
        <f>Hoja2!AP29*1000</f>
        <v>50</v>
      </c>
      <c r="AO29">
        <f>Hoja2!AQ29</f>
        <v>31.9</v>
      </c>
      <c r="AP29">
        <f>Hoja2!AR29</f>
        <v>0.6</v>
      </c>
      <c r="BI29">
        <f>Hoja2!BK29</f>
        <v>49.5</v>
      </c>
      <c r="BJ29">
        <f>Hoja2!BL29</f>
        <v>1.4</v>
      </c>
      <c r="BO29">
        <f>Hoja2!BQ29</f>
        <v>38.6</v>
      </c>
      <c r="BP29">
        <f>Hoja2!BR29</f>
        <v>0.7</v>
      </c>
    </row>
    <row r="30" spans="2:68" x14ac:dyDescent="0.25">
      <c r="B30" s="2" t="s">
        <v>165</v>
      </c>
      <c r="C30">
        <f>Hoja2!G30/1000</f>
        <v>284.5</v>
      </c>
      <c r="D30">
        <f>Hoja2!H30/1000</f>
        <v>5.8</v>
      </c>
      <c r="G30">
        <f>Hoja2!K30</f>
        <v>27.6</v>
      </c>
      <c r="H30">
        <f>Hoja2!L30</f>
        <v>2.8</v>
      </c>
      <c r="I30">
        <f>Hoja2!M30</f>
        <v>48.8</v>
      </c>
      <c r="J30">
        <f>Hoja2!N30</f>
        <v>2.2999999999999998</v>
      </c>
      <c r="Q30">
        <f>Hoja2!S30*1000</f>
        <v>15250</v>
      </c>
      <c r="R30">
        <f>Hoja2!T30*1000</f>
        <v>100</v>
      </c>
      <c r="S30">
        <f>Hoja2!U30/1000</f>
        <v>1.32E-2</v>
      </c>
      <c r="T30">
        <f>Hoja2!V30/1000</f>
        <v>1.5E-3</v>
      </c>
      <c r="U30">
        <f>Hoja2!W30*1000</f>
        <v>582</v>
      </c>
      <c r="V30">
        <f>Hoja2!X30*1000</f>
        <v>15</v>
      </c>
      <c r="AC30">
        <f>Hoja2!AE30</f>
        <v>5.69</v>
      </c>
      <c r="AD30">
        <f>Hoja2!AF30</f>
        <v>0.13</v>
      </c>
      <c r="AE30">
        <f>Hoja2!AG30</f>
        <v>82.7</v>
      </c>
      <c r="AF30">
        <f>Hoja2!AH30</f>
        <v>2.6</v>
      </c>
      <c r="AG30">
        <f>Hoja2!AI30/1000</f>
        <v>4.3200000000000002E-2</v>
      </c>
      <c r="AH30">
        <f>Hoja2!AJ30/1000</f>
        <v>2.3E-3</v>
      </c>
      <c r="AI30">
        <f>Hoja2!AK30*1000</f>
        <v>16079.999999999998</v>
      </c>
      <c r="AJ30">
        <f>Hoja2!AL30*1000</f>
        <v>210</v>
      </c>
      <c r="AM30">
        <f>Hoja2!AO30*1000</f>
        <v>2710</v>
      </c>
      <c r="AN30">
        <f>Hoja2!AP30*1000</f>
        <v>120</v>
      </c>
      <c r="AO30">
        <f>Hoja2!AQ30</f>
        <v>54.1</v>
      </c>
      <c r="AP30">
        <f>Hoja2!AR30</f>
        <v>1.1000000000000001</v>
      </c>
      <c r="AQ30">
        <f>Hoja2!AS30/1000</f>
        <v>9.5000000000000001E-2</v>
      </c>
      <c r="AR30">
        <f>Hoja2!AT30/1000</f>
        <v>1.0999999999999999E-2</v>
      </c>
      <c r="AS30">
        <f>Hoja2!AU30</f>
        <v>24.4</v>
      </c>
      <c r="AT30">
        <f>Hoja2!AV30</f>
        <v>2.1</v>
      </c>
      <c r="AU30">
        <f>Hoja2!AW30/1000</f>
        <v>0.93600000000000005</v>
      </c>
      <c r="AV30">
        <f>Hoja2!AX30/1000</f>
        <v>9.4E-2</v>
      </c>
      <c r="AW30">
        <f>Hoja2!AY30*1000</f>
        <v>1593</v>
      </c>
      <c r="AX30">
        <f>Hoja2!AZ30*1000</f>
        <v>68</v>
      </c>
      <c r="AY30">
        <f>Hoja2!BA30/1000</f>
        <v>0.47</v>
      </c>
      <c r="AZ30">
        <f>Hoja2!BB30/1000</f>
        <v>2.4E-2</v>
      </c>
      <c r="BA30">
        <f>Hoja2!BC30/1000</f>
        <v>10.199999999999999</v>
      </c>
      <c r="BB30">
        <f>Hoja2!BD30/1000</f>
        <v>1.6</v>
      </c>
      <c r="BI30">
        <f>Hoja2!BK30</f>
        <v>25.1</v>
      </c>
      <c r="BJ30">
        <f>Hoja2!BL30</f>
        <v>1.1000000000000001</v>
      </c>
      <c r="BM30">
        <f>Hoja2!BO30/1000</f>
        <v>0.254</v>
      </c>
      <c r="BN30">
        <f>Hoja2!BP30/1000</f>
        <v>2.7E-2</v>
      </c>
      <c r="BO30">
        <f>Hoja2!BQ30</f>
        <v>12.45</v>
      </c>
      <c r="BP30">
        <f>Hoja2!BR30</f>
        <v>0.43</v>
      </c>
    </row>
    <row r="31" spans="2:68" x14ac:dyDescent="0.25">
      <c r="B31" s="2" t="s">
        <v>166</v>
      </c>
      <c r="C31">
        <f>Hoja2!G31/1000</f>
        <v>670</v>
      </c>
      <c r="D31">
        <f>Hoja2!H31/1000</f>
        <v>111</v>
      </c>
      <c r="I31">
        <f>Hoja2!M31</f>
        <v>32.5</v>
      </c>
      <c r="J31">
        <f>Hoja2!N31</f>
        <v>2.5</v>
      </c>
      <c r="Q31">
        <f>Hoja2!S31*1000</f>
        <v>10800</v>
      </c>
      <c r="R31">
        <f>Hoja2!T31*1000</f>
        <v>700</v>
      </c>
      <c r="Y31">
        <f>Hoja2!AA31/1000</f>
        <v>1.69</v>
      </c>
      <c r="Z31">
        <f>Hoja2!AB31/1000</f>
        <v>0.13</v>
      </c>
      <c r="AC31">
        <f>Hoja2!AE31</f>
        <v>7.77</v>
      </c>
      <c r="AD31">
        <f>Hoja2!AF31</f>
        <v>0.53</v>
      </c>
      <c r="AI31">
        <f>Hoja2!AK31*1000</f>
        <v>19100</v>
      </c>
      <c r="AJ31">
        <f>Hoja2!AL31*1000</f>
        <v>1200</v>
      </c>
      <c r="AM31">
        <f>Hoja2!AO31*1000</f>
        <v>2920</v>
      </c>
      <c r="AN31">
        <f>Hoja2!AP31*1000</f>
        <v>180</v>
      </c>
      <c r="AO31">
        <f>Hoja2!AQ31</f>
        <v>191</v>
      </c>
      <c r="AP31">
        <f>Hoja2!AR31</f>
        <v>12</v>
      </c>
      <c r="AS31">
        <f>Hoja2!AU31</f>
        <v>350</v>
      </c>
      <c r="AT31">
        <f>Hoja2!AV31</f>
        <v>0</v>
      </c>
      <c r="AU31">
        <f>Hoja2!AW31/1000</f>
        <v>1.57</v>
      </c>
      <c r="AV31">
        <f>Hoja2!AX31/1000</f>
        <v>0.16</v>
      </c>
      <c r="AY31">
        <f>Hoja2!BA31/1000</f>
        <v>2.16</v>
      </c>
      <c r="AZ31">
        <f>Hoja2!BB31/1000</f>
        <v>0.23</v>
      </c>
      <c r="BA31">
        <f>Hoja2!BC31/1000</f>
        <v>10.7</v>
      </c>
      <c r="BB31">
        <f>Hoja2!BD31/1000</f>
        <v>0.7</v>
      </c>
      <c r="BC31">
        <f>Hoja2!BE31*1000</f>
        <v>2410</v>
      </c>
      <c r="BD31">
        <f>Hoja2!BF31*1000</f>
        <v>140</v>
      </c>
      <c r="BI31">
        <f>Hoja2!BK31</f>
        <v>37.6</v>
      </c>
      <c r="BJ31">
        <f>Hoja2!BL31</f>
        <v>2.7</v>
      </c>
      <c r="BO31">
        <f>Hoja2!BQ31</f>
        <v>33.5</v>
      </c>
      <c r="BP31">
        <f>Hoja2!BR31</f>
        <v>2.1</v>
      </c>
    </row>
    <row r="32" spans="2:68" x14ac:dyDescent="0.25">
      <c r="B32" s="3" t="s">
        <v>168</v>
      </c>
      <c r="C32">
        <f>Hoja2!G32/1000</f>
        <v>229</v>
      </c>
      <c r="D32">
        <f>Hoja2!H32/1000</f>
        <v>0.28000000000000003</v>
      </c>
      <c r="I32">
        <f>Hoja2!M32</f>
        <v>43.2</v>
      </c>
      <c r="J32">
        <f>Hoja2!N32</f>
        <v>3.9</v>
      </c>
      <c r="Q32">
        <f>Hoja2!S32*1000</f>
        <v>5820</v>
      </c>
      <c r="R32">
        <f>Hoja2!T32*1000</f>
        <v>520</v>
      </c>
      <c r="U32">
        <f>Hoja2!W32*1000</f>
        <v>573</v>
      </c>
      <c r="V32">
        <f>Hoja2!X32*1000</f>
        <v>48</v>
      </c>
      <c r="Y32">
        <f>Hoja2!AA32/1000</f>
        <v>1.91</v>
      </c>
      <c r="Z32">
        <f>Hoja2!AB32/1000</f>
        <v>0.22</v>
      </c>
      <c r="AA32">
        <f>Hoja2!AC32/1000</f>
        <v>3.61</v>
      </c>
      <c r="AB32">
        <f>Hoja2!AD32/1000</f>
        <v>0.37</v>
      </c>
      <c r="AC32">
        <f>Hoja2!AE32</f>
        <v>20.399999999999999</v>
      </c>
      <c r="AD32">
        <f>Hoja2!AF32</f>
        <v>1.5</v>
      </c>
      <c r="AI32">
        <f>Hoja2!AK32*1000</f>
        <v>17000</v>
      </c>
      <c r="AJ32">
        <f>Hoja2!AL32*1000</f>
        <v>1200</v>
      </c>
      <c r="AM32">
        <f>Hoja2!AO32*1000</f>
        <v>2240</v>
      </c>
      <c r="AN32">
        <f>Hoja2!AP32*1000</f>
        <v>170</v>
      </c>
      <c r="AO32">
        <f>Hoja2!AQ32</f>
        <v>1.57</v>
      </c>
      <c r="AP32">
        <f>Hoja2!AR32</f>
        <v>0.11</v>
      </c>
      <c r="AS32">
        <f>Hoja2!AU32</f>
        <v>24.7</v>
      </c>
      <c r="AT32">
        <f>Hoja2!AV32</f>
        <v>3.2</v>
      </c>
      <c r="AU32">
        <f>Hoja2!AW32/1000</f>
        <v>6.12</v>
      </c>
      <c r="AV32">
        <f>Hoja2!AX32/1000</f>
        <v>0.52</v>
      </c>
      <c r="AY32">
        <f>Hoja2!BA32/1000</f>
        <v>1.78</v>
      </c>
      <c r="AZ32">
        <f>Hoja2!BB32/1000</f>
        <v>0.24</v>
      </c>
      <c r="BA32">
        <f>Hoja2!BC32/1000</f>
        <v>81.5</v>
      </c>
      <c r="BB32">
        <f>Hoja2!BD32/1000</f>
        <v>6.5</v>
      </c>
      <c r="BC32">
        <f>Hoja2!BE32*1000</f>
        <v>2470</v>
      </c>
      <c r="BD32">
        <f>Hoja2!BF32*1000</f>
        <v>250</v>
      </c>
      <c r="BI32">
        <f>Hoja2!BK32</f>
        <v>20.8</v>
      </c>
      <c r="BJ32">
        <f>Hoja2!BL32</f>
        <v>1.7</v>
      </c>
      <c r="BM32">
        <f>Hoja2!BO32/1000</f>
        <v>1.97</v>
      </c>
      <c r="BN32">
        <f>Hoja2!BP32/1000</f>
        <v>0.37</v>
      </c>
      <c r="BO32">
        <f>Hoja2!BQ32</f>
        <v>34.700000000000003</v>
      </c>
      <c r="BP32">
        <f>Hoja2!BR32</f>
        <v>2.7</v>
      </c>
    </row>
    <row r="33" spans="2:68" x14ac:dyDescent="0.25">
      <c r="B33" s="28" t="s">
        <v>30</v>
      </c>
      <c r="E33">
        <f>Hoja1!H4/1000</f>
        <v>0.14330000000000001</v>
      </c>
      <c r="F33">
        <f>Hoja1!I4/1000</f>
        <v>2.1100000000000001E-2</v>
      </c>
      <c r="O33">
        <f>Hoja1!N4</f>
        <v>6.1219999999999999</v>
      </c>
      <c r="P33">
        <f>Hoja1!O4</f>
        <v>0.51700000000000002</v>
      </c>
      <c r="Q33">
        <f>Hoja1!P4*1000</f>
        <v>6181</v>
      </c>
      <c r="R33">
        <f>Hoja1!Q4*1000</f>
        <v>549</v>
      </c>
      <c r="U33">
        <f>Hoja1!V4*1000</f>
        <v>1868</v>
      </c>
      <c r="V33">
        <f>Hoja1!W4*1000</f>
        <v>180</v>
      </c>
      <c r="W33">
        <f>Hoja1!X4/1000</f>
        <v>3.1050000000000001E-2</v>
      </c>
      <c r="X33">
        <f>Hoja1!Y4/1000</f>
        <v>1.702E-2</v>
      </c>
      <c r="Y33">
        <f>Hoja1!Z4/1000</f>
        <v>0.29020000000000001</v>
      </c>
      <c r="Z33">
        <f>Hoja1!AA4/1000</f>
        <v>0.1268</v>
      </c>
      <c r="AA33">
        <f>Hoja1!AB4/1000</f>
        <v>1.7680000000000001E-2</v>
      </c>
      <c r="AB33">
        <f>Hoja1!AC4/1000</f>
        <v>7.4199999999999995E-3</v>
      </c>
      <c r="AC33">
        <f>Hoja1!AD4</f>
        <v>3.9740000000000002</v>
      </c>
      <c r="AD33">
        <f>Hoja1!AE4</f>
        <v>0.52200000000000002</v>
      </c>
      <c r="AE33">
        <f>Hoja1!AF4</f>
        <v>105</v>
      </c>
      <c r="AF33">
        <f>Hoja1!AG4</f>
        <v>14.4</v>
      </c>
      <c r="AI33">
        <f>Hoja1!AL4*1000</f>
        <v>41360</v>
      </c>
      <c r="AJ33">
        <f>Hoja1!AM4*1000</f>
        <v>3230</v>
      </c>
      <c r="AM33">
        <f>Hoja1!AR4*1000</f>
        <v>2556</v>
      </c>
      <c r="AN33">
        <f>Hoja1!AS4*1000</f>
        <v>206</v>
      </c>
      <c r="AO33">
        <f>Hoja1!AT4</f>
        <v>10.8</v>
      </c>
      <c r="AP33">
        <f>Hoja1!AU4</f>
        <v>1.03</v>
      </c>
      <c r="AS33">
        <f>Hoja1!AX4</f>
        <v>830.2</v>
      </c>
      <c r="AT33">
        <f>Hoja1!AY4</f>
        <v>93.3</v>
      </c>
      <c r="AY33">
        <f>Hoja1!BD4/1000</f>
        <v>0.35389999999999999</v>
      </c>
      <c r="AZ33">
        <f>Hoja1!BE4/1000</f>
        <v>7.1800000000000003E-2</v>
      </c>
      <c r="BA33">
        <f>Hoja1!BF4/1000</f>
        <v>11.244</v>
      </c>
      <c r="BB33">
        <f>Hoja1!BG4/1000</f>
        <v>1.181</v>
      </c>
      <c r="BC33">
        <f>Hoja1!BH4*1000</f>
        <v>4089.8</v>
      </c>
      <c r="BD33">
        <f>Hoja1!BI4*1000</f>
        <v>454</v>
      </c>
      <c r="BE33">
        <f>Hoja1!BJ4/1000</f>
        <v>1.1310000000000001E-2</v>
      </c>
      <c r="BF33">
        <f>Hoja1!BK4/1000</f>
        <v>5.8399999999999997E-3</v>
      </c>
      <c r="BI33">
        <f>Hoja1!BT4</f>
        <v>13.54</v>
      </c>
      <c r="BJ33">
        <f>Hoja1!BU4</f>
        <v>1.57</v>
      </c>
      <c r="BK33">
        <f>Hoja1!BV4</f>
        <v>2.1539999999999999</v>
      </c>
      <c r="BL33">
        <f>Hoja1!BW4</f>
        <v>1.3540000000000001</v>
      </c>
      <c r="BM33">
        <f>Hoja1!BX4/1000</f>
        <v>0.26700000000000002</v>
      </c>
      <c r="BN33">
        <f>Hoja1!BY4/1000</f>
        <v>4.2999999999999997E-2</v>
      </c>
      <c r="BO33">
        <f>Hoja1!BZ4</f>
        <v>49.18</v>
      </c>
      <c r="BP33">
        <f>Hoja1!CA4</f>
        <v>4.8</v>
      </c>
    </row>
    <row r="34" spans="2:68" x14ac:dyDescent="0.25">
      <c r="B34" s="28" t="s">
        <v>33</v>
      </c>
      <c r="E34">
        <f>Hoja1!H5/1000</f>
        <v>0.113</v>
      </c>
      <c r="F34">
        <f>Hoja1!I5/1000</f>
        <v>1.7999999999999999E-2</v>
      </c>
      <c r="O34">
        <f>Hoja1!N5</f>
        <v>3.2879999999999998</v>
      </c>
      <c r="P34">
        <f>Hoja1!O5</f>
        <v>0.24199999999999999</v>
      </c>
      <c r="Q34">
        <f>Hoja1!P5*1000</f>
        <v>17870</v>
      </c>
      <c r="R34">
        <f>Hoja1!Q5*1000</f>
        <v>1160</v>
      </c>
      <c r="U34">
        <f>Hoja1!V5*1000</f>
        <v>1505</v>
      </c>
      <c r="V34">
        <f>Hoja1!W5*1000</f>
        <v>130</v>
      </c>
      <c r="W34">
        <f>Hoja1!X5/1000</f>
        <v>0.10590000000000001</v>
      </c>
      <c r="X34">
        <f>Hoja1!Y5/1000</f>
        <v>2.18E-2</v>
      </c>
      <c r="Y34">
        <f>Hoja1!Z5/1000</f>
        <v>0.79079999999999995</v>
      </c>
      <c r="Z34">
        <f>Hoja1!AA5/1000</f>
        <v>0.32339999999999997</v>
      </c>
      <c r="AA34">
        <f>Hoja1!AB5/1000</f>
        <v>4.3090000000000003E-2</v>
      </c>
      <c r="AB34">
        <f>Hoja1!AC5/1000</f>
        <v>7.28E-3</v>
      </c>
      <c r="AC34">
        <f>Hoja1!AD5</f>
        <v>5.2119999999999997</v>
      </c>
      <c r="AD34">
        <f>Hoja1!AE5</f>
        <v>0.53500000000000003</v>
      </c>
      <c r="AE34">
        <f>Hoja1!AF5</f>
        <v>233.2</v>
      </c>
      <c r="AF34">
        <f>Hoja1!AG5</f>
        <v>21.9</v>
      </c>
      <c r="AI34">
        <f>Hoja1!AL5*1000</f>
        <v>6948</v>
      </c>
      <c r="AJ34">
        <f>Hoja1!AM5*1000</f>
        <v>427</v>
      </c>
      <c r="AK34">
        <f>Hoja1!AP5/1000</f>
        <v>0.4783</v>
      </c>
      <c r="AL34">
        <f>Hoja1!AQ5/1000</f>
        <v>6.4200000000000007E-2</v>
      </c>
      <c r="AM34">
        <f>Hoja1!AR5*1000</f>
        <v>930.4</v>
      </c>
      <c r="AN34">
        <f>Hoja1!AS5*1000</f>
        <v>70.5</v>
      </c>
      <c r="AO34">
        <f>Hoja1!AT5</f>
        <v>12.43</v>
      </c>
      <c r="AP34">
        <f>Hoja1!AU5</f>
        <v>1.04</v>
      </c>
      <c r="AS34">
        <f>Hoja1!AX5</f>
        <v>144.9</v>
      </c>
      <c r="AT34">
        <f>Hoja1!AY5</f>
        <v>31.5</v>
      </c>
      <c r="AY34">
        <f>Hoja1!BD5/1000</f>
        <v>1.1930000000000001</v>
      </c>
      <c r="AZ34">
        <f>Hoja1!BE5/1000</f>
        <v>0.14099999999999999</v>
      </c>
      <c r="BA34">
        <f>Hoja1!BF5/1000</f>
        <v>2.7839999999999998</v>
      </c>
      <c r="BB34">
        <f>Hoja1!BG5/1000</f>
        <v>0.35</v>
      </c>
      <c r="BC34">
        <f>Hoja1!BH5*1000</f>
        <v>1065</v>
      </c>
      <c r="BD34">
        <f>Hoja1!BI5*1000</f>
        <v>102</v>
      </c>
      <c r="BE34">
        <f>Hoja1!BJ5/1000</f>
        <v>0.1196</v>
      </c>
      <c r="BF34">
        <f>Hoja1!BK5/1000</f>
        <v>1.89E-2</v>
      </c>
      <c r="BI34">
        <f>Hoja1!BT5</f>
        <v>56.54</v>
      </c>
      <c r="BJ34">
        <f>Hoja1!BU5</f>
        <v>4.16</v>
      </c>
      <c r="BK34">
        <f>Hoja1!BV5</f>
        <v>5.22</v>
      </c>
      <c r="BL34">
        <f>Hoja1!BW5</f>
        <v>2.9119999999999999</v>
      </c>
      <c r="BM34">
        <f>Hoja1!BX5/1000</f>
        <v>0.54189999999999994</v>
      </c>
      <c r="BN34">
        <f>Hoja1!BY5/1000</f>
        <v>7.3499999999999996E-2</v>
      </c>
      <c r="BO34">
        <f>Hoja1!BZ5</f>
        <v>15.53</v>
      </c>
      <c r="BP34">
        <f>Hoja1!CA5</f>
        <v>1.58</v>
      </c>
    </row>
    <row r="35" spans="2:68" x14ac:dyDescent="0.25">
      <c r="B35" s="28" t="s">
        <v>36</v>
      </c>
      <c r="E35">
        <f>Hoja1!H6/1000</f>
        <v>4.8320000000000002E-2</v>
      </c>
      <c r="F35">
        <f>Hoja1!I6/1000</f>
        <v>1.3140000000000001E-2</v>
      </c>
      <c r="O35">
        <f>Hoja1!N6</f>
        <v>20.84</v>
      </c>
      <c r="P35">
        <f>Hoja1!O6</f>
        <v>1.37</v>
      </c>
      <c r="Q35">
        <f>Hoja1!P6*1000</f>
        <v>16300</v>
      </c>
      <c r="R35">
        <f>Hoja1!Q6*1000</f>
        <v>1160</v>
      </c>
      <c r="U35">
        <f>Hoja1!V6*1000</f>
        <v>19730</v>
      </c>
      <c r="V35">
        <f>Hoja1!W6*1000</f>
        <v>1660</v>
      </c>
      <c r="W35">
        <f>Hoja1!X6/1000</f>
        <v>1.5599999999999999E-2</v>
      </c>
      <c r="X35">
        <f>Hoja1!Y6/1000</f>
        <v>3.5299999999999998E-2</v>
      </c>
      <c r="Y35">
        <f>Hoja1!Z6/1000</f>
        <v>0.43639999999999995</v>
      </c>
      <c r="Z35">
        <f>Hoja1!AA6/1000</f>
        <v>0.12720000000000001</v>
      </c>
      <c r="AA35">
        <f>Hoja1!AB6/1000</f>
        <v>1.537E-2</v>
      </c>
      <c r="AB35">
        <f>Hoja1!AC6/1000</f>
        <v>9.0799999999999995E-3</v>
      </c>
      <c r="AC35">
        <f>Hoja1!AD6</f>
        <v>4.2290000000000001</v>
      </c>
      <c r="AD35">
        <f>Hoja1!AE6</f>
        <v>0.65800000000000003</v>
      </c>
      <c r="AE35">
        <f>Hoja1!AF6</f>
        <v>174.7</v>
      </c>
      <c r="AF35">
        <f>Hoja1!AG6</f>
        <v>22</v>
      </c>
      <c r="AI35">
        <f>Hoja1!AL6*1000</f>
        <v>52700</v>
      </c>
      <c r="AJ35">
        <f>Hoja1!AM6*1000</f>
        <v>4160</v>
      </c>
      <c r="AK35">
        <f>Hoja1!AP6/1000</f>
        <v>0.63170000000000004</v>
      </c>
      <c r="AL35">
        <f>Hoja1!AQ6/1000</f>
        <v>4.8799999999999996E-2</v>
      </c>
      <c r="AM35">
        <f>Hoja1!AR6*1000</f>
        <v>3598</v>
      </c>
      <c r="AN35">
        <f>Hoja1!AS6*1000</f>
        <v>266</v>
      </c>
      <c r="AO35">
        <f>Hoja1!AT6</f>
        <v>90.09</v>
      </c>
      <c r="AP35">
        <f>Hoja1!AU6</f>
        <v>7.24</v>
      </c>
      <c r="AS35">
        <f>Hoja1!AX6</f>
        <v>3498</v>
      </c>
      <c r="AT35">
        <f>Hoja1!AY6</f>
        <v>371</v>
      </c>
      <c r="AY35">
        <f>Hoja1!BD6/1000</f>
        <v>0.88949999999999996</v>
      </c>
      <c r="AZ35">
        <f>Hoja1!BE6/1000</f>
        <v>0.2029</v>
      </c>
      <c r="BA35">
        <f>Hoja1!BF6/1000</f>
        <v>4.9969999999999999</v>
      </c>
      <c r="BB35">
        <f>Hoja1!BG6/1000</f>
        <v>0.47899999999999998</v>
      </c>
      <c r="BC35">
        <f>Hoja1!BH6*1000</f>
        <v>2324</v>
      </c>
      <c r="BD35">
        <f>Hoja1!BI6*1000</f>
        <v>199</v>
      </c>
      <c r="BE35">
        <f>Hoja1!BJ6/1000</f>
        <v>2.895E-2</v>
      </c>
      <c r="BF35">
        <f>Hoja1!BK6/1000</f>
        <v>9.3699999999999999E-3</v>
      </c>
      <c r="BI35">
        <f>Hoja1!BT6</f>
        <v>18.46</v>
      </c>
      <c r="BJ35">
        <f>Hoja1!BU6</f>
        <v>2.56</v>
      </c>
      <c r="BK35">
        <f>Hoja1!BV6</f>
        <v>17.16</v>
      </c>
      <c r="BL35">
        <f>Hoja1!BW6</f>
        <v>2.75</v>
      </c>
      <c r="BM35">
        <f>Hoja1!BX6/1000</f>
        <v>0.42599999999999999</v>
      </c>
      <c r="BN35">
        <f>Hoja1!BY6/1000</f>
        <v>0.11890000000000001</v>
      </c>
      <c r="BO35">
        <f>Hoja1!BZ6</f>
        <v>54.13</v>
      </c>
      <c r="BP35">
        <f>Hoja1!CA6</f>
        <v>5.25</v>
      </c>
    </row>
    <row r="36" spans="2:68" x14ac:dyDescent="0.25">
      <c r="B36" s="28" t="s">
        <v>47</v>
      </c>
      <c r="E36">
        <f>Hoja1!H7/1000</f>
        <v>0.17499999999999999</v>
      </c>
      <c r="F36">
        <f>Hoja1!I7/1000</f>
        <v>8.0000000000000002E-3</v>
      </c>
      <c r="Q36">
        <f>Hoja1!P7*1000</f>
        <v>2680</v>
      </c>
      <c r="R36">
        <f>Hoja1!Q7*1000</f>
        <v>33.700000000000003</v>
      </c>
      <c r="S36">
        <f>Hoja1!R7/1000</f>
        <v>1.7299999999999999E-2</v>
      </c>
      <c r="T36">
        <f>Hoja1!S7/1000</f>
        <v>6.9999999999999999E-4</v>
      </c>
      <c r="W36">
        <f>Hoja1!X7/1000</f>
        <v>3.33</v>
      </c>
      <c r="X36">
        <f>Hoja1!Y7/1000</f>
        <v>6.0999999999999999E-2</v>
      </c>
      <c r="Y36">
        <f>Hoja1!Z7/1000</f>
        <v>4.57</v>
      </c>
      <c r="Z36">
        <f>Hoja1!AA7/1000</f>
        <v>0.09</v>
      </c>
      <c r="AC36">
        <f>Hoja1!AD7</f>
        <v>23.2</v>
      </c>
      <c r="AD36">
        <f>Hoja1!AE7</f>
        <v>0.87</v>
      </c>
      <c r="AE36">
        <f>Hoja1!AF7</f>
        <v>497</v>
      </c>
      <c r="AF36">
        <f>Hoja1!AG7</f>
        <v>6.8</v>
      </c>
      <c r="AI36">
        <f>Hoja1!AL7*1000</f>
        <v>8383</v>
      </c>
      <c r="AJ36">
        <f>Hoja1!AM7*1000</f>
        <v>126.2</v>
      </c>
      <c r="AM36">
        <f>Hoja1!AR7*1000</f>
        <v>2376</v>
      </c>
      <c r="AN36">
        <f>Hoja1!AS7*1000</f>
        <v>39.4</v>
      </c>
      <c r="AO36">
        <f>Hoja1!AT7</f>
        <v>67.5</v>
      </c>
      <c r="AP36">
        <f>Hoja1!AU7</f>
        <v>0.77</v>
      </c>
      <c r="AS36">
        <f>Hoja1!AX7</f>
        <v>680</v>
      </c>
      <c r="AT36">
        <f>Hoja1!AY7</f>
        <v>11.5</v>
      </c>
      <c r="AU36">
        <f>Hoja1!AZ7/1000</f>
        <v>0.57099999999999995</v>
      </c>
      <c r="AV36">
        <f>Hoja1!BA7/1000</f>
        <v>1.4E-2</v>
      </c>
      <c r="AY36">
        <f>Hoja1!BD7/1000</f>
        <v>0.57399999999999995</v>
      </c>
      <c r="AZ36">
        <f>Hoja1!BE7/1000</f>
        <v>9.4999999999999998E-3</v>
      </c>
      <c r="BO36">
        <f>Hoja1!BZ7</f>
        <v>128</v>
      </c>
      <c r="BP36">
        <f>Hoja1!CA7</f>
        <v>1</v>
      </c>
    </row>
    <row r="37" spans="2:68" x14ac:dyDescent="0.25">
      <c r="B37" s="28" t="s">
        <v>63</v>
      </c>
      <c r="O37">
        <f>Hoja1!N8</f>
        <v>39.1</v>
      </c>
      <c r="P37">
        <f>Hoja1!O8</f>
        <v>1.4750000000000001</v>
      </c>
      <c r="S37">
        <f>Hoja1!R8/1000</f>
        <v>1.6E-2</v>
      </c>
      <c r="T37">
        <f>Hoja1!S8/1000</f>
        <v>2E-3</v>
      </c>
      <c r="U37">
        <f>Hoja1!V8*1000</f>
        <v>69200</v>
      </c>
      <c r="V37">
        <f>Hoja1!W8*1000</f>
        <v>1625</v>
      </c>
      <c r="W37">
        <f>Hoja1!X8/1000</f>
        <v>4.5999999999999999E-2</v>
      </c>
      <c r="X37">
        <f>Hoja1!Y8/1000</f>
        <v>6.7499999999999999E-3</v>
      </c>
      <c r="Y37">
        <f>Hoja1!Z8/1000</f>
        <v>0.59</v>
      </c>
      <c r="Z37">
        <f>Hoja1!AA8/1000</f>
        <v>3.7499999999999999E-2</v>
      </c>
      <c r="AA37">
        <f>Hoja1!AB8/1000</f>
        <v>8.5999999999999993E-2</v>
      </c>
      <c r="AB37">
        <f>Hoja1!AC8/1000</f>
        <v>7.7499999999999999E-3</v>
      </c>
      <c r="AM37">
        <f>Hoja1!AR8*1000</f>
        <v>3190</v>
      </c>
      <c r="AN37">
        <f>Hoja1!AS8*1000</f>
        <v>62.5</v>
      </c>
      <c r="AO37">
        <f>Hoja1!AT8</f>
        <v>9.3000000000000007</v>
      </c>
      <c r="AP37">
        <f>Hoja1!AU8</f>
        <v>0.26</v>
      </c>
      <c r="AS37">
        <f>Hoja1!AX8</f>
        <v>15800</v>
      </c>
      <c r="AT37">
        <f>Hoja1!AY8</f>
        <v>300</v>
      </c>
      <c r="AU37">
        <f>Hoja1!AZ8/1000</f>
        <v>0.54</v>
      </c>
      <c r="AV37">
        <f>Hoja1!BA8/1000</f>
        <v>0.05</v>
      </c>
      <c r="AW37">
        <f>Hoja1!BB8</f>
        <v>16200</v>
      </c>
      <c r="AX37">
        <f>Hoja1!BC8</f>
        <v>375</v>
      </c>
      <c r="AY37">
        <f>Hoja1!BD8/1000</f>
        <v>0.104</v>
      </c>
      <c r="AZ37">
        <f>Hoja1!BE8/1000</f>
        <v>1.6250000000000001E-2</v>
      </c>
      <c r="BA37">
        <f>Hoja1!BF8/1000</f>
        <v>39.200000000000003</v>
      </c>
      <c r="BB37">
        <f>Hoja1!BG8/1000</f>
        <v>1.425</v>
      </c>
      <c r="BG37">
        <f>Hoja1!BN8/1000</f>
        <v>6.4000000000000001E-2</v>
      </c>
      <c r="BH37">
        <f>Hoja1!BO8/1000</f>
        <v>6.4999999999999997E-3</v>
      </c>
      <c r="BO37">
        <f>Hoja1!BZ8</f>
        <v>34.299999999999997</v>
      </c>
      <c r="BP37">
        <f>Hoja1!CA8</f>
        <v>0.72499999999999998</v>
      </c>
    </row>
    <row r="38" spans="2:68" x14ac:dyDescent="0.25">
      <c r="B38" s="28" t="s">
        <v>42</v>
      </c>
      <c r="E38">
        <f>Hoja1!H9/1000</f>
        <v>5.7000000000000002E-2</v>
      </c>
      <c r="F38">
        <f>Hoja1!I9/1000</f>
        <v>2E-3</v>
      </c>
      <c r="G38">
        <f>Hoja1!J9</f>
        <v>5.9</v>
      </c>
      <c r="H38">
        <f>Hoja1!K9</f>
        <v>0.35</v>
      </c>
      <c r="S38">
        <f>Hoja1!R9/1000</f>
        <v>0.12</v>
      </c>
      <c r="T38">
        <f>Hoja1!S9/1000</f>
        <v>1.5E-3</v>
      </c>
      <c r="Y38">
        <f>Hoja1!Z9/1000</f>
        <v>2.14</v>
      </c>
      <c r="Z38">
        <f>Hoja1!AA9/1000</f>
        <v>0.06</v>
      </c>
      <c r="AC38">
        <f>Hoja1!AD9</f>
        <v>9.65</v>
      </c>
      <c r="AD38">
        <f>Hoja1!AE9</f>
        <v>0.19</v>
      </c>
      <c r="AO38">
        <f>Hoja1!AT9</f>
        <v>81.599999999999994</v>
      </c>
      <c r="AP38">
        <f>Hoja1!AU9</f>
        <v>1.3</v>
      </c>
      <c r="AQ38">
        <f>Hoja1!AV9/1000</f>
        <v>0.84</v>
      </c>
      <c r="AR38">
        <f>Hoja1!AW9/1000</f>
        <v>0.03</v>
      </c>
      <c r="AU38">
        <f>Hoja1!AZ9/1000</f>
        <v>3</v>
      </c>
      <c r="AV38">
        <f>Hoja1!BA9/1000</f>
        <v>8.5000000000000006E-2</v>
      </c>
      <c r="AY38">
        <f>Hoja1!BD9/1000</f>
        <v>2.38</v>
      </c>
      <c r="AZ38">
        <f>Hoja1!BE9/1000</f>
        <v>5.5E-2</v>
      </c>
      <c r="BE38">
        <f>Hoja1!BJ9/1000</f>
        <v>4.7E-2</v>
      </c>
      <c r="BF38">
        <f>Hoja1!BK9/1000</f>
        <v>2.5000000000000001E-3</v>
      </c>
      <c r="BG38">
        <f>Hoja1!BN9/1000</f>
        <v>2.8000000000000001E-2</v>
      </c>
      <c r="BH38">
        <f>Hoja1!BO9/1000</f>
        <v>2E-3</v>
      </c>
      <c r="BO38">
        <f>Hoja1!BZ9</f>
        <v>31.5</v>
      </c>
      <c r="BP38">
        <f>Hoja1!CA9</f>
        <v>0.7</v>
      </c>
    </row>
    <row r="39" spans="2:68" x14ac:dyDescent="0.25">
      <c r="B39" s="28" t="s">
        <v>50</v>
      </c>
      <c r="C39">
        <f>Hoja1!F10</f>
        <v>1184</v>
      </c>
      <c r="D39">
        <f>Hoja1!G10</f>
        <v>132.5</v>
      </c>
      <c r="E39">
        <f>Hoja1!H10/1000</f>
        <v>44.3</v>
      </c>
      <c r="F39">
        <f>Hoja1!I10/1000</f>
        <v>1.05</v>
      </c>
      <c r="I39">
        <f>Hoja1!L10</f>
        <v>20.2</v>
      </c>
      <c r="J39">
        <f>Hoja1!M10</f>
        <v>4.4000000000000004</v>
      </c>
      <c r="O39">
        <f>Hoja1!N10</f>
        <v>567</v>
      </c>
      <c r="P39">
        <f>Hoja1!O10</f>
        <v>47</v>
      </c>
      <c r="Q39">
        <f>Hoja1!P10*1000</f>
        <v>12730</v>
      </c>
      <c r="R39">
        <f>Hoja1!Q10*1000</f>
        <v>880</v>
      </c>
      <c r="S39">
        <f>Hoja1!R10/1000</f>
        <v>0.53700000000000003</v>
      </c>
      <c r="T39">
        <f>Hoja1!S10/1000</f>
        <v>1.8499999999999999E-2</v>
      </c>
      <c r="W39">
        <f>Hoja1!X10/1000</f>
        <v>0.876</v>
      </c>
      <c r="X39">
        <f>Hoja1!Y10/1000</f>
        <v>6.6000000000000003E-2</v>
      </c>
      <c r="Y39">
        <f>Hoja1!Z10/1000</f>
        <v>10.4</v>
      </c>
      <c r="Z39">
        <f>Hoja1!AA10/1000</f>
        <v>0.4</v>
      </c>
      <c r="AA39">
        <f>Hoja1!AB10/1000</f>
        <v>0.23</v>
      </c>
      <c r="AB39">
        <f>Hoja1!AC10/1000</f>
        <v>1.2500000000000001E-2</v>
      </c>
      <c r="AC39">
        <f>Hoja1!AD10</f>
        <v>5.05</v>
      </c>
      <c r="AD39">
        <f>Hoja1!AE10</f>
        <v>0.14000000000000001</v>
      </c>
      <c r="AE39">
        <f>Hoja1!AF10</f>
        <v>1256</v>
      </c>
      <c r="AF39">
        <f>Hoja1!AG10</f>
        <v>17.5</v>
      </c>
      <c r="AI39">
        <f>Hoja1!AL10*1000</f>
        <v>31100</v>
      </c>
      <c r="AJ39">
        <f>Hoja1!AM10*1000</f>
        <v>1300</v>
      </c>
      <c r="AK39">
        <f>Hoja1!AP10/1000</f>
        <v>2.29</v>
      </c>
      <c r="AL39">
        <f>Hoja1!AQ10/1000</f>
        <v>0.17499999999999999</v>
      </c>
      <c r="AM39">
        <f>Hoja1!AR10*1000</f>
        <v>9070</v>
      </c>
      <c r="AN39">
        <f>Hoja1!AS10*1000</f>
        <v>440</v>
      </c>
      <c r="AO39">
        <f>Hoja1!AT10</f>
        <v>56.1</v>
      </c>
      <c r="AP39">
        <f>Hoja1!AU10</f>
        <v>1.2</v>
      </c>
      <c r="AQ39">
        <f>Hoja1!AV10/1000</f>
        <v>2.65</v>
      </c>
      <c r="AR39">
        <f>Hoja1!AW10/1000</f>
        <v>0.185</v>
      </c>
      <c r="AS39">
        <f>Hoja1!AX10</f>
        <v>32000</v>
      </c>
      <c r="AT39">
        <f>Hoja1!AY10</f>
        <v>3300</v>
      </c>
      <c r="AU39">
        <f>Hoja1!AZ10/1000</f>
        <v>3.79</v>
      </c>
      <c r="AV39">
        <f>Hoja1!BA10/1000</f>
        <v>0.20499999999999999</v>
      </c>
      <c r="AY39">
        <f>Hoja1!BD10/1000</f>
        <v>2.19</v>
      </c>
      <c r="AZ39">
        <f>Hoja1!BE10/1000</f>
        <v>0.14000000000000001</v>
      </c>
      <c r="BA39">
        <f>Hoja1!BF10/1000</f>
        <v>16.399999999999999</v>
      </c>
      <c r="BB39">
        <f>Hoja1!BG10/1000</f>
        <v>1.1499999999999999</v>
      </c>
      <c r="BE39">
        <f>Hoja1!BJ10/1000</f>
        <v>0.10299999999999999</v>
      </c>
      <c r="BF39">
        <f>Hoja1!BK10/1000</f>
        <v>1.0999999999999999E-2</v>
      </c>
      <c r="BG39">
        <f>Hoja1!BN10/1000</f>
        <v>7.9000000000000001E-2</v>
      </c>
      <c r="BH39">
        <f>Hoja1!BO10/1000</f>
        <v>1.6500000000000001E-2</v>
      </c>
      <c r="BI39">
        <f>Hoja1!BT10</f>
        <v>750</v>
      </c>
      <c r="BJ39">
        <f>Hoja1!BU10</f>
        <v>47.5</v>
      </c>
      <c r="BM39">
        <f>Hoja1!BX10/1000</f>
        <v>3.67</v>
      </c>
      <c r="BN39">
        <f>Hoja1!BY10/1000</f>
        <v>0.24</v>
      </c>
      <c r="BO39">
        <f>Hoja1!BZ10</f>
        <v>47.3</v>
      </c>
      <c r="BP39">
        <f>Hoja1!CA10</f>
        <v>1</v>
      </c>
    </row>
    <row r="40" spans="2:68" x14ac:dyDescent="0.25">
      <c r="B40" s="28" t="s">
        <v>59</v>
      </c>
      <c r="Q40">
        <f>Hoja1!P11*1000</f>
        <v>262</v>
      </c>
      <c r="R40">
        <f>Hoja1!Q11*1000</f>
        <v>7000</v>
      </c>
      <c r="S40">
        <f>Hoja1!R11/1000</f>
        <v>0.877</v>
      </c>
      <c r="T40">
        <f>Hoja1!S11/1000</f>
        <v>2.2499999999999999E-2</v>
      </c>
      <c r="W40">
        <f>Hoja1!X11/1000</f>
        <v>0.13600000000000001</v>
      </c>
      <c r="X40">
        <f>Hoja1!Y11/1000</f>
        <v>7.4999999999999997E-3</v>
      </c>
      <c r="AC40">
        <f>Hoja1!AD11</f>
        <v>72.7</v>
      </c>
      <c r="AD40">
        <f>Hoja1!AE11</f>
        <v>0.5</v>
      </c>
      <c r="AE40">
        <f>Hoja1!AF11</f>
        <v>349</v>
      </c>
      <c r="AF40">
        <f>Hoja1!AG11</f>
        <v>10</v>
      </c>
      <c r="AI40">
        <f>Hoja1!AL11*1000</f>
        <v>5966</v>
      </c>
      <c r="AJ40">
        <f>Hoja1!AM11*1000</f>
        <v>231</v>
      </c>
      <c r="AM40">
        <f>Hoja1!AR11*1000</f>
        <v>647</v>
      </c>
      <c r="AN40">
        <f>Hoja1!AS11*1000</f>
        <v>33.5</v>
      </c>
      <c r="AO40">
        <f>Hoja1!AT11</f>
        <v>11.1</v>
      </c>
      <c r="AP40">
        <f>Hoja1!AU11</f>
        <v>0.3</v>
      </c>
      <c r="AS40">
        <f>Hoja1!AX11</f>
        <v>758</v>
      </c>
      <c r="AT40">
        <f>Hoja1!AY11</f>
        <v>34</v>
      </c>
      <c r="AU40">
        <f>Hoja1!AZ11/1000</f>
        <v>0.10199999999999999</v>
      </c>
      <c r="AV40">
        <f>Hoja1!BA11/1000</f>
        <v>1.2999999999999999E-2</v>
      </c>
      <c r="AY40">
        <f>Hoja1!BD11/1000</f>
        <v>0.439</v>
      </c>
      <c r="AZ40">
        <f>Hoja1!BE11/1000</f>
        <v>1.2999999999999999E-2</v>
      </c>
      <c r="BO40">
        <f>Hoja1!BZ11</f>
        <v>55.8</v>
      </c>
      <c r="BP40">
        <f>Hoja1!CA11</f>
        <v>1.95</v>
      </c>
    </row>
  </sheetData>
  <mergeCells count="33">
    <mergeCell ref="AA2:AB2"/>
    <mergeCell ref="C2:D2"/>
    <mergeCell ref="E2:F2"/>
    <mergeCell ref="G2:H2"/>
    <mergeCell ref="I2:J2"/>
    <mergeCell ref="K2:L2"/>
    <mergeCell ref="M2:N2"/>
    <mergeCell ref="Q2:R2"/>
    <mergeCell ref="S2:T2"/>
    <mergeCell ref="U2:V2"/>
    <mergeCell ref="W2:X2"/>
    <mergeCell ref="Y2:Z2"/>
    <mergeCell ref="AE2:AF2"/>
    <mergeCell ref="AG2:AH2"/>
    <mergeCell ref="AI2:AJ2"/>
    <mergeCell ref="AK2:AL2"/>
    <mergeCell ref="AM2:AN2"/>
    <mergeCell ref="BM2:BN2"/>
    <mergeCell ref="BO2:BP2"/>
    <mergeCell ref="O2:P2"/>
    <mergeCell ref="BA2:BB2"/>
    <mergeCell ref="BC2:BD2"/>
    <mergeCell ref="BE2:BF2"/>
    <mergeCell ref="BG2:BH2"/>
    <mergeCell ref="BI2:BJ2"/>
    <mergeCell ref="BK2:BL2"/>
    <mergeCell ref="AO2:AP2"/>
    <mergeCell ref="AQ2:AR2"/>
    <mergeCell ref="AS2:AT2"/>
    <mergeCell ref="AU2:AV2"/>
    <mergeCell ref="AW2:AX2"/>
    <mergeCell ref="AY2:AZ2"/>
    <mergeCell ref="AC2:A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521E4-07CA-404E-9BEA-B7681E0B1F94}">
  <dimension ref="A1:AH38"/>
  <sheetViews>
    <sheetView workbookViewId="0">
      <selection activeCell="P19" sqref="P19"/>
    </sheetView>
  </sheetViews>
  <sheetFormatPr baseColWidth="10" defaultRowHeight="15" x14ac:dyDescent="0.25"/>
  <cols>
    <col min="1" max="1" width="14.42578125" style="26" bestFit="1" customWidth="1"/>
  </cols>
  <sheetData>
    <row r="1" spans="1:34" x14ac:dyDescent="0.25">
      <c r="A1" s="2" t="s">
        <v>172</v>
      </c>
      <c r="B1" s="36" t="s">
        <v>71</v>
      </c>
      <c r="C1" s="36" t="s">
        <v>72</v>
      </c>
      <c r="D1" s="36" t="s">
        <v>73</v>
      </c>
      <c r="E1" s="36" t="s">
        <v>74</v>
      </c>
      <c r="F1" s="36" t="s">
        <v>75</v>
      </c>
      <c r="G1" s="36" t="s">
        <v>76</v>
      </c>
      <c r="H1" s="36" t="s">
        <v>170</v>
      </c>
      <c r="I1" s="36" t="s">
        <v>77</v>
      </c>
      <c r="J1" s="36" t="s">
        <v>78</v>
      </c>
      <c r="K1" s="36" t="s">
        <v>79</v>
      </c>
      <c r="L1" s="36" t="s">
        <v>80</v>
      </c>
      <c r="M1" s="36" t="s">
        <v>81</v>
      </c>
      <c r="N1" s="36" t="s">
        <v>82</v>
      </c>
      <c r="O1" s="36" t="s">
        <v>83</v>
      </c>
      <c r="P1" s="36" t="s">
        <v>84</v>
      </c>
      <c r="Q1" s="36" t="s">
        <v>85</v>
      </c>
      <c r="R1" s="36" t="s">
        <v>86</v>
      </c>
      <c r="S1" s="36" t="s">
        <v>87</v>
      </c>
      <c r="T1" s="36" t="s">
        <v>88</v>
      </c>
      <c r="U1" s="36" t="s">
        <v>89</v>
      </c>
      <c r="V1" s="36" t="s">
        <v>90</v>
      </c>
      <c r="W1" s="36" t="s">
        <v>91</v>
      </c>
      <c r="X1" s="36" t="s">
        <v>92</v>
      </c>
      <c r="Y1" s="36" t="s">
        <v>93</v>
      </c>
      <c r="Z1" s="36" t="s">
        <v>94</v>
      </c>
      <c r="AA1" s="36" t="s">
        <v>95</v>
      </c>
      <c r="AB1" s="36" t="s">
        <v>96</v>
      </c>
      <c r="AC1" s="36" t="s">
        <v>97</v>
      </c>
      <c r="AD1" s="36" t="s">
        <v>98</v>
      </c>
      <c r="AE1" s="36" t="s">
        <v>99</v>
      </c>
      <c r="AF1" s="36" t="s">
        <v>100</v>
      </c>
      <c r="AG1" s="36" t="s">
        <v>101</v>
      </c>
      <c r="AH1" s="36" t="s">
        <v>102</v>
      </c>
    </row>
    <row r="2" spans="1:34" x14ac:dyDescent="0.25">
      <c r="A2" s="29" t="s">
        <v>107</v>
      </c>
      <c r="B2" s="3"/>
      <c r="C2" s="3">
        <v>0.30739999999999995</v>
      </c>
      <c r="D2" s="3">
        <v>9.5109999999999992</v>
      </c>
      <c r="E2" s="3">
        <v>9.6820000000000004</v>
      </c>
      <c r="F2" s="3">
        <v>2.3289999999999998E-2</v>
      </c>
      <c r="G2" s="3">
        <v>5.3400000000000001E-3</v>
      </c>
      <c r="H2" s="3"/>
      <c r="I2" s="37">
        <v>5508</v>
      </c>
      <c r="J2" s="3">
        <v>8.2349999999999993E-2</v>
      </c>
      <c r="K2" s="3">
        <v>8119</v>
      </c>
      <c r="L2" s="3">
        <v>0.17100000000000001</v>
      </c>
      <c r="M2" s="3">
        <v>1.744</v>
      </c>
      <c r="N2" s="3">
        <v>0.14680000000000001</v>
      </c>
      <c r="O2" s="3">
        <v>7.5209999999999999</v>
      </c>
      <c r="P2" s="3">
        <v>509.7</v>
      </c>
      <c r="Q2" s="3">
        <v>1.0970000000000001E-2</v>
      </c>
      <c r="R2" s="3">
        <v>25900</v>
      </c>
      <c r="S2" s="3">
        <v>0.98480000000000001</v>
      </c>
      <c r="T2" s="3">
        <v>1993</v>
      </c>
      <c r="U2" s="3">
        <v>79.55</v>
      </c>
      <c r="V2" s="3">
        <v>1.64</v>
      </c>
      <c r="W2" s="3">
        <v>3292</v>
      </c>
      <c r="X2" s="3">
        <v>1.476</v>
      </c>
      <c r="Y2" s="3">
        <v>3850</v>
      </c>
      <c r="Z2" s="3">
        <v>1.1830000000000001</v>
      </c>
      <c r="AA2" s="3">
        <v>34.75</v>
      </c>
      <c r="AB2" s="3">
        <v>3313</v>
      </c>
      <c r="AC2" s="3">
        <v>2.4129999999999999E-2</v>
      </c>
      <c r="AD2" s="3">
        <v>4.8250000000000001E-2</v>
      </c>
      <c r="AE2" s="3">
        <v>21.29</v>
      </c>
      <c r="AF2" s="3">
        <v>15.17</v>
      </c>
      <c r="AG2" s="3">
        <v>1.208</v>
      </c>
      <c r="AH2" s="3">
        <v>33.020000000000003</v>
      </c>
    </row>
    <row r="3" spans="1:34" x14ac:dyDescent="0.25">
      <c r="A3" s="29" t="s">
        <v>110</v>
      </c>
      <c r="B3" s="3"/>
      <c r="C3" s="3">
        <v>2.1960000000000002</v>
      </c>
      <c r="D3" s="37">
        <v>36.159999999999997</v>
      </c>
      <c r="E3" s="3">
        <v>8.2639999999999993</v>
      </c>
      <c r="F3" s="3"/>
      <c r="G3" s="3"/>
      <c r="H3" s="3"/>
      <c r="I3" s="37">
        <v>16500</v>
      </c>
      <c r="J3" s="3">
        <v>0.1278</v>
      </c>
      <c r="K3" s="3">
        <v>5475</v>
      </c>
      <c r="L3" s="3">
        <v>0.64729999999999999</v>
      </c>
      <c r="M3" s="3">
        <v>3.4</v>
      </c>
      <c r="N3" s="3">
        <v>0.186</v>
      </c>
      <c r="O3" s="3">
        <v>9.2880000000000003</v>
      </c>
      <c r="P3" s="3">
        <v>895.2</v>
      </c>
      <c r="Q3" s="3">
        <v>1.2699999999999999E-2</v>
      </c>
      <c r="R3" s="3">
        <v>21770</v>
      </c>
      <c r="S3" s="3"/>
      <c r="T3" s="3">
        <v>1826</v>
      </c>
      <c r="U3" s="3">
        <v>34.54</v>
      </c>
      <c r="V3" s="3">
        <v>2.8450000000000002</v>
      </c>
      <c r="W3" s="3">
        <v>1045</v>
      </c>
      <c r="X3" s="3">
        <v>2.306</v>
      </c>
      <c r="Y3" s="3">
        <v>2871</v>
      </c>
      <c r="Z3" s="3">
        <v>1.5</v>
      </c>
      <c r="AA3" s="3">
        <v>11.08</v>
      </c>
      <c r="AB3" s="3">
        <v>2910</v>
      </c>
      <c r="AC3" s="3">
        <v>0.1077</v>
      </c>
      <c r="AD3" s="3">
        <v>0.5655</v>
      </c>
      <c r="AE3" s="3">
        <v>55.39</v>
      </c>
      <c r="AF3" s="3">
        <v>99.98</v>
      </c>
      <c r="AG3" s="3">
        <v>3.0539999999999998</v>
      </c>
      <c r="AH3" s="3">
        <v>19.79</v>
      </c>
    </row>
    <row r="4" spans="1:34" x14ac:dyDescent="0.25">
      <c r="A4" s="29" t="s">
        <v>113</v>
      </c>
      <c r="B4" s="3"/>
      <c r="C4" s="3">
        <v>9.9299999999999999E-2</v>
      </c>
      <c r="D4" s="37">
        <v>19.760000000000002</v>
      </c>
      <c r="E4" s="3">
        <v>4.2679999999999998</v>
      </c>
      <c r="F4" s="3"/>
      <c r="G4" s="3"/>
      <c r="H4" s="3"/>
      <c r="I4" s="37">
        <v>7648</v>
      </c>
      <c r="J4" s="3">
        <v>3.573</v>
      </c>
      <c r="K4" s="3">
        <v>5479</v>
      </c>
      <c r="L4" s="3">
        <v>4.7100000000000003E-2</v>
      </c>
      <c r="M4" s="3">
        <v>0.3805</v>
      </c>
      <c r="N4" s="3"/>
      <c r="O4" s="3">
        <v>5.3179999999999996</v>
      </c>
      <c r="P4" s="3">
        <v>92.28</v>
      </c>
      <c r="Q4" s="3">
        <v>1.431E-2</v>
      </c>
      <c r="R4" s="3">
        <v>34040</v>
      </c>
      <c r="S4" s="3"/>
      <c r="T4" s="3">
        <v>2402</v>
      </c>
      <c r="U4" s="3">
        <v>75.47</v>
      </c>
      <c r="V4" s="3">
        <v>0.85470000000000002</v>
      </c>
      <c r="W4" s="3">
        <v>384</v>
      </c>
      <c r="X4" s="3">
        <v>0.34129999999999999</v>
      </c>
      <c r="Y4" s="3">
        <v>3462</v>
      </c>
      <c r="Z4" s="3">
        <v>0.85809999999999997</v>
      </c>
      <c r="AA4" s="3">
        <v>11.4</v>
      </c>
      <c r="AB4" s="3">
        <v>5099</v>
      </c>
      <c r="AC4" s="3">
        <v>2.1219999999999999E-2</v>
      </c>
      <c r="AD4" s="3">
        <v>3.8149999999999996E-2</v>
      </c>
      <c r="AE4" s="3">
        <v>15.82</v>
      </c>
      <c r="AF4" s="3"/>
      <c r="AG4" s="3">
        <v>0.1472</v>
      </c>
      <c r="AH4" s="3">
        <v>169.2</v>
      </c>
    </row>
    <row r="5" spans="1:34" x14ac:dyDescent="0.25">
      <c r="A5" s="29" t="s">
        <v>116</v>
      </c>
      <c r="B5" s="3"/>
      <c r="C5" s="3">
        <v>2.887E-2</v>
      </c>
      <c r="D5" s="3">
        <v>18.53</v>
      </c>
      <c r="E5" s="3">
        <v>1.9239999999999999</v>
      </c>
      <c r="F5" s="3"/>
      <c r="G5" s="3"/>
      <c r="H5" s="3"/>
      <c r="I5" s="37">
        <v>6680</v>
      </c>
      <c r="J5" s="3">
        <v>4.3400000000000001E-2</v>
      </c>
      <c r="K5" s="3">
        <v>6413</v>
      </c>
      <c r="L5" s="3">
        <v>2.5309999999999999E-2</v>
      </c>
      <c r="M5" s="3">
        <v>0.28110000000000002</v>
      </c>
      <c r="N5" s="3">
        <v>0.1123</v>
      </c>
      <c r="O5" s="3">
        <v>5.7030000000000003</v>
      </c>
      <c r="P5" s="3">
        <v>80.599999999999994</v>
      </c>
      <c r="Q5" s="3">
        <v>3.4419999999999999E-2</v>
      </c>
      <c r="R5" s="3">
        <v>9726</v>
      </c>
      <c r="S5" s="3"/>
      <c r="T5" s="3">
        <v>2732</v>
      </c>
      <c r="U5" s="3">
        <v>420</v>
      </c>
      <c r="V5" s="3">
        <v>8.5080000000000003E-2</v>
      </c>
      <c r="W5" s="3">
        <v>55.66</v>
      </c>
      <c r="X5" s="3">
        <v>1.327</v>
      </c>
      <c r="Y5" s="3">
        <v>1593</v>
      </c>
      <c r="Z5" s="3">
        <v>0.2571</v>
      </c>
      <c r="AA5" s="3">
        <v>9.2989999999999995</v>
      </c>
      <c r="AB5" s="3">
        <v>1795</v>
      </c>
      <c r="AC5" s="3"/>
      <c r="AD5" s="3">
        <v>0.45950000000000002</v>
      </c>
      <c r="AE5" s="3">
        <v>14.62</v>
      </c>
      <c r="AF5" s="3"/>
      <c r="AG5" s="3">
        <v>9.2749999999999999E-2</v>
      </c>
      <c r="AH5" s="3">
        <v>15.72</v>
      </c>
    </row>
    <row r="6" spans="1:34" x14ac:dyDescent="0.25">
      <c r="A6" s="30" t="s">
        <v>119</v>
      </c>
      <c r="B6" s="3"/>
      <c r="C6" s="3">
        <v>0.30569999999999997</v>
      </c>
      <c r="D6" s="3">
        <v>9.5969999999999995</v>
      </c>
      <c r="E6" s="3">
        <v>10.119999999999999</v>
      </c>
      <c r="F6" s="3">
        <v>2.1340000000000001E-2</v>
      </c>
      <c r="G6" s="3">
        <v>6.1660000000000005E-3</v>
      </c>
      <c r="H6" s="3"/>
      <c r="I6" s="37">
        <v>5560</v>
      </c>
      <c r="J6" s="3">
        <v>8.251E-2</v>
      </c>
      <c r="K6" s="3">
        <v>8144</v>
      </c>
      <c r="L6" s="3">
        <v>0.1759</v>
      </c>
      <c r="M6" s="3">
        <v>1.774</v>
      </c>
      <c r="N6" s="3">
        <v>0.14709999999999998</v>
      </c>
      <c r="O6" s="3">
        <v>7.5129999999999999</v>
      </c>
      <c r="P6" s="3">
        <v>514.5</v>
      </c>
      <c r="Q6" s="3">
        <v>1.072E-2</v>
      </c>
      <c r="R6" s="3">
        <v>25930</v>
      </c>
      <c r="S6" s="3">
        <v>1.0329999999999999</v>
      </c>
      <c r="T6" s="3">
        <v>2009.9999999999998</v>
      </c>
      <c r="U6" s="3">
        <v>80.099999999999994</v>
      </c>
      <c r="V6" s="3">
        <v>1.663</v>
      </c>
      <c r="W6" s="3">
        <v>3247</v>
      </c>
      <c r="X6" s="3">
        <v>1.5</v>
      </c>
      <c r="Y6" s="3">
        <v>3861</v>
      </c>
      <c r="Z6" s="3">
        <v>1.153</v>
      </c>
      <c r="AA6" s="3">
        <v>34.840000000000003</v>
      </c>
      <c r="AB6" s="3">
        <v>3315</v>
      </c>
      <c r="AC6" s="3">
        <v>3.0120000000000001E-2</v>
      </c>
      <c r="AD6" s="3">
        <v>4.437E-2</v>
      </c>
      <c r="AE6" s="3">
        <v>21.29</v>
      </c>
      <c r="AF6" s="3">
        <v>12.94</v>
      </c>
      <c r="AG6" s="3">
        <v>1.2270000000000001</v>
      </c>
      <c r="AH6" s="3">
        <v>32.76</v>
      </c>
    </row>
    <row r="7" spans="1:34" x14ac:dyDescent="0.25">
      <c r="A7" s="30" t="s">
        <v>120</v>
      </c>
      <c r="B7" s="3"/>
      <c r="C7" s="3">
        <v>5.9840000000000004E-2</v>
      </c>
      <c r="D7" s="37">
        <v>17.98</v>
      </c>
      <c r="E7" s="3">
        <v>14.45</v>
      </c>
      <c r="F7" s="3"/>
      <c r="G7" s="3"/>
      <c r="H7" s="3"/>
      <c r="I7" s="37">
        <v>15670</v>
      </c>
      <c r="J7" s="3">
        <v>7.3620000000000005E-2</v>
      </c>
      <c r="K7" s="3">
        <v>236.6</v>
      </c>
      <c r="L7" s="3">
        <v>0.12140000000000001</v>
      </c>
      <c r="M7" s="3">
        <v>0.35049999999999998</v>
      </c>
      <c r="N7" s="3">
        <v>1.8350000000000002E-2</v>
      </c>
      <c r="O7" s="3">
        <v>6.694</v>
      </c>
      <c r="P7" s="3">
        <v>76.819999999999993</v>
      </c>
      <c r="Q7" s="3">
        <v>2.972E-2</v>
      </c>
      <c r="R7" s="3">
        <v>11290</v>
      </c>
      <c r="S7" s="3">
        <v>4.8710000000000003E-2</v>
      </c>
      <c r="T7" s="3">
        <v>2385</v>
      </c>
      <c r="U7" s="3">
        <v>101.6</v>
      </c>
      <c r="V7" s="3">
        <v>0.52429999999999999</v>
      </c>
      <c r="W7" s="3">
        <v>36.880000000000003</v>
      </c>
      <c r="X7" s="3">
        <v>0.99229999999999996</v>
      </c>
      <c r="Y7" s="3">
        <v>2414</v>
      </c>
      <c r="Z7" s="3">
        <v>0.73670000000000002</v>
      </c>
      <c r="AA7" s="3">
        <v>11.19</v>
      </c>
      <c r="AB7" s="3">
        <v>767.2</v>
      </c>
      <c r="AC7" s="3">
        <v>5.9859999999999997E-2</v>
      </c>
      <c r="AD7" s="3">
        <v>2.9589999999999998E-2</v>
      </c>
      <c r="AE7" s="3">
        <v>37.53</v>
      </c>
      <c r="AF7" s="3"/>
      <c r="AG7" s="3">
        <v>0.11220000000000001</v>
      </c>
      <c r="AH7" s="3">
        <v>31.4</v>
      </c>
    </row>
    <row r="8" spans="1:34" x14ac:dyDescent="0.25">
      <c r="A8" s="30" t="s">
        <v>123</v>
      </c>
      <c r="B8" s="3"/>
      <c r="C8" s="3">
        <v>1.6030000000000003E-2</v>
      </c>
      <c r="D8" s="37">
        <v>29.22</v>
      </c>
      <c r="E8" s="3">
        <v>0.67110000000000003</v>
      </c>
      <c r="F8" s="3"/>
      <c r="G8" s="3"/>
      <c r="H8" s="3"/>
      <c r="I8" s="37">
        <v>14350</v>
      </c>
      <c r="J8" s="3">
        <v>2.2109999999999998E-2</v>
      </c>
      <c r="K8" s="3">
        <v>656.3</v>
      </c>
      <c r="L8" s="3">
        <v>6.1189999999999994E-2</v>
      </c>
      <c r="M8" s="3">
        <v>0.49030000000000001</v>
      </c>
      <c r="N8" s="3">
        <v>8.3549999999999996E-3</v>
      </c>
      <c r="O8" s="3">
        <v>3.4740000000000002</v>
      </c>
      <c r="P8" s="3">
        <v>90.71</v>
      </c>
      <c r="Q8" s="3">
        <v>1.5439999999999999E-2</v>
      </c>
      <c r="R8" s="3">
        <v>49360</v>
      </c>
      <c r="S8" s="3">
        <v>0.46629999999999999</v>
      </c>
      <c r="T8" s="3">
        <v>3547</v>
      </c>
      <c r="U8" s="3">
        <v>141.30000000000001</v>
      </c>
      <c r="V8" s="3">
        <v>1.125</v>
      </c>
      <c r="W8" s="3">
        <v>27.97</v>
      </c>
      <c r="X8" s="3">
        <v>0.18809999999999999</v>
      </c>
      <c r="Y8" s="3">
        <v>2809</v>
      </c>
      <c r="Z8" s="3">
        <v>0.125</v>
      </c>
      <c r="AA8" s="3">
        <v>3.26</v>
      </c>
      <c r="AB8" s="3">
        <v>4680</v>
      </c>
      <c r="AC8" s="3">
        <v>1.3769999999999999E-2</v>
      </c>
      <c r="AD8" s="3">
        <v>2.0480000000000002E-2</v>
      </c>
      <c r="AE8" s="3">
        <v>6.9950000000000001</v>
      </c>
      <c r="AF8" s="3"/>
      <c r="AG8" s="3">
        <v>4.947E-2</v>
      </c>
      <c r="AH8" s="3">
        <v>53.71</v>
      </c>
    </row>
    <row r="9" spans="1:34" x14ac:dyDescent="0.25">
      <c r="A9" s="31" t="s">
        <v>125</v>
      </c>
      <c r="B9" s="3"/>
      <c r="C9" s="3">
        <v>1.41E-2</v>
      </c>
      <c r="D9" s="3">
        <v>2.274</v>
      </c>
      <c r="E9" s="3">
        <v>0.1704</v>
      </c>
      <c r="F9" s="3"/>
      <c r="G9" s="3">
        <v>1.5249999999999999E-3</v>
      </c>
      <c r="H9" s="3"/>
      <c r="I9" s="3">
        <v>85.98</v>
      </c>
      <c r="J9" s="3">
        <v>1.303E-2</v>
      </c>
      <c r="K9" s="3">
        <v>305.5</v>
      </c>
      <c r="L9" s="3">
        <v>5.744E-3</v>
      </c>
      <c r="M9" s="3">
        <v>0.10970000000000001</v>
      </c>
      <c r="N9" s="3"/>
      <c r="O9" s="3">
        <v>1.8149999999999999</v>
      </c>
      <c r="P9" s="3">
        <v>35.96</v>
      </c>
      <c r="Q9" s="3"/>
      <c r="R9" s="3">
        <v>4489</v>
      </c>
      <c r="S9" s="3">
        <v>3.0999999999999999E-3</v>
      </c>
      <c r="T9" s="3">
        <v>1074</v>
      </c>
      <c r="U9" s="3">
        <v>3.7309999999999999</v>
      </c>
      <c r="V9" s="3">
        <v>0.2311</v>
      </c>
      <c r="W9" s="3">
        <v>10.36</v>
      </c>
      <c r="X9" s="3">
        <v>0.1047</v>
      </c>
      <c r="Y9" s="3">
        <v>3203</v>
      </c>
      <c r="Z9" s="3">
        <v>6.0380000000000003E-2</v>
      </c>
      <c r="AA9" s="3">
        <v>1.486</v>
      </c>
      <c r="AB9" s="3">
        <v>946.30000000000007</v>
      </c>
      <c r="AC9" s="3">
        <v>4.1830000000000001E-3</v>
      </c>
      <c r="AD9" s="3"/>
      <c r="AE9" s="3">
        <v>0.30309999999999998</v>
      </c>
      <c r="AF9" s="3"/>
      <c r="AG9" s="3">
        <v>6.1530000000000001E-2</v>
      </c>
      <c r="AH9" s="3">
        <v>25.63</v>
      </c>
    </row>
    <row r="10" spans="1:34" x14ac:dyDescent="0.25">
      <c r="A10" s="31" t="s">
        <v>127</v>
      </c>
      <c r="B10" s="3"/>
      <c r="C10" s="3">
        <v>0.43289999999999995</v>
      </c>
      <c r="D10" s="37">
        <v>34.729999999999997</v>
      </c>
      <c r="E10" s="3">
        <v>10.86</v>
      </c>
      <c r="F10" s="3"/>
      <c r="G10" s="37">
        <v>1.09E-2</v>
      </c>
      <c r="H10" s="3"/>
      <c r="I10" s="37">
        <v>23150</v>
      </c>
      <c r="J10" s="3">
        <v>5.1900000000000002E-2</v>
      </c>
      <c r="K10" s="3">
        <v>5266</v>
      </c>
      <c r="L10" s="3">
        <v>0.3211</v>
      </c>
      <c r="M10" s="3">
        <v>1.038</v>
      </c>
      <c r="N10" s="3">
        <v>4.5850000000000002E-2</v>
      </c>
      <c r="O10" s="3">
        <v>4.2569999999999997</v>
      </c>
      <c r="P10" s="3">
        <v>231.6</v>
      </c>
      <c r="Q10" s="3">
        <v>8.8789999999999997E-3</v>
      </c>
      <c r="R10" s="3">
        <v>26200</v>
      </c>
      <c r="S10" s="3">
        <v>0.65949999999999998</v>
      </c>
      <c r="T10" s="3">
        <v>1644</v>
      </c>
      <c r="U10" s="3">
        <v>40.200000000000003</v>
      </c>
      <c r="V10" s="3">
        <v>0.37589999999999996</v>
      </c>
      <c r="W10" s="3">
        <v>189.8</v>
      </c>
      <c r="X10" s="3">
        <v>1.0880000000000001</v>
      </c>
      <c r="Y10" s="3">
        <v>2361</v>
      </c>
      <c r="Z10" s="3">
        <v>0.83710000000000007</v>
      </c>
      <c r="AA10" s="3">
        <v>2.0179999999999998</v>
      </c>
      <c r="AB10" s="3">
        <v>3003</v>
      </c>
      <c r="AC10" s="3">
        <v>3.5830000000000001E-2</v>
      </c>
      <c r="AD10" s="3">
        <v>0.12029999999999999</v>
      </c>
      <c r="AE10" s="3">
        <v>57.39</v>
      </c>
      <c r="AF10" s="3">
        <v>26.26</v>
      </c>
      <c r="AG10" s="3">
        <v>0.93370000000000009</v>
      </c>
      <c r="AH10" s="3">
        <v>19.66</v>
      </c>
    </row>
    <row r="11" spans="1:34" x14ac:dyDescent="0.25">
      <c r="A11" s="31" t="s">
        <v>129</v>
      </c>
      <c r="B11" s="3"/>
      <c r="C11" s="3">
        <v>2.095E-2</v>
      </c>
      <c r="D11" s="37">
        <v>28.65</v>
      </c>
      <c r="E11" s="37">
        <v>81.99</v>
      </c>
      <c r="F11" s="3"/>
      <c r="G11" s="3">
        <v>1.2900000000000001E-3</v>
      </c>
      <c r="H11" s="3"/>
      <c r="I11" s="37">
        <v>6814</v>
      </c>
      <c r="J11" s="3">
        <v>4.6500000000000005E-3</v>
      </c>
      <c r="K11" s="3">
        <v>11240</v>
      </c>
      <c r="L11" s="3">
        <v>8.14E-2</v>
      </c>
      <c r="M11" s="3">
        <v>1.0980000000000001</v>
      </c>
      <c r="N11" s="3">
        <v>0.1031</v>
      </c>
      <c r="O11" s="3">
        <v>11.49</v>
      </c>
      <c r="P11" s="3">
        <v>112.2</v>
      </c>
      <c r="Q11" s="3">
        <v>1.078E-2</v>
      </c>
      <c r="R11" s="3">
        <v>37670</v>
      </c>
      <c r="S11" s="3">
        <v>1.6899999999999998E-2</v>
      </c>
      <c r="T11" s="3">
        <v>2644</v>
      </c>
      <c r="U11" s="3">
        <v>1443</v>
      </c>
      <c r="V11" s="3">
        <v>0.2676</v>
      </c>
      <c r="W11" s="3">
        <v>33.79</v>
      </c>
      <c r="X11" s="3">
        <v>0.73220000000000007</v>
      </c>
      <c r="Y11" s="3">
        <v>2021.9999999999998</v>
      </c>
      <c r="Z11" s="3">
        <v>7.1550000000000002E-2</v>
      </c>
      <c r="AA11" s="3">
        <v>7.6849999999999996</v>
      </c>
      <c r="AB11" s="3">
        <v>2419</v>
      </c>
      <c r="AC11" s="3">
        <v>7.1440000000000002E-3</v>
      </c>
      <c r="AD11" s="3">
        <v>2.63E-2</v>
      </c>
      <c r="AE11" s="3">
        <v>25.33</v>
      </c>
      <c r="AF11" s="3">
        <v>0</v>
      </c>
      <c r="AG11" s="3">
        <v>6.7989999999999995E-2</v>
      </c>
      <c r="AH11" s="3">
        <v>20.25</v>
      </c>
    </row>
    <row r="12" spans="1:34" x14ac:dyDescent="0.25">
      <c r="A12" s="31" t="s">
        <v>132</v>
      </c>
      <c r="B12" s="3"/>
      <c r="C12" s="3">
        <v>0.31210000000000004</v>
      </c>
      <c r="D12" s="3">
        <v>27.35</v>
      </c>
      <c r="E12" s="37">
        <v>51.75</v>
      </c>
      <c r="F12" s="3">
        <v>5.1549999999999999E-2</v>
      </c>
      <c r="G12" s="3">
        <v>1.78E-2</v>
      </c>
      <c r="H12" s="3"/>
      <c r="I12" s="37">
        <v>16530</v>
      </c>
      <c r="J12" s="3">
        <v>0.1938</v>
      </c>
      <c r="K12" s="3">
        <v>1225</v>
      </c>
      <c r="L12" s="3">
        <v>0.29419999999999996</v>
      </c>
      <c r="M12" s="3">
        <v>2.5390000000000001</v>
      </c>
      <c r="N12" s="3">
        <v>7.3120000000000004E-2</v>
      </c>
      <c r="O12" s="3">
        <v>8.66</v>
      </c>
      <c r="P12" s="3">
        <v>466.9</v>
      </c>
      <c r="Q12" s="3">
        <v>8.8270000000000001E-2</v>
      </c>
      <c r="R12" s="3">
        <v>4495</v>
      </c>
      <c r="S12" s="3">
        <v>0.35349999999999998</v>
      </c>
      <c r="T12" s="3">
        <v>1181</v>
      </c>
      <c r="U12" s="3">
        <v>629.1</v>
      </c>
      <c r="V12" s="3">
        <v>0.23599999999999999</v>
      </c>
      <c r="W12" s="3">
        <v>338.4</v>
      </c>
      <c r="X12" s="3">
        <v>1.79</v>
      </c>
      <c r="Y12" s="3">
        <v>913.3</v>
      </c>
      <c r="Z12" s="3">
        <v>6.07</v>
      </c>
      <c r="AA12" s="3">
        <v>5.4580000000000002</v>
      </c>
      <c r="AB12" s="3">
        <v>1099</v>
      </c>
      <c r="AC12" s="3">
        <v>0.34399999999999997</v>
      </c>
      <c r="AD12" s="3">
        <v>9.3700000000000006E-2</v>
      </c>
      <c r="AE12" s="3">
        <v>44.82</v>
      </c>
      <c r="AF12" s="3">
        <v>29.2</v>
      </c>
      <c r="AG12" s="3">
        <v>1.119</v>
      </c>
      <c r="AH12" s="3">
        <v>88.56</v>
      </c>
    </row>
    <row r="13" spans="1:34" x14ac:dyDescent="0.25">
      <c r="A13" s="32" t="s">
        <v>134</v>
      </c>
      <c r="B13" s="3"/>
      <c r="C13" s="3">
        <v>0.41610000000000003</v>
      </c>
      <c r="D13" s="37">
        <v>41.79</v>
      </c>
      <c r="E13" s="3">
        <v>23.38</v>
      </c>
      <c r="F13" s="3">
        <v>1.0150000000000001E-2</v>
      </c>
      <c r="G13" s="37">
        <v>1.5550000000000001E-2</v>
      </c>
      <c r="H13" s="3"/>
      <c r="I13" s="37">
        <v>30630</v>
      </c>
      <c r="J13" s="3">
        <v>2.5910000000000002</v>
      </c>
      <c r="K13" s="3">
        <v>4548</v>
      </c>
      <c r="L13" s="3">
        <v>0.30330000000000001</v>
      </c>
      <c r="M13" s="3">
        <v>6.4729999999999999</v>
      </c>
      <c r="N13" s="3">
        <v>6.2689999999999996E-2</v>
      </c>
      <c r="O13" s="3">
        <v>12.15</v>
      </c>
      <c r="P13" s="3">
        <v>333.8</v>
      </c>
      <c r="Q13" s="3">
        <v>7.6120000000000007E-2</v>
      </c>
      <c r="R13" s="3">
        <v>54490</v>
      </c>
      <c r="S13" s="3">
        <v>9.3889999999999993</v>
      </c>
      <c r="T13" s="3">
        <v>4684</v>
      </c>
      <c r="U13" s="3">
        <v>296.8</v>
      </c>
      <c r="V13" s="3">
        <v>1.214</v>
      </c>
      <c r="W13" s="3">
        <v>267.39999999999998</v>
      </c>
      <c r="X13" s="3">
        <v>1.0669999999999999</v>
      </c>
      <c r="Y13" s="3">
        <v>4637</v>
      </c>
      <c r="Z13" s="3">
        <v>5.3810000000000002</v>
      </c>
      <c r="AA13" s="3">
        <v>26.911000000000001</v>
      </c>
      <c r="AB13" s="3">
        <v>5266</v>
      </c>
      <c r="AC13" s="3">
        <v>0.23219999999999999</v>
      </c>
      <c r="AD13" s="3">
        <v>7.1930000000000008E-2</v>
      </c>
      <c r="AE13" s="3">
        <v>83.38</v>
      </c>
      <c r="AF13" s="3">
        <v>5.734</v>
      </c>
      <c r="AG13" s="3">
        <v>0.83129999999999993</v>
      </c>
      <c r="AH13" s="3">
        <v>187.6</v>
      </c>
    </row>
    <row r="14" spans="1:34" x14ac:dyDescent="0.25">
      <c r="A14" s="32" t="s">
        <v>136</v>
      </c>
      <c r="B14" s="3"/>
      <c r="C14" s="3">
        <v>0.27060000000000001</v>
      </c>
      <c r="D14" s="37">
        <v>48.06</v>
      </c>
      <c r="E14" s="3">
        <v>23.69</v>
      </c>
      <c r="F14" s="3">
        <v>0.01</v>
      </c>
      <c r="G14" s="3">
        <v>7.4599999999999996E-3</v>
      </c>
      <c r="H14" s="3"/>
      <c r="I14" s="37">
        <v>31540</v>
      </c>
      <c r="J14" s="3">
        <v>3.05</v>
      </c>
      <c r="K14" s="3">
        <v>4259</v>
      </c>
      <c r="L14" s="3">
        <v>4.4960000000000004</v>
      </c>
      <c r="M14" s="3">
        <v>0.68570000000000009</v>
      </c>
      <c r="N14" s="3">
        <v>0.44700000000000001</v>
      </c>
      <c r="O14" s="3">
        <v>9.673</v>
      </c>
      <c r="P14" s="3">
        <v>232.8</v>
      </c>
      <c r="Q14" s="3">
        <v>3.5020000000000003E-2</v>
      </c>
      <c r="R14" s="3">
        <v>9050</v>
      </c>
      <c r="S14" s="3">
        <v>0.34200000000000003</v>
      </c>
      <c r="T14" s="3">
        <v>4510</v>
      </c>
      <c r="U14" s="3">
        <v>127.4</v>
      </c>
      <c r="V14" s="3">
        <v>0.22650000000000001</v>
      </c>
      <c r="W14" s="3">
        <v>1146</v>
      </c>
      <c r="X14" s="3">
        <v>2.7290000000000001</v>
      </c>
      <c r="Y14" s="3">
        <v>1584</v>
      </c>
      <c r="Z14" s="3">
        <v>1.258</v>
      </c>
      <c r="AA14" s="3">
        <v>10.936</v>
      </c>
      <c r="AB14" s="3">
        <v>4491</v>
      </c>
      <c r="AC14" s="3">
        <v>0.12390000000000001</v>
      </c>
      <c r="AD14" s="3">
        <v>8.7260000000000004E-2</v>
      </c>
      <c r="AE14" s="3">
        <v>94.95</v>
      </c>
      <c r="AF14" s="3">
        <v>3.0449999999999999</v>
      </c>
      <c r="AG14" s="3">
        <v>0.4748</v>
      </c>
      <c r="AH14" s="3">
        <v>231.9</v>
      </c>
    </row>
    <row r="15" spans="1:34" x14ac:dyDescent="0.25">
      <c r="A15" s="32" t="s">
        <v>138</v>
      </c>
      <c r="B15" s="3"/>
      <c r="C15" s="3">
        <v>0.30660000000000004</v>
      </c>
      <c r="D15" s="3">
        <v>9.5129999999999999</v>
      </c>
      <c r="E15" s="3">
        <v>11.16</v>
      </c>
      <c r="F15" s="3">
        <v>1.9129999999999998E-2</v>
      </c>
      <c r="G15" s="3"/>
      <c r="H15" s="3"/>
      <c r="I15" s="37">
        <v>5501</v>
      </c>
      <c r="J15" s="3">
        <v>8.5559999999999997E-2</v>
      </c>
      <c r="K15" s="3">
        <v>8191.0000000000009</v>
      </c>
      <c r="L15" s="3">
        <v>0.18159999999999998</v>
      </c>
      <c r="M15" s="3">
        <v>1.8879999999999999</v>
      </c>
      <c r="N15" s="3">
        <v>0.15740000000000001</v>
      </c>
      <c r="O15" s="3">
        <v>7.49</v>
      </c>
      <c r="P15" s="3">
        <v>515</v>
      </c>
      <c r="Q15" s="3">
        <v>1.274E-2</v>
      </c>
      <c r="R15" s="3">
        <v>25870</v>
      </c>
      <c r="S15" s="3">
        <v>0.92649999999999999</v>
      </c>
      <c r="T15" s="3">
        <v>1986</v>
      </c>
      <c r="U15" s="3">
        <v>79.78</v>
      </c>
      <c r="V15" s="3">
        <v>1.6519999999999999</v>
      </c>
      <c r="W15" s="3">
        <v>3254</v>
      </c>
      <c r="X15" s="3">
        <v>1.4450000000000001</v>
      </c>
      <c r="Y15" s="3">
        <v>3835</v>
      </c>
      <c r="Z15" s="3">
        <v>1.119</v>
      </c>
      <c r="AA15" s="3">
        <v>34.567999999999998</v>
      </c>
      <c r="AB15" s="3">
        <v>3310</v>
      </c>
      <c r="AC15" s="3">
        <v>4.0070000000000001E-2</v>
      </c>
      <c r="AD15" s="3">
        <v>4.8439999999999997E-2</v>
      </c>
      <c r="AE15" s="3">
        <v>20.09</v>
      </c>
      <c r="AF15" s="3">
        <v>9.6479999999999997</v>
      </c>
      <c r="AG15" s="3">
        <v>1.3140000000000001</v>
      </c>
      <c r="AH15" s="3">
        <v>32.99</v>
      </c>
    </row>
    <row r="16" spans="1:34" x14ac:dyDescent="0.25">
      <c r="A16" s="32" t="s">
        <v>141</v>
      </c>
      <c r="B16" s="3"/>
      <c r="C16" s="3">
        <v>1.5619999999999998E-2</v>
      </c>
      <c r="D16" s="3">
        <v>2.3980000000000001</v>
      </c>
      <c r="E16" s="3">
        <v>0.18240000000000001</v>
      </c>
      <c r="F16" s="3">
        <v>1.027E-2</v>
      </c>
      <c r="G16" s="3"/>
      <c r="H16" s="3"/>
      <c r="I16" s="3">
        <v>68.489999999999995</v>
      </c>
      <c r="J16" s="3">
        <v>5.9930000000000001E-3</v>
      </c>
      <c r="K16" s="3">
        <v>388.1</v>
      </c>
      <c r="L16" s="3">
        <v>1.2880000000000001E-2</v>
      </c>
      <c r="M16" s="3">
        <v>9.6390000000000003E-2</v>
      </c>
      <c r="N16" s="3"/>
      <c r="O16" s="3">
        <v>2.1429999999999998</v>
      </c>
      <c r="P16" s="3">
        <v>27.8</v>
      </c>
      <c r="Q16" s="3"/>
      <c r="R16" s="3">
        <v>3667</v>
      </c>
      <c r="S16" s="3">
        <v>2.8900000000000002E-3</v>
      </c>
      <c r="T16" s="3">
        <v>1227</v>
      </c>
      <c r="U16" s="3">
        <v>5.8479999999999999</v>
      </c>
      <c r="V16" s="3">
        <v>0.32369999999999999</v>
      </c>
      <c r="W16" s="3">
        <v>8.3629999999999995</v>
      </c>
      <c r="X16" s="3">
        <v>0.22540000000000002</v>
      </c>
      <c r="Y16" s="3">
        <v>3174</v>
      </c>
      <c r="Z16" s="3">
        <v>8.0329999999999999E-2</v>
      </c>
      <c r="AA16" s="3">
        <v>0.48089999999999999</v>
      </c>
      <c r="AB16" s="3">
        <v>1056</v>
      </c>
      <c r="AC16" s="3">
        <v>8.2660000000000008E-3</v>
      </c>
      <c r="AD16" s="3">
        <v>4.9000000000000002E-2</v>
      </c>
      <c r="AE16" s="3">
        <v>0.2445</v>
      </c>
      <c r="AF16" s="3"/>
      <c r="AG16" s="3"/>
      <c r="AH16" s="3">
        <v>22.64</v>
      </c>
    </row>
    <row r="17" spans="1:34" x14ac:dyDescent="0.25">
      <c r="A17" s="16" t="s">
        <v>144</v>
      </c>
      <c r="B17" s="3"/>
      <c r="C17" s="37">
        <v>0.28999999999999998</v>
      </c>
      <c r="D17" s="37">
        <v>17.98</v>
      </c>
      <c r="E17" s="3">
        <v>2.625</v>
      </c>
      <c r="F17" s="3">
        <v>9.0399999999999994E-3</v>
      </c>
      <c r="G17" s="3">
        <v>1.541E-2</v>
      </c>
      <c r="H17" s="3"/>
      <c r="I17" s="37">
        <v>11450</v>
      </c>
      <c r="J17" s="3">
        <v>0.40649999999999997</v>
      </c>
      <c r="K17" s="3">
        <v>3819</v>
      </c>
      <c r="L17" s="3">
        <v>9.1420000000000001E-2</v>
      </c>
      <c r="M17" s="3">
        <v>0.47370000000000001</v>
      </c>
      <c r="N17" s="3">
        <v>6.2100000000000002E-2</v>
      </c>
      <c r="O17" s="3">
        <v>6.5380000000000003</v>
      </c>
      <c r="P17" s="3">
        <v>192.4</v>
      </c>
      <c r="Q17" s="3">
        <v>4.4889999999999999E-3</v>
      </c>
      <c r="R17" s="3">
        <v>22950</v>
      </c>
      <c r="S17" s="3">
        <v>3.3410000000000002</v>
      </c>
      <c r="T17" s="3">
        <v>1582</v>
      </c>
      <c r="U17" s="3">
        <v>19.47</v>
      </c>
      <c r="V17" s="3">
        <v>0.5121</v>
      </c>
      <c r="W17" s="3">
        <v>241.6</v>
      </c>
      <c r="X17" s="3">
        <v>0.41099999999999998</v>
      </c>
      <c r="Y17" s="3">
        <v>2012</v>
      </c>
      <c r="Z17" s="3">
        <v>0.80079999999999996</v>
      </c>
      <c r="AA17" s="3">
        <v>5.0510000000000002</v>
      </c>
      <c r="AB17" s="3">
        <v>1247</v>
      </c>
      <c r="AC17" s="3">
        <v>2.068E-2</v>
      </c>
      <c r="AD17" s="3"/>
      <c r="AE17" s="3">
        <v>26.53</v>
      </c>
      <c r="AF17" s="3"/>
      <c r="AG17" s="3">
        <v>0.40749999999999997</v>
      </c>
      <c r="AH17" s="3">
        <v>104.8</v>
      </c>
    </row>
    <row r="18" spans="1:34" x14ac:dyDescent="0.25">
      <c r="A18" s="16" t="s">
        <v>146</v>
      </c>
      <c r="B18" s="3"/>
      <c r="C18" s="3">
        <v>6.6599999999999993E-2</v>
      </c>
      <c r="D18" s="3">
        <v>66.78</v>
      </c>
      <c r="E18" s="37">
        <v>17.010000000000002</v>
      </c>
      <c r="F18" s="3">
        <v>5.2399999999999995E-2</v>
      </c>
      <c r="G18" s="37">
        <v>1.022E-2</v>
      </c>
      <c r="H18" s="3"/>
      <c r="I18" s="37">
        <v>6065</v>
      </c>
      <c r="J18" s="3">
        <v>7.4029999999999999E-3</v>
      </c>
      <c r="K18" s="3">
        <v>2425</v>
      </c>
      <c r="L18" s="3">
        <v>0.10920000000000001</v>
      </c>
      <c r="M18" s="3">
        <v>0.3427</v>
      </c>
      <c r="N18" s="3">
        <v>9.1299999999999992E-2</v>
      </c>
      <c r="O18" s="3">
        <v>4.827</v>
      </c>
      <c r="P18" s="3">
        <v>73.47</v>
      </c>
      <c r="Q18" s="3">
        <v>5.7079999999999999E-2</v>
      </c>
      <c r="R18" s="3">
        <v>5043</v>
      </c>
      <c r="S18" s="3">
        <v>0.8247000000000001</v>
      </c>
      <c r="T18" s="3">
        <v>2143</v>
      </c>
      <c r="U18" s="3">
        <v>791.9</v>
      </c>
      <c r="V18" s="3">
        <v>3.3030000000000004E-2</v>
      </c>
      <c r="W18" s="3">
        <v>2173</v>
      </c>
      <c r="X18" s="3">
        <v>3.8690000000000002</v>
      </c>
      <c r="Y18" s="3">
        <v>835.9</v>
      </c>
      <c r="Z18" s="3">
        <v>0.13390000000000002</v>
      </c>
      <c r="AA18" s="3">
        <v>16.559000000000001</v>
      </c>
      <c r="AB18" s="3">
        <v>1077</v>
      </c>
      <c r="AC18" s="3">
        <v>7.3000000000000001E-3</v>
      </c>
      <c r="AD18" s="3">
        <v>2.053E-2</v>
      </c>
      <c r="AE18" s="3">
        <v>17.079999999999998</v>
      </c>
      <c r="AF18" s="3"/>
      <c r="AG18" s="3">
        <v>0.11120000000000001</v>
      </c>
      <c r="AH18" s="3">
        <v>12.66</v>
      </c>
    </row>
    <row r="19" spans="1:34" x14ac:dyDescent="0.25">
      <c r="A19" s="16" t="s">
        <v>149</v>
      </c>
      <c r="B19" s="3"/>
      <c r="C19" s="3">
        <v>0.40600000000000003</v>
      </c>
      <c r="D19" s="37">
        <v>44.5</v>
      </c>
      <c r="E19" s="3">
        <v>9.9209999999999994</v>
      </c>
      <c r="F19" s="3">
        <v>3.9200000000000006E-2</v>
      </c>
      <c r="G19" s="37">
        <v>1.9609999999999999E-2</v>
      </c>
      <c r="H19" s="3"/>
      <c r="I19" s="37">
        <v>22860</v>
      </c>
      <c r="J19" s="3">
        <v>4.7789999999999999E-2</v>
      </c>
      <c r="K19" s="3">
        <v>5256</v>
      </c>
      <c r="L19" s="3">
        <v>0.26450000000000001</v>
      </c>
      <c r="M19" s="3">
        <v>0.82289999999999996</v>
      </c>
      <c r="N19" s="3">
        <v>6.1499999999999999E-2</v>
      </c>
      <c r="O19" s="3">
        <v>4.2210000000000001</v>
      </c>
      <c r="P19" s="3">
        <v>223.9</v>
      </c>
      <c r="Q19" s="3">
        <v>1.03E-2</v>
      </c>
      <c r="R19" s="3">
        <v>26120</v>
      </c>
      <c r="S19" s="3">
        <v>0.47699999999999998</v>
      </c>
      <c r="T19" s="3">
        <v>1625</v>
      </c>
      <c r="U19" s="3">
        <v>40.39</v>
      </c>
      <c r="V19" s="3">
        <v>0.35930000000000001</v>
      </c>
      <c r="W19" s="3">
        <v>191.3</v>
      </c>
      <c r="X19" s="3">
        <v>1.147</v>
      </c>
      <c r="Y19" s="3">
        <v>2340</v>
      </c>
      <c r="Z19" s="3">
        <v>0.82820000000000005</v>
      </c>
      <c r="AA19" s="3">
        <v>1.978</v>
      </c>
      <c r="AB19" s="3">
        <v>2971</v>
      </c>
      <c r="AC19" s="3">
        <v>3.4799999999999998E-2</v>
      </c>
      <c r="AD19" s="3">
        <v>0.13019999999999998</v>
      </c>
      <c r="AE19" s="3">
        <v>54.11</v>
      </c>
      <c r="AF19" s="3">
        <v>10.4</v>
      </c>
      <c r="AG19" s="3">
        <v>0.77339999999999998</v>
      </c>
      <c r="AH19" s="3">
        <v>19.71</v>
      </c>
    </row>
    <row r="20" spans="1:34" x14ac:dyDescent="0.25">
      <c r="A20" s="16" t="s">
        <v>150</v>
      </c>
      <c r="B20" s="3"/>
      <c r="C20" s="3">
        <v>5.7299999999999997E-2</v>
      </c>
      <c r="D20" s="37">
        <v>17.850000000000001</v>
      </c>
      <c r="E20" s="3">
        <v>10.050000000000001</v>
      </c>
      <c r="F20" s="3">
        <v>2.2600000000000002E-2</v>
      </c>
      <c r="G20" s="3">
        <v>5.2550000000000001E-3</v>
      </c>
      <c r="H20" s="3"/>
      <c r="I20" s="37">
        <v>7135</v>
      </c>
      <c r="J20" s="3">
        <v>4.0090000000000001E-2</v>
      </c>
      <c r="K20" s="3">
        <v>6330</v>
      </c>
      <c r="L20" s="3">
        <v>3.056E-2</v>
      </c>
      <c r="M20" s="3">
        <v>0.27979999999999999</v>
      </c>
      <c r="N20" s="3">
        <v>0.128</v>
      </c>
      <c r="O20" s="3">
        <v>5.9770000000000003</v>
      </c>
      <c r="P20" s="3">
        <v>85.88</v>
      </c>
      <c r="Q20" s="3">
        <v>2.7820000000000001E-2</v>
      </c>
      <c r="R20" s="3">
        <v>9975</v>
      </c>
      <c r="S20" s="3">
        <v>6.105E-2</v>
      </c>
      <c r="T20" s="3">
        <v>2989</v>
      </c>
      <c r="U20" s="3">
        <v>457.7</v>
      </c>
      <c r="V20" s="3">
        <v>0.12290000000000001</v>
      </c>
      <c r="W20" s="3">
        <v>70.290000000000006</v>
      </c>
      <c r="X20" s="3">
        <v>1.044</v>
      </c>
      <c r="Y20" s="3">
        <v>1600</v>
      </c>
      <c r="Z20" s="3">
        <v>0.19450000000000001</v>
      </c>
      <c r="AA20" s="3">
        <v>11.4</v>
      </c>
      <c r="AB20" s="3">
        <v>1789</v>
      </c>
      <c r="AC20" s="3">
        <v>6.8550000000000008E-3</v>
      </c>
      <c r="AD20" s="3">
        <v>0.37980000000000003</v>
      </c>
      <c r="AE20" s="3">
        <v>18.25</v>
      </c>
      <c r="AF20" s="3"/>
      <c r="AG20" s="3">
        <v>0.17419999999999999</v>
      </c>
      <c r="AH20" s="3">
        <v>16.329999999999998</v>
      </c>
    </row>
    <row r="21" spans="1:34" x14ac:dyDescent="0.25">
      <c r="A21" s="33" t="s">
        <v>151</v>
      </c>
      <c r="B21" s="3"/>
      <c r="C21" s="3">
        <v>1.291E-2</v>
      </c>
      <c r="D21" s="37">
        <v>26.13</v>
      </c>
      <c r="E21" s="37">
        <v>24.83</v>
      </c>
      <c r="F21" s="3">
        <v>3.3700000000000002E-3</v>
      </c>
      <c r="G21" s="3">
        <v>2.4849999999999999</v>
      </c>
      <c r="H21" s="3"/>
      <c r="I21" s="37">
        <v>7084</v>
      </c>
      <c r="J21" s="3">
        <v>1.0369999999999999E-2</v>
      </c>
      <c r="K21" s="3">
        <v>9809</v>
      </c>
      <c r="L21" s="3">
        <v>7.9769999999999994E-2</v>
      </c>
      <c r="M21" s="3">
        <v>0.63149999999999995</v>
      </c>
      <c r="N21" s="3">
        <v>4.165E-2</v>
      </c>
      <c r="O21" s="3">
        <v>11.06</v>
      </c>
      <c r="P21" s="3">
        <v>93.94</v>
      </c>
      <c r="Q21" s="3">
        <v>7.7599999999999995E-3</v>
      </c>
      <c r="R21" s="3">
        <v>39010</v>
      </c>
      <c r="S21" s="3"/>
      <c r="T21" s="3">
        <v>3086</v>
      </c>
      <c r="U21" s="3">
        <v>916.3</v>
      </c>
      <c r="V21" s="3">
        <v>0.35810000000000003</v>
      </c>
      <c r="W21" s="3">
        <v>95.06</v>
      </c>
      <c r="X21" s="3">
        <v>0.64890000000000003</v>
      </c>
      <c r="Y21" s="3">
        <v>2095</v>
      </c>
      <c r="Z21" s="3">
        <v>6.3829999999999998E-2</v>
      </c>
      <c r="AA21" s="3">
        <v>11.545999999999999</v>
      </c>
      <c r="AB21" s="3">
        <v>2377</v>
      </c>
      <c r="AC21" s="3">
        <v>1.4630000000000001E-2</v>
      </c>
      <c r="AD21" s="3">
        <v>4.3209999999999998E-2</v>
      </c>
      <c r="AE21" s="3">
        <v>21</v>
      </c>
      <c r="AF21" s="3"/>
      <c r="AG21" s="3">
        <v>6.7589999999999997E-2</v>
      </c>
      <c r="AH21" s="3">
        <v>22.68</v>
      </c>
    </row>
    <row r="22" spans="1:34" x14ac:dyDescent="0.25">
      <c r="A22" s="33" t="s">
        <v>153</v>
      </c>
      <c r="B22" s="3"/>
      <c r="C22" s="3">
        <v>2.1539999999999999</v>
      </c>
      <c r="D22" s="37">
        <v>36.79</v>
      </c>
      <c r="E22" s="3">
        <v>12.35</v>
      </c>
      <c r="F22" s="3">
        <v>0.1215</v>
      </c>
      <c r="G22" s="3">
        <v>1.84E-2</v>
      </c>
      <c r="H22" s="3"/>
      <c r="I22" s="37">
        <v>16530</v>
      </c>
      <c r="J22" s="3">
        <v>0.12709999999999999</v>
      </c>
      <c r="K22" s="3">
        <v>5522</v>
      </c>
      <c r="L22" s="3">
        <v>0.74939999999999996</v>
      </c>
      <c r="M22" s="3">
        <v>4.1710000000000003</v>
      </c>
      <c r="N22" s="3">
        <v>0.19450000000000001</v>
      </c>
      <c r="O22" s="3">
        <v>9.2149999999999999</v>
      </c>
      <c r="P22" s="3">
        <v>923.1</v>
      </c>
      <c r="Q22" s="3">
        <v>1.2230000000000001E-2</v>
      </c>
      <c r="R22" s="3">
        <v>21870</v>
      </c>
      <c r="S22" s="3">
        <v>1.3109999999999999</v>
      </c>
      <c r="T22" s="3">
        <v>1845</v>
      </c>
      <c r="U22" s="3">
        <v>34.68</v>
      </c>
      <c r="V22" s="3">
        <v>2.843</v>
      </c>
      <c r="W22" s="3">
        <v>1043</v>
      </c>
      <c r="X22" s="3">
        <v>2.1779999999999999</v>
      </c>
      <c r="Y22" s="3">
        <v>2877</v>
      </c>
      <c r="Z22" s="3">
        <v>1.5189999999999999</v>
      </c>
      <c r="AA22" s="3">
        <v>11.567</v>
      </c>
      <c r="AB22" s="3">
        <v>2964</v>
      </c>
      <c r="AC22" s="3">
        <v>0.12029999999999999</v>
      </c>
      <c r="AD22" s="3">
        <v>0.59699999999999998</v>
      </c>
      <c r="AE22" s="3">
        <v>55.91</v>
      </c>
      <c r="AF22" s="3">
        <v>60.94</v>
      </c>
      <c r="AG22" s="3">
        <v>3.5779999999999998</v>
      </c>
      <c r="AH22" s="3">
        <v>19.71</v>
      </c>
    </row>
    <row r="23" spans="1:34" x14ac:dyDescent="0.25">
      <c r="A23" s="33" t="s">
        <v>154</v>
      </c>
      <c r="B23" s="3"/>
      <c r="C23" s="3">
        <v>1.6039999999999999E-2</v>
      </c>
      <c r="D23" s="37">
        <v>29.11</v>
      </c>
      <c r="E23" s="3">
        <v>0.73029999999999995</v>
      </c>
      <c r="F23" s="3"/>
      <c r="G23" s="3">
        <v>1.6299999999999999E-3</v>
      </c>
      <c r="H23" s="3"/>
      <c r="I23" s="37">
        <v>14450</v>
      </c>
      <c r="J23" s="3">
        <v>2.171E-2</v>
      </c>
      <c r="K23" s="3">
        <v>675.3</v>
      </c>
      <c r="L23" s="3">
        <v>6.2420000000000003E-2</v>
      </c>
      <c r="M23" s="3">
        <v>0.46920000000000001</v>
      </c>
      <c r="N23" s="3"/>
      <c r="O23" s="3">
        <v>3.298</v>
      </c>
      <c r="P23" s="3">
        <v>89.92</v>
      </c>
      <c r="Q23" s="3">
        <v>1.533E-2</v>
      </c>
      <c r="R23" s="3">
        <v>48830</v>
      </c>
      <c r="S23" s="3">
        <v>0.48410000000000003</v>
      </c>
      <c r="T23" s="3">
        <v>3557</v>
      </c>
      <c r="U23" s="3">
        <v>140.80000000000001</v>
      </c>
      <c r="V23" s="3">
        <v>1.119</v>
      </c>
      <c r="W23" s="3">
        <v>28.44</v>
      </c>
      <c r="X23" s="3">
        <v>0.14610000000000001</v>
      </c>
      <c r="Y23" s="3">
        <v>2789</v>
      </c>
      <c r="Z23" s="3">
        <v>0.1333</v>
      </c>
      <c r="AA23" s="3">
        <v>3.1909999999999998</v>
      </c>
      <c r="AB23" s="3">
        <v>4726</v>
      </c>
      <c r="AC23" s="3">
        <v>1.6550000000000002E-2</v>
      </c>
      <c r="AD23" s="3">
        <v>4.2169999999999999E-2</v>
      </c>
      <c r="AE23" s="3">
        <v>6.8719999999999999</v>
      </c>
      <c r="AF23" s="3"/>
      <c r="AG23" s="3"/>
      <c r="AH23" s="3">
        <v>53.52</v>
      </c>
    </row>
    <row r="24" spans="1:34" x14ac:dyDescent="0.25">
      <c r="A24" s="33" t="s">
        <v>156</v>
      </c>
      <c r="B24" s="3"/>
      <c r="C24" s="3">
        <v>0.04</v>
      </c>
      <c r="D24" s="37">
        <v>50.23</v>
      </c>
      <c r="E24" s="3">
        <v>5.6555</v>
      </c>
      <c r="F24" s="3">
        <v>2.3749999999999999E-3</v>
      </c>
      <c r="G24" s="3">
        <v>1.25E-3</v>
      </c>
      <c r="H24" s="3"/>
      <c r="I24" s="37">
        <v>17980</v>
      </c>
      <c r="J24" s="3">
        <v>0.14430000000000001</v>
      </c>
      <c r="K24" s="3">
        <v>1994</v>
      </c>
      <c r="L24" s="3">
        <v>6.5069999999999989E-2</v>
      </c>
      <c r="M24" s="3">
        <v>2.7610000000000001</v>
      </c>
      <c r="N24" s="3">
        <v>7.9140000000000002E-2</v>
      </c>
      <c r="O24" s="3">
        <v>2.5910000000000002</v>
      </c>
      <c r="P24" s="3">
        <v>67.040000000000006</v>
      </c>
      <c r="Q24" s="3">
        <v>9.9689999999999987E-3</v>
      </c>
      <c r="R24" s="3">
        <v>47790</v>
      </c>
      <c r="S24" s="3">
        <v>0.67279999999999995</v>
      </c>
      <c r="T24" s="3">
        <v>4737</v>
      </c>
      <c r="U24" s="3">
        <v>66.209999999999994</v>
      </c>
      <c r="V24" s="3">
        <v>14.914</v>
      </c>
      <c r="W24" s="3">
        <v>1016</v>
      </c>
      <c r="X24" s="3">
        <v>0.18980000000000002</v>
      </c>
      <c r="Y24" s="3">
        <v>4901</v>
      </c>
      <c r="Z24" s="3">
        <v>0.23669999999999999</v>
      </c>
      <c r="AA24" s="3">
        <v>21.768000000000001</v>
      </c>
      <c r="AB24" s="3">
        <v>8458</v>
      </c>
      <c r="AC24" s="3">
        <v>3.8859999999999999E-2</v>
      </c>
      <c r="AD24" s="3">
        <v>6.5280000000000005E-2</v>
      </c>
      <c r="AE24" s="3">
        <v>32.56</v>
      </c>
      <c r="AF24" s="3"/>
      <c r="AG24" s="3"/>
      <c r="AH24" s="3">
        <v>50.82</v>
      </c>
    </row>
    <row r="25" spans="1:34" x14ac:dyDescent="0.25">
      <c r="A25" s="34" t="s">
        <v>158</v>
      </c>
      <c r="B25" s="37">
        <v>598</v>
      </c>
      <c r="C25" s="37">
        <v>0.112</v>
      </c>
      <c r="D25" s="37">
        <v>33.299999999999997</v>
      </c>
      <c r="E25" s="3"/>
      <c r="F25" s="3"/>
      <c r="G25" s="3"/>
      <c r="H25" s="3"/>
      <c r="I25" s="37">
        <v>50500</v>
      </c>
      <c r="J25" s="3">
        <v>1.52</v>
      </c>
      <c r="K25" s="3"/>
      <c r="L25" s="3">
        <v>0.56999999999999995</v>
      </c>
      <c r="M25" s="3">
        <v>1.99</v>
      </c>
      <c r="N25" s="3"/>
      <c r="O25" s="3">
        <v>368</v>
      </c>
      <c r="P25" s="3"/>
      <c r="Q25" s="3">
        <v>3.4000000000000002E-2</v>
      </c>
      <c r="R25" s="3">
        <v>27000</v>
      </c>
      <c r="S25" s="3"/>
      <c r="T25" s="3"/>
      <c r="U25" s="3">
        <v>246</v>
      </c>
      <c r="V25" s="3"/>
      <c r="W25" s="3">
        <v>136</v>
      </c>
      <c r="X25" s="3">
        <v>1.59</v>
      </c>
      <c r="Y25" s="3">
        <v>2160</v>
      </c>
      <c r="Z25" s="3"/>
      <c r="AA25" s="3">
        <v>14.89</v>
      </c>
      <c r="AB25" s="3"/>
      <c r="AC25" s="3">
        <v>6.3E-2</v>
      </c>
      <c r="AD25" s="3">
        <v>5.3999999999999999E-2</v>
      </c>
      <c r="AE25" s="3"/>
      <c r="AF25" s="3"/>
      <c r="AG25" s="3">
        <v>0.83499999999999996</v>
      </c>
      <c r="AH25" s="3">
        <v>30.9</v>
      </c>
    </row>
    <row r="26" spans="1:34" x14ac:dyDescent="0.25">
      <c r="A26" s="35" t="s">
        <v>161</v>
      </c>
      <c r="B26" s="3"/>
      <c r="C26" s="3">
        <v>10.199999999999999</v>
      </c>
      <c r="D26" s="3"/>
      <c r="E26" s="3"/>
      <c r="F26" s="3"/>
      <c r="G26" s="3"/>
      <c r="H26" s="3"/>
      <c r="I26" s="3"/>
      <c r="J26" s="3">
        <v>19.399999999999999</v>
      </c>
      <c r="K26" s="3"/>
      <c r="L26" s="3"/>
      <c r="M26" s="3"/>
      <c r="N26" s="3"/>
      <c r="O26" s="3">
        <v>31200</v>
      </c>
      <c r="P26" s="3">
        <v>1484</v>
      </c>
      <c r="Q26" s="3">
        <v>3.37</v>
      </c>
      <c r="R26" s="3"/>
      <c r="S26" s="3"/>
      <c r="T26" s="3"/>
      <c r="U26" s="3"/>
      <c r="V26" s="3"/>
      <c r="W26" s="3"/>
      <c r="X26" s="3">
        <v>2.72</v>
      </c>
      <c r="Y26" s="3"/>
      <c r="Z26" s="3">
        <v>0.31900000000000001</v>
      </c>
      <c r="AA26" s="3"/>
      <c r="AB26" s="3"/>
      <c r="AC26" s="3"/>
      <c r="AD26" s="3">
        <v>7.06</v>
      </c>
      <c r="AE26" s="3"/>
      <c r="AF26" s="3"/>
      <c r="AG26" s="3"/>
      <c r="AH26" s="3">
        <v>86600</v>
      </c>
    </row>
    <row r="27" spans="1:34" x14ac:dyDescent="0.25">
      <c r="A27" s="35" t="s">
        <v>163</v>
      </c>
      <c r="B27" s="3"/>
      <c r="C27" s="3"/>
      <c r="D27" s="3"/>
      <c r="E27" s="37">
        <v>11</v>
      </c>
      <c r="F27" s="3"/>
      <c r="G27" s="3"/>
      <c r="H27" s="3"/>
      <c r="I27" s="3"/>
      <c r="J27" s="3"/>
      <c r="K27" s="3"/>
      <c r="L27" s="3"/>
      <c r="M27" s="3"/>
      <c r="N27" s="3"/>
      <c r="O27" s="3">
        <v>5.67</v>
      </c>
      <c r="P27" s="3">
        <v>148</v>
      </c>
      <c r="Q27" s="3"/>
      <c r="R27" s="3">
        <v>32500</v>
      </c>
      <c r="S27" s="3"/>
      <c r="T27" s="3">
        <v>2160</v>
      </c>
      <c r="U27" s="3">
        <v>31.9</v>
      </c>
      <c r="V27" s="3"/>
      <c r="W27" s="3"/>
      <c r="X27" s="3"/>
      <c r="Y27" s="3"/>
      <c r="Z27" s="3"/>
      <c r="AA27" s="3"/>
      <c r="AB27" s="3"/>
      <c r="AC27" s="3"/>
      <c r="AD27" s="3"/>
      <c r="AE27" s="3">
        <v>49.5</v>
      </c>
      <c r="AF27" s="3"/>
      <c r="AG27" s="3"/>
      <c r="AH27" s="3">
        <v>38.6</v>
      </c>
    </row>
    <row r="28" spans="1:34" x14ac:dyDescent="0.25">
      <c r="A28" s="2" t="s">
        <v>165</v>
      </c>
      <c r="B28" s="37">
        <v>284.5</v>
      </c>
      <c r="C28" s="3"/>
      <c r="D28" s="3">
        <v>27.6</v>
      </c>
      <c r="E28" s="37">
        <v>48.8</v>
      </c>
      <c r="F28" s="3"/>
      <c r="G28" s="3"/>
      <c r="H28" s="3"/>
      <c r="I28" s="37">
        <v>15250</v>
      </c>
      <c r="J28" s="3">
        <v>1.32E-2</v>
      </c>
      <c r="K28" s="3">
        <v>582</v>
      </c>
      <c r="L28" s="3"/>
      <c r="M28" s="3"/>
      <c r="N28" s="3"/>
      <c r="O28" s="3">
        <v>5.69</v>
      </c>
      <c r="P28" s="3">
        <v>82.7</v>
      </c>
      <c r="Q28" s="3">
        <v>4.3200000000000002E-2</v>
      </c>
      <c r="R28" s="3">
        <v>16079.999999999998</v>
      </c>
      <c r="S28" s="3"/>
      <c r="T28" s="3">
        <v>2710</v>
      </c>
      <c r="U28" s="3">
        <v>54.1</v>
      </c>
      <c r="V28" s="3">
        <v>9.5000000000000001E-2</v>
      </c>
      <c r="W28" s="3">
        <v>24.4</v>
      </c>
      <c r="X28" s="3">
        <v>0.93600000000000005</v>
      </c>
      <c r="Y28" s="3">
        <v>1593</v>
      </c>
      <c r="Z28" s="3">
        <v>0.47</v>
      </c>
      <c r="AA28" s="3">
        <v>10.199999999999999</v>
      </c>
      <c r="AB28" s="3"/>
      <c r="AC28" s="3"/>
      <c r="AD28" s="3"/>
      <c r="AE28" s="3">
        <v>25.1</v>
      </c>
      <c r="AF28" s="3"/>
      <c r="AG28" s="3">
        <v>0.254</v>
      </c>
      <c r="AH28" s="3">
        <v>12.45</v>
      </c>
    </row>
    <row r="29" spans="1:34" x14ac:dyDescent="0.25">
      <c r="A29" s="2" t="s">
        <v>166</v>
      </c>
      <c r="B29" s="3">
        <v>670</v>
      </c>
      <c r="C29" s="3"/>
      <c r="D29" s="3"/>
      <c r="E29" s="37">
        <v>32.5</v>
      </c>
      <c r="F29" s="3"/>
      <c r="G29" s="3"/>
      <c r="H29" s="3"/>
      <c r="I29" s="37">
        <v>10800</v>
      </c>
      <c r="J29" s="3"/>
      <c r="K29" s="3"/>
      <c r="L29" s="3"/>
      <c r="M29" s="3">
        <v>1.69</v>
      </c>
      <c r="N29" s="3"/>
      <c r="O29" s="3">
        <v>7.77</v>
      </c>
      <c r="P29" s="3"/>
      <c r="Q29" s="3"/>
      <c r="R29" s="3">
        <v>19100</v>
      </c>
      <c r="S29" s="3"/>
      <c r="T29" s="3">
        <v>2920</v>
      </c>
      <c r="U29" s="3">
        <v>191</v>
      </c>
      <c r="V29" s="3"/>
      <c r="W29" s="3">
        <v>350</v>
      </c>
      <c r="X29" s="3">
        <v>1.57</v>
      </c>
      <c r="Y29" s="3"/>
      <c r="Z29" s="3">
        <v>2.16</v>
      </c>
      <c r="AA29" s="3">
        <v>10.7</v>
      </c>
      <c r="AB29" s="3">
        <v>2410</v>
      </c>
      <c r="AC29" s="3"/>
      <c r="AD29" s="3"/>
      <c r="AE29" s="3">
        <v>37.6</v>
      </c>
      <c r="AF29" s="3"/>
      <c r="AG29" s="3"/>
      <c r="AH29" s="3">
        <v>33.5</v>
      </c>
    </row>
    <row r="30" spans="1:34" x14ac:dyDescent="0.25">
      <c r="A30" s="2" t="s">
        <v>168</v>
      </c>
      <c r="B30" s="37">
        <v>229</v>
      </c>
      <c r="C30" s="3"/>
      <c r="D30" s="3"/>
      <c r="E30" s="37">
        <v>43.2</v>
      </c>
      <c r="F30" s="3"/>
      <c r="G30" s="3"/>
      <c r="H30" s="3"/>
      <c r="I30" s="37">
        <v>5820</v>
      </c>
      <c r="J30" s="3"/>
      <c r="K30" s="3">
        <v>573</v>
      </c>
      <c r="L30" s="3"/>
      <c r="M30" s="3">
        <v>1.91</v>
      </c>
      <c r="N30" s="3">
        <v>3.61</v>
      </c>
      <c r="O30" s="3">
        <v>20.399999999999999</v>
      </c>
      <c r="P30" s="3"/>
      <c r="Q30" s="3"/>
      <c r="R30" s="3">
        <v>17000</v>
      </c>
      <c r="S30" s="3"/>
      <c r="T30" s="3">
        <v>2240</v>
      </c>
      <c r="U30" s="3">
        <v>1.57</v>
      </c>
      <c r="V30" s="3"/>
      <c r="W30" s="3">
        <v>24.7</v>
      </c>
      <c r="X30" s="3">
        <v>6.12</v>
      </c>
      <c r="Y30" s="3"/>
      <c r="Z30" s="3">
        <v>1.78</v>
      </c>
      <c r="AA30" s="3">
        <v>81.5</v>
      </c>
      <c r="AB30" s="3">
        <v>2470</v>
      </c>
      <c r="AC30" s="3"/>
      <c r="AD30" s="3"/>
      <c r="AE30" s="3">
        <v>20.8</v>
      </c>
      <c r="AF30" s="3"/>
      <c r="AG30" s="3">
        <v>1.97</v>
      </c>
      <c r="AH30" s="3">
        <v>34.700000000000003</v>
      </c>
    </row>
    <row r="31" spans="1:34" x14ac:dyDescent="0.25">
      <c r="A31" s="28" t="s">
        <v>30</v>
      </c>
      <c r="B31" s="3"/>
      <c r="C31" s="3">
        <v>0.14330000000000001</v>
      </c>
      <c r="D31" s="3"/>
      <c r="E31" s="3"/>
      <c r="F31" s="3"/>
      <c r="G31" s="3"/>
      <c r="H31" s="37">
        <v>6.1219999999999999</v>
      </c>
      <c r="I31" s="37">
        <v>6181</v>
      </c>
      <c r="J31" s="3"/>
      <c r="K31" s="3">
        <v>1868</v>
      </c>
      <c r="L31" s="3">
        <v>3.1050000000000001E-2</v>
      </c>
      <c r="M31" s="3">
        <v>0.29020000000000001</v>
      </c>
      <c r="N31" s="3">
        <v>1.7680000000000001E-2</v>
      </c>
      <c r="O31" s="3">
        <v>3.9740000000000002</v>
      </c>
      <c r="P31" s="3">
        <v>105</v>
      </c>
      <c r="Q31" s="3"/>
      <c r="R31" s="3">
        <v>41360</v>
      </c>
      <c r="S31" s="3"/>
      <c r="T31" s="3">
        <v>2556</v>
      </c>
      <c r="U31" s="3">
        <v>10.8</v>
      </c>
      <c r="V31" s="3"/>
      <c r="W31" s="3">
        <v>830.2</v>
      </c>
      <c r="X31" s="3"/>
      <c r="Y31" s="3"/>
      <c r="Z31" s="3">
        <v>0.35389999999999999</v>
      </c>
      <c r="AA31" s="3">
        <v>11.244</v>
      </c>
      <c r="AB31" s="3">
        <v>4089.8</v>
      </c>
      <c r="AC31" s="3">
        <v>1.1310000000000001E-2</v>
      </c>
      <c r="AD31" s="3"/>
      <c r="AE31" s="3">
        <v>13.54</v>
      </c>
      <c r="AF31" s="3">
        <v>2.1539999999999999</v>
      </c>
      <c r="AG31" s="3">
        <v>0.26700000000000002</v>
      </c>
      <c r="AH31" s="3">
        <v>49.18</v>
      </c>
    </row>
    <row r="32" spans="1:34" x14ac:dyDescent="0.25">
      <c r="A32" s="28" t="s">
        <v>33</v>
      </c>
      <c r="B32" s="3"/>
      <c r="C32" s="3">
        <v>0.113</v>
      </c>
      <c r="D32" s="3"/>
      <c r="E32" s="3"/>
      <c r="F32" s="3"/>
      <c r="G32" s="3"/>
      <c r="H32" s="37">
        <v>3.2879999999999998</v>
      </c>
      <c r="I32" s="37">
        <v>17870</v>
      </c>
      <c r="J32" s="3"/>
      <c r="K32" s="3">
        <v>1505</v>
      </c>
      <c r="L32" s="3">
        <v>0.10590000000000001</v>
      </c>
      <c r="M32" s="3">
        <v>0.79079999999999995</v>
      </c>
      <c r="N32" s="3">
        <v>4.3090000000000003E-2</v>
      </c>
      <c r="O32" s="3">
        <v>5.2119999999999997</v>
      </c>
      <c r="P32" s="3">
        <v>233.2</v>
      </c>
      <c r="Q32" s="3"/>
      <c r="R32" s="3">
        <v>6948</v>
      </c>
      <c r="S32" s="3">
        <v>0.4783</v>
      </c>
      <c r="T32" s="3">
        <v>930.4</v>
      </c>
      <c r="U32" s="3">
        <v>12.43</v>
      </c>
      <c r="V32" s="3"/>
      <c r="W32" s="3">
        <v>144.9</v>
      </c>
      <c r="X32" s="3"/>
      <c r="Y32" s="3"/>
      <c r="Z32" s="3">
        <v>1.1930000000000001</v>
      </c>
      <c r="AA32" s="3">
        <v>2.7839999999999998</v>
      </c>
      <c r="AB32" s="3">
        <v>1065</v>
      </c>
      <c r="AC32" s="3">
        <v>0.1196</v>
      </c>
      <c r="AD32" s="3"/>
      <c r="AE32" s="3">
        <v>56.54</v>
      </c>
      <c r="AF32" s="3">
        <v>5.22</v>
      </c>
      <c r="AG32" s="3">
        <v>0.54189999999999994</v>
      </c>
      <c r="AH32" s="3">
        <v>15.53</v>
      </c>
    </row>
    <row r="33" spans="1:34" x14ac:dyDescent="0.25">
      <c r="A33" s="28" t="s">
        <v>36</v>
      </c>
      <c r="B33" s="3"/>
      <c r="C33" s="3">
        <v>4.8320000000000002E-2</v>
      </c>
      <c r="D33" s="3"/>
      <c r="E33" s="3"/>
      <c r="F33" s="3"/>
      <c r="G33" s="3"/>
      <c r="H33" s="37">
        <v>20.84</v>
      </c>
      <c r="I33" s="37">
        <v>16300</v>
      </c>
      <c r="J33" s="3"/>
      <c r="K33" s="3">
        <v>19730</v>
      </c>
      <c r="L33" s="3">
        <v>1.5599999999999999E-2</v>
      </c>
      <c r="M33" s="3">
        <v>0.43639999999999995</v>
      </c>
      <c r="N33" s="3">
        <v>1.537E-2</v>
      </c>
      <c r="O33" s="3">
        <v>4.2290000000000001</v>
      </c>
      <c r="P33" s="3">
        <v>174.7</v>
      </c>
      <c r="Q33" s="3"/>
      <c r="R33" s="3">
        <v>52700</v>
      </c>
      <c r="S33" s="3">
        <v>0.63170000000000004</v>
      </c>
      <c r="T33" s="3">
        <v>3598</v>
      </c>
      <c r="U33" s="3">
        <v>90.09</v>
      </c>
      <c r="V33" s="3"/>
      <c r="W33" s="3">
        <v>3498</v>
      </c>
      <c r="X33" s="3"/>
      <c r="Y33" s="3"/>
      <c r="Z33" s="3">
        <v>0.88949999999999996</v>
      </c>
      <c r="AA33" s="3">
        <v>4.9969999999999999</v>
      </c>
      <c r="AB33" s="3">
        <v>2324</v>
      </c>
      <c r="AC33" s="3">
        <v>2.895E-2</v>
      </c>
      <c r="AD33" s="3"/>
      <c r="AE33" s="3">
        <v>18.46</v>
      </c>
      <c r="AF33" s="3">
        <v>17.16</v>
      </c>
      <c r="AG33" s="3">
        <v>0.42599999999999999</v>
      </c>
      <c r="AH33" s="3">
        <v>54.13</v>
      </c>
    </row>
    <row r="34" spans="1:34" x14ac:dyDescent="0.25">
      <c r="A34" s="28" t="s">
        <v>47</v>
      </c>
      <c r="B34" s="3"/>
      <c r="C34" s="37">
        <v>0.17499999999999999</v>
      </c>
      <c r="D34" s="3"/>
      <c r="E34" s="3"/>
      <c r="F34" s="3"/>
      <c r="G34" s="3"/>
      <c r="H34" s="3"/>
      <c r="I34" s="37">
        <v>2680</v>
      </c>
      <c r="J34" s="3">
        <v>1.7299999999999999E-2</v>
      </c>
      <c r="K34" s="3"/>
      <c r="L34" s="3">
        <v>3.33</v>
      </c>
      <c r="M34" s="3">
        <v>4.57</v>
      </c>
      <c r="N34" s="3"/>
      <c r="O34" s="3">
        <v>23.2</v>
      </c>
      <c r="P34" s="3">
        <v>497</v>
      </c>
      <c r="Q34" s="3"/>
      <c r="R34" s="3">
        <v>8383</v>
      </c>
      <c r="S34" s="3"/>
      <c r="T34" s="3">
        <v>2376</v>
      </c>
      <c r="U34" s="3">
        <v>67.5</v>
      </c>
      <c r="V34" s="3"/>
      <c r="W34" s="3">
        <v>680</v>
      </c>
      <c r="X34" s="3">
        <v>0.57099999999999995</v>
      </c>
      <c r="Y34" s="3"/>
      <c r="Z34" s="3">
        <v>0.57399999999999995</v>
      </c>
      <c r="AA34" s="3"/>
      <c r="AB34" s="3"/>
      <c r="AC34" s="3"/>
      <c r="AD34" s="3"/>
      <c r="AE34" s="3"/>
      <c r="AF34" s="3"/>
      <c r="AG34" s="3"/>
      <c r="AH34" s="3">
        <v>128</v>
      </c>
    </row>
    <row r="35" spans="1:34" x14ac:dyDescent="0.25">
      <c r="A35" s="28" t="s">
        <v>63</v>
      </c>
      <c r="B35" s="3"/>
      <c r="C35" s="3"/>
      <c r="D35" s="3"/>
      <c r="E35" s="3"/>
      <c r="F35" s="3"/>
      <c r="G35" s="3"/>
      <c r="H35" s="37">
        <v>39.1</v>
      </c>
      <c r="I35" s="3"/>
      <c r="J35" s="3">
        <v>1.6E-2</v>
      </c>
      <c r="K35" s="3">
        <v>69200</v>
      </c>
      <c r="L35" s="3">
        <v>4.5999999999999999E-2</v>
      </c>
      <c r="M35" s="3">
        <v>0.59</v>
      </c>
      <c r="N35" s="3">
        <v>8.5999999999999993E-2</v>
      </c>
      <c r="O35" s="3"/>
      <c r="P35" s="3"/>
      <c r="Q35" s="3"/>
      <c r="R35" s="3"/>
      <c r="S35" s="3"/>
      <c r="T35" s="3">
        <v>3190</v>
      </c>
      <c r="U35" s="3">
        <v>9.3000000000000007</v>
      </c>
      <c r="V35" s="3"/>
      <c r="W35" s="3">
        <v>15800</v>
      </c>
      <c r="X35" s="3">
        <v>0.54</v>
      </c>
      <c r="Y35" s="3">
        <v>16200</v>
      </c>
      <c r="Z35" s="3">
        <v>0.104</v>
      </c>
      <c r="AA35" s="3">
        <v>39.200000000000003</v>
      </c>
      <c r="AB35" s="3"/>
      <c r="AC35" s="3"/>
      <c r="AD35" s="3">
        <v>6.4000000000000001E-2</v>
      </c>
      <c r="AE35" s="3"/>
      <c r="AF35" s="3"/>
      <c r="AG35" s="3"/>
      <c r="AH35" s="3">
        <v>34.299999999999997</v>
      </c>
    </row>
    <row r="36" spans="1:34" x14ac:dyDescent="0.25">
      <c r="A36" s="28" t="s">
        <v>42</v>
      </c>
      <c r="B36" s="3"/>
      <c r="C36" s="37">
        <v>5.7000000000000002E-2</v>
      </c>
      <c r="D36" s="37">
        <v>5.9</v>
      </c>
      <c r="E36" s="3"/>
      <c r="F36" s="3"/>
      <c r="G36" s="3"/>
      <c r="H36" s="3"/>
      <c r="I36" s="3"/>
      <c r="J36" s="3">
        <v>0.12</v>
      </c>
      <c r="K36" s="3"/>
      <c r="L36" s="3"/>
      <c r="M36" s="3">
        <v>2.14</v>
      </c>
      <c r="N36" s="3"/>
      <c r="O36" s="3">
        <v>9.65</v>
      </c>
      <c r="P36" s="3"/>
      <c r="Q36" s="3"/>
      <c r="R36" s="3"/>
      <c r="S36" s="3"/>
      <c r="T36" s="3"/>
      <c r="U36" s="3">
        <v>81.599999999999994</v>
      </c>
      <c r="V36" s="3">
        <v>0.84</v>
      </c>
      <c r="W36" s="3"/>
      <c r="X36" s="3">
        <v>3</v>
      </c>
      <c r="Y36" s="3"/>
      <c r="Z36" s="3">
        <v>2.38</v>
      </c>
      <c r="AA36" s="3"/>
      <c r="AB36" s="3"/>
      <c r="AC36" s="3">
        <v>4.7E-2</v>
      </c>
      <c r="AD36" s="3">
        <v>2.8000000000000001E-2</v>
      </c>
      <c r="AE36" s="3"/>
      <c r="AF36" s="3"/>
      <c r="AG36" s="3"/>
      <c r="AH36" s="3">
        <v>31.5</v>
      </c>
    </row>
    <row r="37" spans="1:34" x14ac:dyDescent="0.25">
      <c r="A37" s="28" t="s">
        <v>50</v>
      </c>
      <c r="B37" s="3">
        <v>1184</v>
      </c>
      <c r="C37" s="3">
        <v>44.3</v>
      </c>
      <c r="D37" s="3"/>
      <c r="E37" s="3">
        <v>20.2</v>
      </c>
      <c r="F37" s="3"/>
      <c r="G37" s="3"/>
      <c r="H37" s="3">
        <v>567</v>
      </c>
      <c r="I37" s="37">
        <v>12730</v>
      </c>
      <c r="J37" s="3">
        <v>0.53700000000000003</v>
      </c>
      <c r="K37" s="3"/>
      <c r="L37" s="3">
        <v>0.876</v>
      </c>
      <c r="M37" s="3">
        <v>10.4</v>
      </c>
      <c r="N37" s="3">
        <v>0.23</v>
      </c>
      <c r="O37" s="3">
        <v>5.05</v>
      </c>
      <c r="P37" s="3">
        <v>1256</v>
      </c>
      <c r="Q37" s="3"/>
      <c r="R37" s="3">
        <v>31100</v>
      </c>
      <c r="S37" s="3">
        <v>2.29</v>
      </c>
      <c r="T37" s="3">
        <v>9070</v>
      </c>
      <c r="U37" s="3">
        <v>56.1</v>
      </c>
      <c r="V37" s="3">
        <v>2.65</v>
      </c>
      <c r="W37" s="3">
        <v>32000</v>
      </c>
      <c r="X37" s="3">
        <v>3.79</v>
      </c>
      <c r="Y37" s="3"/>
      <c r="Z37" s="3">
        <v>2.19</v>
      </c>
      <c r="AA37" s="3">
        <v>16.399999999999999</v>
      </c>
      <c r="AB37" s="3"/>
      <c r="AC37" s="3">
        <v>0.10299999999999999</v>
      </c>
      <c r="AD37" s="3">
        <v>7.9000000000000001E-2</v>
      </c>
      <c r="AE37" s="3">
        <v>750</v>
      </c>
      <c r="AF37" s="3"/>
      <c r="AG37" s="3">
        <v>3.67</v>
      </c>
      <c r="AH37" s="3">
        <v>47.3</v>
      </c>
    </row>
    <row r="38" spans="1:34" x14ac:dyDescent="0.25">
      <c r="A38" s="28" t="s">
        <v>59</v>
      </c>
      <c r="B38" s="3"/>
      <c r="C38" s="3"/>
      <c r="D38" s="3"/>
      <c r="E38" s="3"/>
      <c r="F38" s="3"/>
      <c r="G38" s="3"/>
      <c r="H38" s="3"/>
      <c r="I38" s="3">
        <v>262</v>
      </c>
      <c r="J38" s="3">
        <v>0.877</v>
      </c>
      <c r="K38" s="3"/>
      <c r="L38" s="3">
        <v>0.13600000000000001</v>
      </c>
      <c r="M38" s="3"/>
      <c r="N38" s="3"/>
      <c r="O38" s="3">
        <v>72.7</v>
      </c>
      <c r="P38" s="3">
        <v>349</v>
      </c>
      <c r="Q38" s="3"/>
      <c r="R38" s="3">
        <v>5966</v>
      </c>
      <c r="S38" s="3"/>
      <c r="T38" s="3">
        <v>647</v>
      </c>
      <c r="U38" s="3">
        <v>11.1</v>
      </c>
      <c r="V38" s="3"/>
      <c r="W38" s="3">
        <v>758</v>
      </c>
      <c r="X38" s="3">
        <v>0.10199999999999999</v>
      </c>
      <c r="Y38" s="3"/>
      <c r="Z38" s="3">
        <v>0.439</v>
      </c>
      <c r="AA38" s="3"/>
      <c r="AB38" s="3"/>
      <c r="AC38" s="3"/>
      <c r="AD38" s="3"/>
      <c r="AE38" s="3"/>
      <c r="AF38" s="3"/>
      <c r="AG38" s="3"/>
      <c r="AH38" s="3">
        <v>55.8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6196B-D3B8-4B78-993C-FFEC7CD72832}">
  <dimension ref="A1:AH38"/>
  <sheetViews>
    <sheetView tabSelected="1" workbookViewId="0"/>
  </sheetViews>
  <sheetFormatPr baseColWidth="10" defaultRowHeight="15" x14ac:dyDescent="0.25"/>
  <sheetData>
    <row r="1" spans="1:34" x14ac:dyDescent="0.25">
      <c r="A1" s="3" t="s">
        <v>172</v>
      </c>
      <c r="B1" s="36" t="s">
        <v>71</v>
      </c>
      <c r="C1" s="36" t="s">
        <v>72</v>
      </c>
      <c r="D1" s="36" t="s">
        <v>73</v>
      </c>
      <c r="E1" s="36" t="s">
        <v>74</v>
      </c>
      <c r="F1" s="36" t="s">
        <v>75</v>
      </c>
      <c r="G1" s="36" t="s">
        <v>76</v>
      </c>
      <c r="H1" s="36" t="s">
        <v>170</v>
      </c>
      <c r="I1" s="36" t="s">
        <v>77</v>
      </c>
      <c r="J1" s="36" t="s">
        <v>78</v>
      </c>
      <c r="K1" s="36" t="s">
        <v>79</v>
      </c>
      <c r="L1" s="36" t="s">
        <v>80</v>
      </c>
      <c r="M1" s="36" t="s">
        <v>81</v>
      </c>
      <c r="N1" s="36" t="s">
        <v>82</v>
      </c>
      <c r="O1" s="36" t="s">
        <v>83</v>
      </c>
      <c r="P1" s="36" t="s">
        <v>84</v>
      </c>
      <c r="Q1" s="36" t="s">
        <v>85</v>
      </c>
      <c r="R1" s="36" t="s">
        <v>86</v>
      </c>
      <c r="S1" s="36" t="s">
        <v>87</v>
      </c>
      <c r="T1" s="36" t="s">
        <v>88</v>
      </c>
      <c r="U1" s="36" t="s">
        <v>89</v>
      </c>
      <c r="V1" s="36" t="s">
        <v>90</v>
      </c>
      <c r="W1" s="36" t="s">
        <v>91</v>
      </c>
      <c r="X1" s="36" t="s">
        <v>92</v>
      </c>
      <c r="Y1" s="36" t="s">
        <v>93</v>
      </c>
      <c r="Z1" s="36" t="s">
        <v>94</v>
      </c>
      <c r="AA1" s="36" t="s">
        <v>95</v>
      </c>
      <c r="AB1" s="36" t="s">
        <v>96</v>
      </c>
      <c r="AC1" s="36" t="s">
        <v>97</v>
      </c>
      <c r="AD1" s="36" t="s">
        <v>98</v>
      </c>
      <c r="AE1" s="36" t="s">
        <v>99</v>
      </c>
      <c r="AF1" s="36" t="s">
        <v>100</v>
      </c>
      <c r="AG1" s="36" t="s">
        <v>101</v>
      </c>
      <c r="AH1" s="36" t="s">
        <v>102</v>
      </c>
    </row>
    <row r="2" spans="1:34" x14ac:dyDescent="0.25">
      <c r="A2" s="29" t="s">
        <v>107</v>
      </c>
      <c r="B2" s="3"/>
      <c r="C2" s="3">
        <v>3.8799999999999994E-2</v>
      </c>
      <c r="D2" s="3">
        <v>1.357</v>
      </c>
      <c r="E2" s="3">
        <v>1.2490000000000001</v>
      </c>
      <c r="F2" s="3">
        <v>7.0300000000000007E-3</v>
      </c>
      <c r="G2" s="3">
        <v>1.1259999999999998E-3</v>
      </c>
      <c r="H2" s="3"/>
      <c r="I2" s="3">
        <v>332</v>
      </c>
      <c r="J2" s="3">
        <v>9.9100000000000004E-3</v>
      </c>
      <c r="K2" s="3">
        <v>371</v>
      </c>
      <c r="L2" s="3">
        <v>2.3699999999999999E-2</v>
      </c>
      <c r="M2" s="3">
        <v>0.313</v>
      </c>
      <c r="N2" s="3">
        <v>3.1100000000000003E-2</v>
      </c>
      <c r="O2" s="3">
        <v>0.56699999999999995</v>
      </c>
      <c r="P2" s="3">
        <v>43.5</v>
      </c>
      <c r="Q2" s="3">
        <v>1.08E-3</v>
      </c>
      <c r="R2" s="3">
        <v>1600</v>
      </c>
      <c r="S2" s="3">
        <v>8.5900000000000004E-2</v>
      </c>
      <c r="T2" s="3">
        <v>129</v>
      </c>
      <c r="U2" s="3">
        <v>5.77</v>
      </c>
      <c r="V2" s="3">
        <v>0.158</v>
      </c>
      <c r="W2" s="3">
        <v>214</v>
      </c>
      <c r="X2" s="3">
        <v>0.16800000000000001</v>
      </c>
      <c r="Y2" s="3">
        <v>191</v>
      </c>
      <c r="Z2" s="3">
        <v>0.11799999999999999</v>
      </c>
      <c r="AA2" s="3">
        <v>5.45</v>
      </c>
      <c r="AB2" s="3">
        <v>247</v>
      </c>
      <c r="AC2" s="3">
        <v>1.221E-2</v>
      </c>
      <c r="AD2" s="3">
        <v>1.0490000000000001E-2</v>
      </c>
      <c r="AE2" s="3">
        <v>1.29</v>
      </c>
      <c r="AF2" s="3">
        <v>11.09</v>
      </c>
      <c r="AG2" s="3">
        <v>0.2</v>
      </c>
      <c r="AH2" s="3">
        <v>2.3199999999999998</v>
      </c>
    </row>
    <row r="3" spans="1:34" x14ac:dyDescent="0.25">
      <c r="A3" s="29" t="s">
        <v>110</v>
      </c>
      <c r="B3" s="3"/>
      <c r="C3" s="3">
        <v>0.26800000000000002</v>
      </c>
      <c r="D3" s="3">
        <v>3.36</v>
      </c>
      <c r="E3" s="3">
        <v>4.9880000000000004</v>
      </c>
      <c r="F3" s="3"/>
      <c r="G3" s="3"/>
      <c r="H3" s="3"/>
      <c r="I3" s="3">
        <v>950</v>
      </c>
      <c r="J3" s="3">
        <v>1.0999999999999999E-2</v>
      </c>
      <c r="K3" s="3">
        <v>311</v>
      </c>
      <c r="L3" s="3">
        <v>0.27989999999999998</v>
      </c>
      <c r="M3" s="3">
        <v>1.512</v>
      </c>
      <c r="N3" s="3">
        <v>6.4399999999999999E-2</v>
      </c>
      <c r="O3" s="3">
        <v>0.65100000000000002</v>
      </c>
      <c r="P3" s="3">
        <v>112.8</v>
      </c>
      <c r="Q3" s="3">
        <v>1.2099999999999999E-3</v>
      </c>
      <c r="R3" s="3">
        <v>1080</v>
      </c>
      <c r="S3" s="3"/>
      <c r="T3" s="3">
        <v>113</v>
      </c>
      <c r="U3" s="3">
        <v>3.55</v>
      </c>
      <c r="V3" s="3">
        <v>0.26900000000000002</v>
      </c>
      <c r="W3" s="3">
        <v>124</v>
      </c>
      <c r="X3" s="3">
        <v>0.48199999999999998</v>
      </c>
      <c r="Y3" s="3">
        <v>118</v>
      </c>
      <c r="Z3" s="3">
        <v>0.246</v>
      </c>
      <c r="AA3" s="3">
        <v>1.75</v>
      </c>
      <c r="AB3" s="3">
        <v>164</v>
      </c>
      <c r="AC3" s="3">
        <v>6.3100000000000003E-2</v>
      </c>
      <c r="AD3" s="3">
        <v>7.9200000000000007E-2</v>
      </c>
      <c r="AE3" s="3">
        <v>5.01</v>
      </c>
      <c r="AF3" s="3">
        <v>107.91</v>
      </c>
      <c r="AG3" s="3">
        <v>0.96799999999999997</v>
      </c>
      <c r="AH3" s="3">
        <v>1.69</v>
      </c>
    </row>
    <row r="4" spans="1:34" x14ac:dyDescent="0.25">
      <c r="A4" s="29" t="s">
        <v>113</v>
      </c>
      <c r="B4" s="3"/>
      <c r="C4" s="3">
        <v>3.2960000000000003E-2</v>
      </c>
      <c r="D4" s="3">
        <v>1.71</v>
      </c>
      <c r="E4" s="3">
        <v>0.53300000000000003</v>
      </c>
      <c r="F4" s="3"/>
      <c r="G4" s="3"/>
      <c r="H4" s="3"/>
      <c r="I4" s="3">
        <v>474</v>
      </c>
      <c r="J4" s="3">
        <v>0.39500000000000002</v>
      </c>
      <c r="K4" s="3">
        <v>290</v>
      </c>
      <c r="L4" s="3">
        <v>1.417E-2</v>
      </c>
      <c r="M4" s="3">
        <v>0.1479</v>
      </c>
      <c r="N4" s="3"/>
      <c r="O4" s="3">
        <v>0.55800000000000005</v>
      </c>
      <c r="P4" s="3">
        <v>10.25</v>
      </c>
      <c r="Q4" s="3">
        <v>1.7600000000000001E-3</v>
      </c>
      <c r="R4" s="3">
        <v>2240</v>
      </c>
      <c r="S4" s="3"/>
      <c r="T4" s="3">
        <v>159</v>
      </c>
      <c r="U4" s="3">
        <v>5.33</v>
      </c>
      <c r="V4" s="3">
        <v>8.0099999999999991E-2</v>
      </c>
      <c r="W4" s="3">
        <v>44.8</v>
      </c>
      <c r="X4" s="3">
        <v>0.14050000000000001</v>
      </c>
      <c r="Y4" s="3">
        <v>205</v>
      </c>
      <c r="Z4" s="3">
        <v>0.14730000000000001</v>
      </c>
      <c r="AA4" s="3">
        <v>0.97</v>
      </c>
      <c r="AB4" s="3">
        <v>404</v>
      </c>
      <c r="AC4" s="3">
        <v>1.316E-2</v>
      </c>
      <c r="AD4" s="3">
        <v>7.6699999999999997E-3</v>
      </c>
      <c r="AE4" s="3">
        <v>1.21</v>
      </c>
      <c r="AF4" s="3"/>
      <c r="AG4" s="3">
        <v>2.5499999999999998E-2</v>
      </c>
      <c r="AH4" s="3">
        <v>15.8</v>
      </c>
    </row>
    <row r="5" spans="1:34" x14ac:dyDescent="0.25">
      <c r="A5" s="29" t="s">
        <v>116</v>
      </c>
      <c r="B5" s="3"/>
      <c r="C5" s="3">
        <v>1.2500000000000001E-2</v>
      </c>
      <c r="D5" s="3">
        <v>2.0699999999999998</v>
      </c>
      <c r="E5" s="3">
        <v>0.24299999999999999</v>
      </c>
      <c r="F5" s="3"/>
      <c r="G5" s="3"/>
      <c r="H5" s="3"/>
      <c r="I5" s="3">
        <v>446</v>
      </c>
      <c r="J5" s="3">
        <v>7.3499999999999998E-3</v>
      </c>
      <c r="K5" s="3">
        <v>389</v>
      </c>
      <c r="L5" s="3">
        <v>8.3400000000000002E-3</v>
      </c>
      <c r="M5" s="3">
        <v>0.161</v>
      </c>
      <c r="N5" s="3">
        <v>1.2500000000000001E-2</v>
      </c>
      <c r="O5" s="3">
        <v>0.93799999999999994</v>
      </c>
      <c r="P5" s="3">
        <v>8.57</v>
      </c>
      <c r="Q5" s="3">
        <v>2.7200000000000002E-3</v>
      </c>
      <c r="R5" s="3">
        <v>760</v>
      </c>
      <c r="S5" s="3"/>
      <c r="T5" s="3">
        <v>204</v>
      </c>
      <c r="U5" s="3">
        <v>38.9</v>
      </c>
      <c r="V5" s="3">
        <v>2.879E-2</v>
      </c>
      <c r="W5" s="3">
        <v>16.95</v>
      </c>
      <c r="X5" s="3">
        <v>0.215</v>
      </c>
      <c r="Y5" s="3">
        <v>97</v>
      </c>
      <c r="Z5" s="3">
        <v>5.5100000000000003E-2</v>
      </c>
      <c r="AA5" s="3">
        <v>1.127</v>
      </c>
      <c r="AB5" s="3">
        <v>147</v>
      </c>
      <c r="AC5" s="3"/>
      <c r="AD5" s="3">
        <v>7.0900000000000005E-2</v>
      </c>
      <c r="AE5" s="3">
        <v>1.57</v>
      </c>
      <c r="AF5" s="3"/>
      <c r="AG5" s="3">
        <v>5.4590000000000007E-2</v>
      </c>
      <c r="AH5" s="3">
        <v>2.3199999999999998</v>
      </c>
    </row>
    <row r="6" spans="1:34" x14ac:dyDescent="0.25">
      <c r="A6" s="30" t="s">
        <v>119</v>
      </c>
      <c r="B6" s="3"/>
      <c r="C6" s="3">
        <v>3.6899999999999995E-2</v>
      </c>
      <c r="D6" s="3">
        <v>1.105</v>
      </c>
      <c r="E6" s="3">
        <v>1.77</v>
      </c>
      <c r="F6" s="3">
        <v>2.6800000000000001E-3</v>
      </c>
      <c r="G6" s="3">
        <v>1.206E-3</v>
      </c>
      <c r="H6" s="3"/>
      <c r="I6" s="3">
        <v>336</v>
      </c>
      <c r="J6" s="3">
        <v>1.2119999999999999E-2</v>
      </c>
      <c r="K6" s="3">
        <v>401</v>
      </c>
      <c r="L6" s="3">
        <v>1.8100000000000002E-2</v>
      </c>
      <c r="M6" s="3">
        <v>0.33300000000000002</v>
      </c>
      <c r="N6" s="3">
        <v>1.11E-2</v>
      </c>
      <c r="O6" s="3">
        <v>0.60899999999999999</v>
      </c>
      <c r="P6" s="3">
        <v>43.7</v>
      </c>
      <c r="Q6" s="3">
        <v>7.9000000000000001E-4</v>
      </c>
      <c r="R6" s="3">
        <v>1460</v>
      </c>
      <c r="S6" s="3">
        <v>0.123</v>
      </c>
      <c r="T6" s="3">
        <v>128</v>
      </c>
      <c r="U6" s="3">
        <v>5.79</v>
      </c>
      <c r="V6" s="3">
        <v>0.151</v>
      </c>
      <c r="W6" s="3">
        <v>259</v>
      </c>
      <c r="X6" s="3">
        <v>0.16600000000000001</v>
      </c>
      <c r="Y6" s="3">
        <v>199</v>
      </c>
      <c r="Z6" s="3">
        <v>0.11899999999999999</v>
      </c>
      <c r="AA6" s="3">
        <v>3.36</v>
      </c>
      <c r="AB6" s="3">
        <v>230</v>
      </c>
      <c r="AC6" s="3">
        <v>1.312E-2</v>
      </c>
      <c r="AD6" s="3">
        <v>9.4500000000000001E-3</v>
      </c>
      <c r="AE6" s="3">
        <v>1.67</v>
      </c>
      <c r="AF6" s="3">
        <v>7.56</v>
      </c>
      <c r="AG6" s="3">
        <v>0.193</v>
      </c>
      <c r="AH6" s="3">
        <v>2.62</v>
      </c>
    </row>
    <row r="7" spans="1:34" x14ac:dyDescent="0.25">
      <c r="A7" s="30" t="s">
        <v>120</v>
      </c>
      <c r="B7" s="3"/>
      <c r="C7" s="3">
        <v>7.62E-3</v>
      </c>
      <c r="D7" s="3">
        <v>1.57</v>
      </c>
      <c r="E7" s="3">
        <v>1.55</v>
      </c>
      <c r="F7" s="3"/>
      <c r="G7" s="3"/>
      <c r="H7" s="3"/>
      <c r="I7" s="3">
        <v>1030</v>
      </c>
      <c r="J7" s="3">
        <v>7.5300000000000002E-3</v>
      </c>
      <c r="K7" s="3">
        <v>67.599999999999994</v>
      </c>
      <c r="L7" s="3">
        <v>1.3900000000000001E-2</v>
      </c>
      <c r="M7" s="3">
        <v>0.114</v>
      </c>
      <c r="N7" s="3">
        <v>3.1800000000000001E-3</v>
      </c>
      <c r="O7" s="3">
        <v>0.78500000000000003</v>
      </c>
      <c r="P7" s="3">
        <v>11.21</v>
      </c>
      <c r="Q7" s="3">
        <v>2.15E-3</v>
      </c>
      <c r="R7" s="3">
        <v>590</v>
      </c>
      <c r="S7" s="3">
        <v>1.494E-2</v>
      </c>
      <c r="T7" s="3">
        <v>143</v>
      </c>
      <c r="U7" s="3">
        <v>7.9</v>
      </c>
      <c r="V7" s="3">
        <v>4.9700000000000001E-2</v>
      </c>
      <c r="W7" s="3">
        <v>13.33</v>
      </c>
      <c r="X7" s="3">
        <v>0.1724</v>
      </c>
      <c r="Y7" s="3">
        <v>135</v>
      </c>
      <c r="Z7" s="3">
        <v>0.1017</v>
      </c>
      <c r="AA7" s="3">
        <v>0.98</v>
      </c>
      <c r="AB7" s="3">
        <v>75.399999999999991</v>
      </c>
      <c r="AC7" s="3">
        <v>1.111E-2</v>
      </c>
      <c r="AD7" s="3">
        <v>1.1990000000000001E-2</v>
      </c>
      <c r="AE7" s="3">
        <v>3.12</v>
      </c>
      <c r="AF7" s="3"/>
      <c r="AG7" s="3">
        <v>2.24E-2</v>
      </c>
      <c r="AH7" s="3">
        <v>3.03</v>
      </c>
    </row>
    <row r="8" spans="1:34" x14ac:dyDescent="0.25">
      <c r="A8" s="30" t="s">
        <v>123</v>
      </c>
      <c r="B8" s="3"/>
      <c r="C8" s="3">
        <v>5.2100000000000002E-3</v>
      </c>
      <c r="D8" s="3">
        <v>2.46</v>
      </c>
      <c r="E8" s="3">
        <v>7.1400000000000005E-2</v>
      </c>
      <c r="F8" s="3"/>
      <c r="G8" s="3"/>
      <c r="H8" s="3"/>
      <c r="I8" s="3">
        <v>1180</v>
      </c>
      <c r="J8" s="3">
        <v>3.82E-3</v>
      </c>
      <c r="K8" s="3">
        <v>93.100000000000009</v>
      </c>
      <c r="L8" s="3">
        <v>1.0960000000000001E-2</v>
      </c>
      <c r="M8" s="3">
        <v>7.5999999999999998E-2</v>
      </c>
      <c r="N8" s="3">
        <v>2.1680000000000002E-3</v>
      </c>
      <c r="O8" s="3">
        <v>0.64800000000000002</v>
      </c>
      <c r="P8" s="3">
        <v>10.44</v>
      </c>
      <c r="Q8" s="3">
        <v>1.33E-3</v>
      </c>
      <c r="R8" s="3">
        <v>3940</v>
      </c>
      <c r="S8" s="3">
        <v>7.5400000000000009E-2</v>
      </c>
      <c r="T8" s="3">
        <v>223</v>
      </c>
      <c r="U8" s="3">
        <v>11.8</v>
      </c>
      <c r="V8" s="3">
        <v>0.121</v>
      </c>
      <c r="W8" s="3">
        <v>13.37</v>
      </c>
      <c r="X8" s="3">
        <v>9.7500000000000003E-2</v>
      </c>
      <c r="Y8" s="3">
        <v>191</v>
      </c>
      <c r="Z8" s="3">
        <v>3.2399999999999998E-2</v>
      </c>
      <c r="AA8" s="3">
        <v>0.371</v>
      </c>
      <c r="AB8" s="3">
        <v>346</v>
      </c>
      <c r="AC8" s="3">
        <v>4.9400000000000008E-3</v>
      </c>
      <c r="AD8" s="3">
        <v>2.3699999999999999E-2</v>
      </c>
      <c r="AE8" s="3">
        <v>1.3420000000000001</v>
      </c>
      <c r="AF8" s="3"/>
      <c r="AG8" s="3">
        <v>3.2299999999999995E-2</v>
      </c>
      <c r="AH8" s="3">
        <v>5.12</v>
      </c>
    </row>
    <row r="9" spans="1:34" x14ac:dyDescent="0.25">
      <c r="A9" s="31" t="s">
        <v>125</v>
      </c>
      <c r="B9" s="3"/>
      <c r="C9" s="3">
        <v>5.7499999999999999E-3</v>
      </c>
      <c r="D9" s="3">
        <v>0.82499999999999996</v>
      </c>
      <c r="E9" s="3">
        <v>0.18490000000000001</v>
      </c>
      <c r="F9" s="3"/>
      <c r="G9" s="3">
        <v>4.2499999999999998E-4</v>
      </c>
      <c r="H9" s="3"/>
      <c r="I9" s="3">
        <v>84.78</v>
      </c>
      <c r="J9" s="3">
        <v>2.7200000000000002E-3</v>
      </c>
      <c r="K9" s="3">
        <v>29</v>
      </c>
      <c r="L9" s="3">
        <v>8.149E-3</v>
      </c>
      <c r="M9" s="3">
        <v>0.1195</v>
      </c>
      <c r="N9" s="3"/>
      <c r="O9" s="3">
        <v>0.32600000000000001</v>
      </c>
      <c r="P9" s="3">
        <v>8.3000000000000007</v>
      </c>
      <c r="Q9" s="3"/>
      <c r="R9" s="3">
        <v>400</v>
      </c>
      <c r="S9" s="3">
        <v>8.0000000000000004E-4</v>
      </c>
      <c r="T9" s="3">
        <v>94</v>
      </c>
      <c r="U9" s="3">
        <v>0.72799999999999998</v>
      </c>
      <c r="V9" s="3">
        <v>3.1699999999999999E-2</v>
      </c>
      <c r="W9" s="3">
        <v>13.81</v>
      </c>
      <c r="X9" s="3">
        <v>5.7099999999999998E-2</v>
      </c>
      <c r="Y9" s="3">
        <v>220</v>
      </c>
      <c r="Z9" s="3">
        <v>8.2790000000000002E-2</v>
      </c>
      <c r="AA9" s="3">
        <v>0.20300000000000001</v>
      </c>
      <c r="AB9" s="3">
        <v>112.60000000000001</v>
      </c>
      <c r="AC9" s="3">
        <v>2.49E-3</v>
      </c>
      <c r="AD9" s="3"/>
      <c r="AE9" s="3">
        <v>0.61050000000000004</v>
      </c>
      <c r="AF9" s="3"/>
      <c r="AG9" s="3">
        <v>6.7080000000000001E-2</v>
      </c>
      <c r="AH9" s="3">
        <v>2.38</v>
      </c>
    </row>
    <row r="10" spans="1:34" x14ac:dyDescent="0.25">
      <c r="A10" s="31" t="s">
        <v>127</v>
      </c>
      <c r="B10" s="3"/>
      <c r="C10" s="3">
        <v>4.4200000000000003E-2</v>
      </c>
      <c r="D10" s="3">
        <v>2.74</v>
      </c>
      <c r="E10" s="3">
        <v>2.5099999999999998</v>
      </c>
      <c r="F10" s="3"/>
      <c r="G10" s="3">
        <v>1.01E-3</v>
      </c>
      <c r="H10" s="3"/>
      <c r="I10" s="3">
        <v>1540</v>
      </c>
      <c r="J10" s="3">
        <v>8.2400000000000008E-3</v>
      </c>
      <c r="K10" s="3">
        <v>403</v>
      </c>
      <c r="L10" s="3">
        <v>8.1299999999999997E-2</v>
      </c>
      <c r="M10" s="3">
        <v>0.40799999999999997</v>
      </c>
      <c r="N10" s="3">
        <v>5.8499999999999993E-3</v>
      </c>
      <c r="O10" s="3">
        <v>0.56999999999999995</v>
      </c>
      <c r="P10" s="3">
        <v>27.6</v>
      </c>
      <c r="Q10" s="3">
        <v>1.5900000000000001E-3</v>
      </c>
      <c r="R10" s="3">
        <v>1650</v>
      </c>
      <c r="S10" s="3">
        <v>0.13600000000000001</v>
      </c>
      <c r="T10" s="3">
        <v>125</v>
      </c>
      <c r="U10" s="3">
        <v>3.46</v>
      </c>
      <c r="V10" s="3">
        <v>5.2600000000000001E-2</v>
      </c>
      <c r="W10" s="3">
        <v>28.9</v>
      </c>
      <c r="X10" s="3">
        <v>0.193</v>
      </c>
      <c r="Y10" s="3">
        <v>137</v>
      </c>
      <c r="Z10" s="3">
        <v>0.1047</v>
      </c>
      <c r="AA10" s="3">
        <v>0.21099999999999999</v>
      </c>
      <c r="AB10" s="3">
        <v>217</v>
      </c>
      <c r="AC10" s="3">
        <v>9.92E-3</v>
      </c>
      <c r="AD10" s="3">
        <v>2.3699999999999999E-2</v>
      </c>
      <c r="AE10" s="3">
        <v>6.38</v>
      </c>
      <c r="AF10" s="3">
        <v>23.33</v>
      </c>
      <c r="AG10" s="3">
        <v>0.28349999999999997</v>
      </c>
      <c r="AH10" s="3">
        <v>1.49</v>
      </c>
    </row>
    <row r="11" spans="1:34" x14ac:dyDescent="0.25">
      <c r="A11" s="31" t="s">
        <v>129</v>
      </c>
      <c r="B11" s="3"/>
      <c r="C11" s="3">
        <v>1.8859999999999998E-2</v>
      </c>
      <c r="D11" s="3">
        <v>2.37</v>
      </c>
      <c r="E11" s="3">
        <v>7.59</v>
      </c>
      <c r="F11" s="3"/>
      <c r="G11" s="3">
        <v>6.8999999999999997E-4</v>
      </c>
      <c r="H11" s="3"/>
      <c r="I11" s="3">
        <v>442</v>
      </c>
      <c r="J11" s="3">
        <v>4.2830000000000003E-3</v>
      </c>
      <c r="K11" s="3">
        <v>540</v>
      </c>
      <c r="L11" s="3">
        <v>1.281E-2</v>
      </c>
      <c r="M11" s="3">
        <v>0.35</v>
      </c>
      <c r="N11" s="3">
        <v>1.77E-2</v>
      </c>
      <c r="O11" s="3">
        <v>0.87</v>
      </c>
      <c r="P11" s="3">
        <v>10.199999999999999</v>
      </c>
      <c r="Q11" s="3">
        <v>1.6999999999999999E-3</v>
      </c>
      <c r="R11" s="3">
        <v>2550</v>
      </c>
      <c r="S11" s="3">
        <v>3.29E-3</v>
      </c>
      <c r="T11" s="3">
        <v>184</v>
      </c>
      <c r="U11" s="3">
        <v>107</v>
      </c>
      <c r="V11" s="3">
        <v>4.58E-2</v>
      </c>
      <c r="W11" s="3">
        <v>17.07</v>
      </c>
      <c r="X11" s="3">
        <v>0.18919999999999998</v>
      </c>
      <c r="Y11" s="3">
        <v>120</v>
      </c>
      <c r="Z11" s="3">
        <v>2.384E-2</v>
      </c>
      <c r="AA11" s="3">
        <v>0.84899999999999998</v>
      </c>
      <c r="AB11" s="3">
        <v>202</v>
      </c>
      <c r="AC11" s="3">
        <v>3.7109999999999999E-3</v>
      </c>
      <c r="AD11" s="3">
        <v>1.0539999999999999E-2</v>
      </c>
      <c r="AE11" s="3">
        <v>2.29</v>
      </c>
      <c r="AF11" s="3">
        <v>0</v>
      </c>
      <c r="AG11" s="3">
        <v>4.6640000000000001E-2</v>
      </c>
      <c r="AH11" s="3">
        <v>1.9</v>
      </c>
    </row>
    <row r="12" spans="1:34" x14ac:dyDescent="0.25">
      <c r="A12" s="31" t="s">
        <v>132</v>
      </c>
      <c r="B12" s="3"/>
      <c r="C12" s="3">
        <v>4.87E-2</v>
      </c>
      <c r="D12" s="3">
        <v>2.8</v>
      </c>
      <c r="E12" s="3">
        <v>4.43</v>
      </c>
      <c r="F12" s="3">
        <v>4.81E-3</v>
      </c>
      <c r="G12" s="3">
        <v>8.3000000000000001E-4</v>
      </c>
      <c r="H12" s="3"/>
      <c r="I12" s="3">
        <v>1080</v>
      </c>
      <c r="J12" s="3">
        <v>1.9100000000000002E-2</v>
      </c>
      <c r="K12" s="3">
        <v>153</v>
      </c>
      <c r="L12" s="3">
        <v>4.5200000000000004E-2</v>
      </c>
      <c r="M12" s="3">
        <v>0.82499999999999996</v>
      </c>
      <c r="N12" s="3">
        <v>9.2499999999999995E-3</v>
      </c>
      <c r="O12" s="3">
        <v>1.1220000000000001</v>
      </c>
      <c r="P12" s="3">
        <v>56.8</v>
      </c>
      <c r="Q12" s="3">
        <v>7.8700000000000003E-3</v>
      </c>
      <c r="R12" s="3">
        <v>411</v>
      </c>
      <c r="S12" s="3">
        <v>4.2900000000000001E-2</v>
      </c>
      <c r="T12" s="3">
        <v>87</v>
      </c>
      <c r="U12" s="3">
        <v>47.4</v>
      </c>
      <c r="V12" s="3">
        <v>2.9000000000000001E-2</v>
      </c>
      <c r="W12" s="3">
        <v>44.2</v>
      </c>
      <c r="X12" s="3">
        <v>0.20100000000000001</v>
      </c>
      <c r="Y12" s="3">
        <v>69.400000000000006</v>
      </c>
      <c r="Z12" s="3">
        <v>0.54500000000000004</v>
      </c>
      <c r="AA12" s="3">
        <v>0.77</v>
      </c>
      <c r="AB12" s="3">
        <v>100</v>
      </c>
      <c r="AC12" s="3">
        <v>0.19319999999999998</v>
      </c>
      <c r="AD12" s="3">
        <v>2.9079999999999998E-2</v>
      </c>
      <c r="AE12" s="3">
        <v>4.3600000000000003</v>
      </c>
      <c r="AF12" s="3">
        <v>27.43</v>
      </c>
      <c r="AG12" s="3">
        <v>0.193</v>
      </c>
      <c r="AH12" s="3">
        <v>8.25</v>
      </c>
    </row>
    <row r="13" spans="1:34" x14ac:dyDescent="0.25">
      <c r="A13" s="32" t="s">
        <v>134</v>
      </c>
      <c r="B13" s="3"/>
      <c r="C13" s="3">
        <v>5.6799999999999996E-2</v>
      </c>
      <c r="D13" s="3">
        <v>3.68</v>
      </c>
      <c r="E13" s="3">
        <v>3.69</v>
      </c>
      <c r="F13" s="3">
        <v>8.4999999999999995E-4</v>
      </c>
      <c r="G13" s="3">
        <v>2.4500000000000004E-3</v>
      </c>
      <c r="H13" s="3"/>
      <c r="I13" s="3">
        <v>2040</v>
      </c>
      <c r="J13" s="3">
        <v>0.25800000000000001</v>
      </c>
      <c r="K13" s="3">
        <v>344</v>
      </c>
      <c r="L13" s="3">
        <v>4.7899999999999998E-2</v>
      </c>
      <c r="M13" s="3">
        <v>1.1240000000000001</v>
      </c>
      <c r="N13" s="3">
        <v>1.2869999999999999E-2</v>
      </c>
      <c r="O13" s="3">
        <v>1.21</v>
      </c>
      <c r="P13" s="3">
        <v>37.1</v>
      </c>
      <c r="Q13" s="3">
        <v>1.7090000000000001E-2</v>
      </c>
      <c r="R13" s="3">
        <v>4100</v>
      </c>
      <c r="S13" s="3">
        <v>1.0169999999999999</v>
      </c>
      <c r="T13" s="3">
        <v>319</v>
      </c>
      <c r="U13" s="3">
        <v>18.5</v>
      </c>
      <c r="V13" s="3">
        <v>0.151</v>
      </c>
      <c r="W13" s="3">
        <v>59.9</v>
      </c>
      <c r="X13" s="3">
        <v>0.19500000000000001</v>
      </c>
      <c r="Y13" s="3">
        <v>257</v>
      </c>
      <c r="Z13" s="3">
        <v>0.72299999999999998</v>
      </c>
      <c r="AA13" s="3">
        <v>3.87</v>
      </c>
      <c r="AB13" s="3">
        <v>470</v>
      </c>
      <c r="AC13" s="3">
        <v>4.41E-2</v>
      </c>
      <c r="AD13" s="3">
        <v>3.0609999999999998E-2</v>
      </c>
      <c r="AE13" s="3">
        <v>13.15</v>
      </c>
      <c r="AF13" s="3">
        <v>2.9550000000000001</v>
      </c>
      <c r="AG13" s="3">
        <v>9.6700000000000008E-2</v>
      </c>
      <c r="AH13" s="3">
        <v>14.6</v>
      </c>
    </row>
    <row r="14" spans="1:34" x14ac:dyDescent="0.25">
      <c r="A14" s="32" t="s">
        <v>136</v>
      </c>
      <c r="B14" s="3"/>
      <c r="C14" s="3">
        <v>4.3099999999999999E-2</v>
      </c>
      <c r="D14" s="3">
        <v>3.48</v>
      </c>
      <c r="E14" s="3">
        <v>2.4300000000000002</v>
      </c>
      <c r="F14" s="3">
        <v>1.6100000000000001E-3</v>
      </c>
      <c r="G14" s="3">
        <v>6.3600000000000002E-3</v>
      </c>
      <c r="H14" s="3"/>
      <c r="I14" s="3">
        <v>2500</v>
      </c>
      <c r="J14" s="3">
        <v>0.379</v>
      </c>
      <c r="K14" s="3">
        <v>284</v>
      </c>
      <c r="L14" s="3">
        <v>0.372</v>
      </c>
      <c r="M14" s="3">
        <v>0.27250000000000002</v>
      </c>
      <c r="N14" s="3">
        <v>4.1399999999999999E-2</v>
      </c>
      <c r="O14" s="3">
        <v>1.0149999999999999</v>
      </c>
      <c r="P14" s="3">
        <v>20.7</v>
      </c>
      <c r="Q14" s="3">
        <v>7.0000000000000001E-3</v>
      </c>
      <c r="R14" s="3">
        <v>635</v>
      </c>
      <c r="S14" s="3">
        <v>5.1299999999999998E-2</v>
      </c>
      <c r="T14" s="3">
        <v>306</v>
      </c>
      <c r="U14" s="3">
        <v>13</v>
      </c>
      <c r="V14" s="3">
        <v>5.0999999999999997E-2</v>
      </c>
      <c r="W14" s="3">
        <v>103</v>
      </c>
      <c r="X14" s="3">
        <v>0.42299999999999999</v>
      </c>
      <c r="Y14" s="3">
        <v>95</v>
      </c>
      <c r="Z14" s="3">
        <v>0.22</v>
      </c>
      <c r="AA14" s="3">
        <v>0.86599999999999999</v>
      </c>
      <c r="AB14" s="3">
        <v>367</v>
      </c>
      <c r="AC14" s="3">
        <v>3.1699999999999999E-2</v>
      </c>
      <c r="AD14" s="3">
        <v>2.087E-2</v>
      </c>
      <c r="AE14" s="3">
        <v>16.45</v>
      </c>
      <c r="AF14" s="3">
        <v>1.59</v>
      </c>
      <c r="AG14" s="3">
        <v>0.15909999999999999</v>
      </c>
      <c r="AH14" s="3">
        <v>24.9</v>
      </c>
    </row>
    <row r="15" spans="1:34" x14ac:dyDescent="0.25">
      <c r="A15" s="32" t="s">
        <v>138</v>
      </c>
      <c r="B15" s="3"/>
      <c r="C15" s="3">
        <v>5.3800000000000001E-2</v>
      </c>
      <c r="D15" s="3">
        <v>1.2390000000000001</v>
      </c>
      <c r="E15" s="3">
        <v>3.44</v>
      </c>
      <c r="F15" s="3">
        <v>9.3000000000000005E-4</v>
      </c>
      <c r="G15" s="3"/>
      <c r="H15" s="3"/>
      <c r="I15" s="3">
        <v>382</v>
      </c>
      <c r="J15" s="3">
        <v>1.264E-2</v>
      </c>
      <c r="K15" s="3">
        <v>477</v>
      </c>
      <c r="L15" s="3">
        <v>2.0399999999999998E-2</v>
      </c>
      <c r="M15" s="3">
        <v>0.59699999999999998</v>
      </c>
      <c r="N15" s="3">
        <v>1.7500000000000002E-2</v>
      </c>
      <c r="O15" s="3">
        <v>0.873</v>
      </c>
      <c r="P15" s="3">
        <v>46.7</v>
      </c>
      <c r="Q15" s="3">
        <v>3.5699999999999998E-3</v>
      </c>
      <c r="R15" s="3">
        <v>1800</v>
      </c>
      <c r="S15" s="3">
        <v>0.11550000000000001</v>
      </c>
      <c r="T15" s="3">
        <v>145</v>
      </c>
      <c r="U15" s="3">
        <v>6.06</v>
      </c>
      <c r="V15" s="3">
        <v>0.17</v>
      </c>
      <c r="W15" s="3">
        <v>312</v>
      </c>
      <c r="X15" s="3">
        <v>0.223</v>
      </c>
      <c r="Y15" s="3">
        <v>231</v>
      </c>
      <c r="Z15" s="3">
        <v>0.222</v>
      </c>
      <c r="AA15" s="3">
        <v>4.3099999999999996</v>
      </c>
      <c r="AB15" s="3">
        <v>260</v>
      </c>
      <c r="AC15" s="3">
        <v>1.575E-2</v>
      </c>
      <c r="AD15" s="3">
        <v>1.8350000000000002E-2</v>
      </c>
      <c r="AE15" s="3">
        <v>3.67</v>
      </c>
      <c r="AF15" s="3">
        <v>6.1230000000000002</v>
      </c>
      <c r="AG15" s="3">
        <v>0.28999999999999998</v>
      </c>
      <c r="AH15" s="3">
        <v>2.58</v>
      </c>
    </row>
    <row r="16" spans="1:34" x14ac:dyDescent="0.25">
      <c r="A16" s="32" t="s">
        <v>141</v>
      </c>
      <c r="B16" s="3"/>
      <c r="C16" s="3">
        <v>7.0000000000000001E-3</v>
      </c>
      <c r="D16" s="3">
        <v>0.67600000000000005</v>
      </c>
      <c r="E16" s="3">
        <v>0.15640000000000001</v>
      </c>
      <c r="F16" s="3">
        <v>2.7E-4</v>
      </c>
      <c r="G16" s="3"/>
      <c r="H16" s="3"/>
      <c r="I16" s="3">
        <v>39.480000000000004</v>
      </c>
      <c r="J16" s="3">
        <v>3.8419999999999999E-3</v>
      </c>
      <c r="K16" s="3">
        <v>116.9</v>
      </c>
      <c r="L16" s="3">
        <v>1.374E-2</v>
      </c>
      <c r="M16" s="3">
        <v>0.14334</v>
      </c>
      <c r="N16" s="3"/>
      <c r="O16" s="3">
        <v>0.55200000000000005</v>
      </c>
      <c r="P16" s="3">
        <v>4.21</v>
      </c>
      <c r="Q16" s="3"/>
      <c r="R16" s="3">
        <v>276</v>
      </c>
      <c r="S16" s="3">
        <v>2.2000000000000001E-3</v>
      </c>
      <c r="T16" s="3">
        <v>101</v>
      </c>
      <c r="U16" s="3">
        <v>0.76300000000000001</v>
      </c>
      <c r="V16" s="3">
        <v>3.7399999999999996E-2</v>
      </c>
      <c r="W16" s="3">
        <v>9.4280000000000008</v>
      </c>
      <c r="X16" s="3">
        <v>7.9400000000000012E-2</v>
      </c>
      <c r="Y16" s="3">
        <v>230</v>
      </c>
      <c r="Z16" s="3">
        <v>0.11728</v>
      </c>
      <c r="AA16" s="3">
        <v>7.8099999999999989E-2</v>
      </c>
      <c r="AB16" s="3">
        <v>101</v>
      </c>
      <c r="AC16" s="3">
        <v>1.129E-2</v>
      </c>
      <c r="AD16" s="3">
        <v>1.418E-2</v>
      </c>
      <c r="AE16" s="3">
        <v>0.37840000000000001</v>
      </c>
      <c r="AF16" s="3"/>
      <c r="AG16" s="3"/>
      <c r="AH16" s="3">
        <v>2.12</v>
      </c>
    </row>
    <row r="17" spans="1:34" x14ac:dyDescent="0.25">
      <c r="A17" s="16" t="s">
        <v>144</v>
      </c>
      <c r="B17" s="3"/>
      <c r="C17" s="3">
        <v>2.2699999999999998E-2</v>
      </c>
      <c r="D17" s="3">
        <v>1.59</v>
      </c>
      <c r="E17" s="3">
        <v>0.71299999999999997</v>
      </c>
      <c r="F17" s="3">
        <v>4.95E-4</v>
      </c>
      <c r="G17" s="3">
        <v>5.5300000000000002E-3</v>
      </c>
      <c r="H17" s="3"/>
      <c r="I17" s="3">
        <v>670</v>
      </c>
      <c r="J17" s="3">
        <v>5.8000000000000003E-2</v>
      </c>
      <c r="K17" s="3">
        <v>137</v>
      </c>
      <c r="L17" s="3">
        <v>0.22034999999999999</v>
      </c>
      <c r="M17" s="3">
        <v>0.12759999999999999</v>
      </c>
      <c r="N17" s="3">
        <v>7.9000000000000008E-3</v>
      </c>
      <c r="O17" s="3">
        <v>0.67800000000000005</v>
      </c>
      <c r="P17" s="3">
        <v>19.5</v>
      </c>
      <c r="Q17" s="3">
        <v>1.5770000000000001E-3</v>
      </c>
      <c r="R17" s="3">
        <v>1290</v>
      </c>
      <c r="S17" s="3">
        <v>0.41299999999999998</v>
      </c>
      <c r="T17" s="3">
        <v>87</v>
      </c>
      <c r="U17" s="3">
        <v>1.74</v>
      </c>
      <c r="V17" s="3">
        <v>5.0999999999999997E-2</v>
      </c>
      <c r="W17" s="3">
        <v>35.200000000000003</v>
      </c>
      <c r="X17" s="3">
        <v>9.4E-2</v>
      </c>
      <c r="Y17" s="3">
        <v>128</v>
      </c>
      <c r="Z17" s="3">
        <v>0.11320000000000001</v>
      </c>
      <c r="AA17" s="3">
        <v>0.29099999999999998</v>
      </c>
      <c r="AB17" s="3">
        <v>86</v>
      </c>
      <c r="AC17" s="3">
        <v>2.32E-3</v>
      </c>
      <c r="AD17" s="3"/>
      <c r="AE17" s="3">
        <v>1.03</v>
      </c>
      <c r="AF17" s="3"/>
      <c r="AG17" s="3">
        <v>0.1103</v>
      </c>
      <c r="AH17" s="3">
        <v>8.3000000000000007</v>
      </c>
    </row>
    <row r="18" spans="1:34" x14ac:dyDescent="0.25">
      <c r="A18" s="16" t="s">
        <v>146</v>
      </c>
      <c r="B18" s="3"/>
      <c r="C18" s="3">
        <v>1.1130000000000001E-2</v>
      </c>
      <c r="D18" s="3">
        <v>7.24</v>
      </c>
      <c r="E18" s="3">
        <v>1.3</v>
      </c>
      <c r="F18" s="3">
        <v>5.0000000000000001E-3</v>
      </c>
      <c r="G18" s="3">
        <v>9.7999999999999997E-4</v>
      </c>
      <c r="H18" s="3"/>
      <c r="I18" s="3">
        <v>387</v>
      </c>
      <c r="J18" s="3">
        <v>6.9429999999999995E-3</v>
      </c>
      <c r="K18" s="3">
        <v>255</v>
      </c>
      <c r="L18" s="3">
        <v>1.8499999999999999E-2</v>
      </c>
      <c r="M18" s="3">
        <v>0.12279999999999999</v>
      </c>
      <c r="N18" s="3">
        <v>8.6999999999999994E-3</v>
      </c>
      <c r="O18" s="3">
        <v>0.67500000000000004</v>
      </c>
      <c r="P18" s="3">
        <v>8.24</v>
      </c>
      <c r="Q18" s="3">
        <v>3.3900000000000002E-3</v>
      </c>
      <c r="R18" s="3">
        <v>360</v>
      </c>
      <c r="S18" s="3">
        <v>0.20130000000000001</v>
      </c>
      <c r="T18" s="3">
        <v>157</v>
      </c>
      <c r="U18" s="3">
        <v>79.599999999999994</v>
      </c>
      <c r="V18" s="3">
        <v>1.231E-2</v>
      </c>
      <c r="W18" s="3">
        <v>178</v>
      </c>
      <c r="X18" s="3">
        <v>0.33700000000000002</v>
      </c>
      <c r="Y18" s="3">
        <v>51.5</v>
      </c>
      <c r="Z18" s="3">
        <v>3.2500000000000001E-2</v>
      </c>
      <c r="AA18" s="3">
        <v>0.65900000000000003</v>
      </c>
      <c r="AB18" s="3">
        <v>113</v>
      </c>
      <c r="AC18" s="3">
        <v>1.74E-3</v>
      </c>
      <c r="AD18" s="3">
        <v>7.0899999999999999E-3</v>
      </c>
      <c r="AE18" s="3">
        <v>0.74</v>
      </c>
      <c r="AF18" s="3"/>
      <c r="AG18" s="3">
        <v>1.8499999999999999E-2</v>
      </c>
      <c r="AH18" s="3">
        <v>1.36</v>
      </c>
    </row>
    <row r="19" spans="1:34" x14ac:dyDescent="0.25">
      <c r="A19" s="16" t="s">
        <v>149</v>
      </c>
      <c r="B19" s="3"/>
      <c r="C19" s="3">
        <v>4.7200000000000006E-2</v>
      </c>
      <c r="D19" s="3">
        <v>2.87</v>
      </c>
      <c r="E19" s="3">
        <v>1.7290000000000001</v>
      </c>
      <c r="F19" s="3">
        <v>1.1599999999999999E-2</v>
      </c>
      <c r="G19" s="3">
        <v>1.6999999999999999E-3</v>
      </c>
      <c r="H19" s="3"/>
      <c r="I19" s="3">
        <v>1550</v>
      </c>
      <c r="J19" s="3">
        <v>6.4099999999999999E-3</v>
      </c>
      <c r="K19" s="3">
        <v>202</v>
      </c>
      <c r="L19" s="3">
        <v>6.3600000000000004E-2</v>
      </c>
      <c r="M19" s="3">
        <v>0.2014</v>
      </c>
      <c r="N19" s="3">
        <v>8.5000000000000006E-3</v>
      </c>
      <c r="O19" s="3">
        <v>0.77400000000000002</v>
      </c>
      <c r="P19" s="3">
        <v>20.5</v>
      </c>
      <c r="Q19" s="3">
        <v>4.0300000000000006E-3</v>
      </c>
      <c r="R19" s="3">
        <v>1230</v>
      </c>
      <c r="S19" s="3">
        <v>5.7000000000000002E-2</v>
      </c>
      <c r="T19" s="3">
        <v>107</v>
      </c>
      <c r="U19" s="3">
        <v>2.81</v>
      </c>
      <c r="V19" s="3">
        <v>3.9399999999999998E-2</v>
      </c>
      <c r="W19" s="3">
        <v>27.7</v>
      </c>
      <c r="X19" s="3">
        <v>0.219</v>
      </c>
      <c r="Y19" s="3">
        <v>127</v>
      </c>
      <c r="Z19" s="3">
        <v>0.1168</v>
      </c>
      <c r="AA19" s="3">
        <v>0.122</v>
      </c>
      <c r="AB19" s="3">
        <v>207</v>
      </c>
      <c r="AC19" s="3">
        <v>9.8999999999999999E-4</v>
      </c>
      <c r="AD19" s="3">
        <v>2.81E-2</v>
      </c>
      <c r="AE19" s="3">
        <v>2.58</v>
      </c>
      <c r="AF19" s="3">
        <v>1.27</v>
      </c>
      <c r="AG19" s="3">
        <v>0.26389999999999997</v>
      </c>
      <c r="AH19" s="3">
        <v>1.5</v>
      </c>
    </row>
    <row r="20" spans="1:34" x14ac:dyDescent="0.25">
      <c r="A20" s="16" t="s">
        <v>150</v>
      </c>
      <c r="B20" s="3"/>
      <c r="C20" s="3">
        <v>3.1379999999999998E-2</v>
      </c>
      <c r="D20" s="3">
        <v>1.75</v>
      </c>
      <c r="E20" s="3">
        <v>2.7</v>
      </c>
      <c r="F20" s="3">
        <v>1.4E-3</v>
      </c>
      <c r="G20" s="3">
        <v>1.8549999999999999E-3</v>
      </c>
      <c r="H20" s="3"/>
      <c r="I20" s="3">
        <v>543</v>
      </c>
      <c r="J20" s="3">
        <v>5.9699999999999996E-3</v>
      </c>
      <c r="K20" s="3">
        <v>197</v>
      </c>
      <c r="L20" s="3">
        <v>2.1350000000000001E-2</v>
      </c>
      <c r="M20" s="3">
        <v>9.820000000000001E-2</v>
      </c>
      <c r="N20" s="3">
        <v>1.2E-2</v>
      </c>
      <c r="O20" s="3">
        <v>0.88200000000000001</v>
      </c>
      <c r="P20" s="3">
        <v>9.5500000000000007</v>
      </c>
      <c r="Q20" s="3">
        <v>4.2300000000000003E-3</v>
      </c>
      <c r="R20" s="3">
        <v>719</v>
      </c>
      <c r="S20" s="3">
        <v>1.23E-2</v>
      </c>
      <c r="T20" s="3">
        <v>253</v>
      </c>
      <c r="U20" s="3">
        <v>50.5</v>
      </c>
      <c r="V20" s="3">
        <v>1.9899999999999998E-2</v>
      </c>
      <c r="W20" s="3">
        <v>20.67</v>
      </c>
      <c r="X20" s="3">
        <v>0.13400000000000001</v>
      </c>
      <c r="Y20" s="3">
        <v>116</v>
      </c>
      <c r="Z20" s="3">
        <v>4.478E-2</v>
      </c>
      <c r="AA20" s="3">
        <v>0.56899999999999995</v>
      </c>
      <c r="AB20" s="3">
        <v>128</v>
      </c>
      <c r="AC20" s="3">
        <v>2.7499999999999998E-3</v>
      </c>
      <c r="AD20" s="3">
        <v>3.8700000000000005E-2</v>
      </c>
      <c r="AE20" s="3">
        <v>1.45</v>
      </c>
      <c r="AF20" s="3"/>
      <c r="AG20" s="3">
        <v>2.7300000000000001E-2</v>
      </c>
      <c r="AH20" s="3">
        <v>1.79</v>
      </c>
    </row>
    <row r="21" spans="1:34" x14ac:dyDescent="0.25">
      <c r="A21" s="33" t="s">
        <v>151</v>
      </c>
      <c r="B21" s="3"/>
      <c r="C21" s="3">
        <v>1.3470000000000001E-2</v>
      </c>
      <c r="D21" s="3">
        <v>2.5499999999999998</v>
      </c>
      <c r="E21" s="3">
        <v>2.17</v>
      </c>
      <c r="F21" s="3">
        <v>1.16E-3</v>
      </c>
      <c r="G21" s="3">
        <v>2.4849999999999999</v>
      </c>
      <c r="H21" s="3"/>
      <c r="I21" s="3">
        <v>423</v>
      </c>
      <c r="J21" s="3">
        <v>1.243E-2</v>
      </c>
      <c r="K21" s="3">
        <v>658</v>
      </c>
      <c r="L21" s="3">
        <v>1.2630000000000001E-2</v>
      </c>
      <c r="M21" s="3">
        <v>0.15590000000000001</v>
      </c>
      <c r="N21" s="3">
        <v>8.2300000000000012E-3</v>
      </c>
      <c r="O21" s="3">
        <v>0.81</v>
      </c>
      <c r="P21" s="3">
        <v>9.0500000000000007</v>
      </c>
      <c r="Q21" s="3">
        <v>2.2820000000000002E-3</v>
      </c>
      <c r="R21" s="3">
        <v>2720</v>
      </c>
      <c r="S21" s="3"/>
      <c r="T21" s="3">
        <v>184</v>
      </c>
      <c r="U21" s="3">
        <v>72.599999999999994</v>
      </c>
      <c r="V21" s="3">
        <v>2.9700000000000001E-2</v>
      </c>
      <c r="W21" s="3">
        <v>17.07</v>
      </c>
      <c r="X21" s="3">
        <v>7.3400000000000007E-2</v>
      </c>
      <c r="Y21" s="3">
        <v>135</v>
      </c>
      <c r="Z21" s="3">
        <v>3.4549999999999997E-2</v>
      </c>
      <c r="AA21" s="3">
        <v>1.012</v>
      </c>
      <c r="AB21" s="3">
        <v>187</v>
      </c>
      <c r="AC21" s="3">
        <v>6.8899999999999994E-3</v>
      </c>
      <c r="AD21" s="3">
        <v>2.266E-2</v>
      </c>
      <c r="AE21" s="3">
        <v>2.37</v>
      </c>
      <c r="AF21" s="3"/>
      <c r="AG21" s="3">
        <v>2.7820000000000001E-2</v>
      </c>
      <c r="AH21" s="3">
        <v>1.65</v>
      </c>
    </row>
    <row r="22" spans="1:34" x14ac:dyDescent="0.25">
      <c r="A22" s="33" t="s">
        <v>153</v>
      </c>
      <c r="B22" s="3"/>
      <c r="C22" s="3">
        <v>0.40799999999999997</v>
      </c>
      <c r="D22" s="3">
        <v>3.31</v>
      </c>
      <c r="E22" s="3">
        <v>7.69</v>
      </c>
      <c r="F22" s="3">
        <v>2.35E-2</v>
      </c>
      <c r="G22" s="3">
        <v>8.4000000000000012E-3</v>
      </c>
      <c r="H22" s="3"/>
      <c r="I22" s="3">
        <v>940</v>
      </c>
      <c r="J22" s="3">
        <v>1.5599999999999999E-2</v>
      </c>
      <c r="K22" s="3">
        <v>350</v>
      </c>
      <c r="L22" s="3">
        <v>0.3271</v>
      </c>
      <c r="M22" s="3">
        <v>1.8160000000000001</v>
      </c>
      <c r="N22" s="3">
        <v>3.9600000000000003E-2</v>
      </c>
      <c r="O22" s="3">
        <v>0.85299999999999998</v>
      </c>
      <c r="P22" s="3">
        <v>149.30000000000001</v>
      </c>
      <c r="Q22" s="3">
        <v>1.2700000000000001E-3</v>
      </c>
      <c r="R22" s="3">
        <v>1510</v>
      </c>
      <c r="S22" s="3">
        <v>0.41099999999999998</v>
      </c>
      <c r="T22" s="3">
        <v>114</v>
      </c>
      <c r="U22" s="3">
        <v>3.55</v>
      </c>
      <c r="V22" s="3">
        <v>0.27300000000000002</v>
      </c>
      <c r="W22" s="3">
        <v>107</v>
      </c>
      <c r="X22" s="3">
        <v>0.52100000000000002</v>
      </c>
      <c r="Y22" s="3">
        <v>149</v>
      </c>
      <c r="Z22" s="3">
        <v>0.186</v>
      </c>
      <c r="AA22" s="3">
        <v>1.4039999999999999</v>
      </c>
      <c r="AB22" s="3">
        <v>218</v>
      </c>
      <c r="AC22" s="3">
        <v>2.8399999999999998E-2</v>
      </c>
      <c r="AD22" s="3">
        <v>6.9500000000000006E-2</v>
      </c>
      <c r="AE22" s="3">
        <v>7.18</v>
      </c>
      <c r="AF22" s="3">
        <v>51.34</v>
      </c>
      <c r="AG22" s="3">
        <v>1.831</v>
      </c>
      <c r="AH22" s="3">
        <v>1.71</v>
      </c>
    </row>
    <row r="23" spans="1:34" x14ac:dyDescent="0.25">
      <c r="A23" s="33" t="s">
        <v>154</v>
      </c>
      <c r="B23" s="3"/>
      <c r="C23" s="3">
        <v>2.97E-3</v>
      </c>
      <c r="D23" s="3">
        <v>2.66</v>
      </c>
      <c r="E23" s="3">
        <v>0.27650000000000002</v>
      </c>
      <c r="F23" s="3"/>
      <c r="G23" s="3">
        <v>6.0999999999999997E-4</v>
      </c>
      <c r="H23" s="3"/>
      <c r="I23" s="3">
        <v>830</v>
      </c>
      <c r="J23" s="3">
        <v>3.8599999999999997E-3</v>
      </c>
      <c r="K23" s="3">
        <v>154.6</v>
      </c>
      <c r="L23" s="3">
        <v>1.225E-2</v>
      </c>
      <c r="M23" s="3">
        <v>0.16119999999999998</v>
      </c>
      <c r="N23" s="3"/>
      <c r="O23" s="3">
        <v>0.45100000000000001</v>
      </c>
      <c r="P23" s="3">
        <v>8.14</v>
      </c>
      <c r="Q23" s="3">
        <v>1.1799999999999998E-3</v>
      </c>
      <c r="R23" s="3">
        <v>4080</v>
      </c>
      <c r="S23" s="3">
        <v>0.11020000000000001</v>
      </c>
      <c r="T23" s="3">
        <v>240</v>
      </c>
      <c r="U23" s="3">
        <v>10.7</v>
      </c>
      <c r="V23" s="3">
        <v>0.13400000000000001</v>
      </c>
      <c r="W23" s="3">
        <v>11.94</v>
      </c>
      <c r="X23" s="3">
        <v>7.3499999999999996E-2</v>
      </c>
      <c r="Y23" s="3">
        <v>149</v>
      </c>
      <c r="Z23" s="3">
        <v>5.4200000000000005E-2</v>
      </c>
      <c r="AA23" s="3">
        <v>0.56799999999999995</v>
      </c>
      <c r="AB23" s="3">
        <v>361</v>
      </c>
      <c r="AC23" s="3">
        <v>6.6699999999999997E-3</v>
      </c>
      <c r="AD23" s="3">
        <v>5.0470000000000001E-2</v>
      </c>
      <c r="AE23" s="3">
        <v>0.73099999999999998</v>
      </c>
      <c r="AF23" s="3"/>
      <c r="AG23" s="3"/>
      <c r="AH23" s="3">
        <v>4.3</v>
      </c>
    </row>
    <row r="24" spans="1:34" x14ac:dyDescent="0.25">
      <c r="A24" s="33" t="s">
        <v>156</v>
      </c>
      <c r="B24" s="3"/>
      <c r="C24" s="3">
        <v>1.4279999999999999E-2</v>
      </c>
      <c r="D24" s="3">
        <v>4.13</v>
      </c>
      <c r="E24" s="3">
        <v>0.625</v>
      </c>
      <c r="F24" s="3">
        <v>1.0950000000000001E-3</v>
      </c>
      <c r="G24" s="3">
        <v>6.69E-4</v>
      </c>
      <c r="H24" s="3"/>
      <c r="I24" s="3">
        <v>1030</v>
      </c>
      <c r="J24" s="3">
        <v>2.23E-2</v>
      </c>
      <c r="K24" s="3">
        <v>163</v>
      </c>
      <c r="L24" s="3">
        <v>1.29E-2</v>
      </c>
      <c r="M24" s="3">
        <v>0.40899999999999997</v>
      </c>
      <c r="N24" s="3">
        <v>1.328E-2</v>
      </c>
      <c r="O24" s="3">
        <v>0.439</v>
      </c>
      <c r="P24" s="3">
        <v>7.03</v>
      </c>
      <c r="Q24" s="3">
        <v>9.2700000000000009E-4</v>
      </c>
      <c r="R24" s="3">
        <v>3490</v>
      </c>
      <c r="S24" s="3">
        <v>0.13109999999999999</v>
      </c>
      <c r="T24" s="3">
        <v>336</v>
      </c>
      <c r="U24" s="3">
        <v>3.7</v>
      </c>
      <c r="V24" s="3">
        <v>1.998</v>
      </c>
      <c r="W24" s="3">
        <v>78</v>
      </c>
      <c r="X24" s="3">
        <v>0.1115</v>
      </c>
      <c r="Y24" s="3">
        <v>276</v>
      </c>
      <c r="Z24" s="3">
        <v>3.7600000000000001E-2</v>
      </c>
      <c r="AA24" s="3">
        <v>3.1019999999999999</v>
      </c>
      <c r="AB24" s="3">
        <v>682</v>
      </c>
      <c r="AC24" s="3">
        <v>1.2320000000000001E-2</v>
      </c>
      <c r="AD24" s="3">
        <v>4.0719999999999999E-2</v>
      </c>
      <c r="AE24" s="3">
        <v>4.8899999999999997</v>
      </c>
      <c r="AF24" s="3"/>
      <c r="AG24" s="3"/>
      <c r="AH24" s="3">
        <v>3.71</v>
      </c>
    </row>
    <row r="25" spans="1:34" x14ac:dyDescent="0.25">
      <c r="A25" s="34" t="s">
        <v>158</v>
      </c>
      <c r="B25" s="3">
        <v>12</v>
      </c>
      <c r="C25" s="3">
        <v>4.0000000000000001E-3</v>
      </c>
      <c r="D25" s="3">
        <v>0.7</v>
      </c>
      <c r="E25" s="3"/>
      <c r="F25" s="3"/>
      <c r="G25" s="3"/>
      <c r="H25" s="3"/>
      <c r="I25" s="3">
        <v>900</v>
      </c>
      <c r="J25" s="3">
        <v>0.04</v>
      </c>
      <c r="K25" s="3"/>
      <c r="L25" s="3">
        <v>0.02</v>
      </c>
      <c r="M25" s="3">
        <v>0.06</v>
      </c>
      <c r="N25" s="3"/>
      <c r="O25" s="3">
        <v>7</v>
      </c>
      <c r="P25" s="3"/>
      <c r="Q25" s="3">
        <v>4.0000000000000001E-3</v>
      </c>
      <c r="R25" s="3">
        <v>500</v>
      </c>
      <c r="S25" s="3"/>
      <c r="T25" s="3"/>
      <c r="U25" s="3">
        <v>8</v>
      </c>
      <c r="V25" s="3"/>
      <c r="W25" s="3">
        <v>4</v>
      </c>
      <c r="X25" s="3">
        <v>7.0000000000000007E-2</v>
      </c>
      <c r="Y25" s="3">
        <v>40</v>
      </c>
      <c r="Z25" s="3"/>
      <c r="AA25" s="3">
        <v>0.27</v>
      </c>
      <c r="AB25" s="3"/>
      <c r="AC25" s="3">
        <v>6.0000000000000001E-3</v>
      </c>
      <c r="AD25" s="3">
        <v>3.0000000000000001E-3</v>
      </c>
      <c r="AE25" s="3"/>
      <c r="AF25" s="3"/>
      <c r="AG25" s="3">
        <v>0.01</v>
      </c>
      <c r="AH25" s="3">
        <v>0.7</v>
      </c>
    </row>
    <row r="26" spans="1:34" x14ac:dyDescent="0.25">
      <c r="A26" s="35" t="s">
        <v>161</v>
      </c>
      <c r="B26" s="3"/>
      <c r="C26" s="3">
        <v>0.5</v>
      </c>
      <c r="D26" s="3"/>
      <c r="E26" s="3"/>
      <c r="F26" s="3"/>
      <c r="G26" s="3"/>
      <c r="H26" s="3"/>
      <c r="I26" s="3"/>
      <c r="J26" s="3">
        <v>0.6</v>
      </c>
      <c r="K26" s="3"/>
      <c r="L26" s="3"/>
      <c r="M26" s="3"/>
      <c r="N26" s="3"/>
      <c r="O26" s="3">
        <v>1000</v>
      </c>
      <c r="P26" s="3">
        <v>57</v>
      </c>
      <c r="Q26" s="3">
        <v>0.14000000000000001</v>
      </c>
      <c r="R26" s="3"/>
      <c r="S26" s="3"/>
      <c r="T26" s="3"/>
      <c r="U26" s="3"/>
      <c r="V26" s="3"/>
      <c r="W26" s="3"/>
      <c r="X26" s="3">
        <v>0.35</v>
      </c>
      <c r="Y26" s="3"/>
      <c r="Z26" s="3">
        <v>4.4999999999999998E-2</v>
      </c>
      <c r="AA26" s="3"/>
      <c r="AB26" s="3"/>
      <c r="AC26" s="3"/>
      <c r="AD26" s="3">
        <v>0.48</v>
      </c>
      <c r="AE26" s="3"/>
      <c r="AF26" s="3"/>
      <c r="AG26" s="3"/>
      <c r="AH26" s="3">
        <v>2400</v>
      </c>
    </row>
    <row r="27" spans="1:34" x14ac:dyDescent="0.25">
      <c r="A27" s="35" t="s">
        <v>163</v>
      </c>
      <c r="B27" s="3"/>
      <c r="C27" s="3"/>
      <c r="D27" s="3"/>
      <c r="E27" s="3">
        <v>0.5</v>
      </c>
      <c r="F27" s="3"/>
      <c r="G27" s="3"/>
      <c r="H27" s="3"/>
      <c r="I27" s="3"/>
      <c r="J27" s="3"/>
      <c r="K27" s="3"/>
      <c r="L27" s="3"/>
      <c r="M27" s="3"/>
      <c r="N27" s="3"/>
      <c r="O27" s="3">
        <v>0.18</v>
      </c>
      <c r="P27" s="3">
        <v>3.9</v>
      </c>
      <c r="Q27" s="3"/>
      <c r="R27" s="3">
        <v>690</v>
      </c>
      <c r="S27" s="3"/>
      <c r="T27" s="3">
        <v>50</v>
      </c>
      <c r="U27" s="3">
        <v>0.6</v>
      </c>
      <c r="V27" s="3"/>
      <c r="W27" s="3"/>
      <c r="X27" s="3"/>
      <c r="Y27" s="3"/>
      <c r="Z27" s="3"/>
      <c r="AA27" s="3"/>
      <c r="AB27" s="3"/>
      <c r="AC27" s="3"/>
      <c r="AD27" s="3"/>
      <c r="AE27" s="3">
        <v>1.4</v>
      </c>
      <c r="AF27" s="3"/>
      <c r="AG27" s="3"/>
      <c r="AH27" s="3">
        <v>0.7</v>
      </c>
    </row>
    <row r="28" spans="1:34" x14ac:dyDescent="0.25">
      <c r="A28" s="2" t="s">
        <v>165</v>
      </c>
      <c r="B28" s="3">
        <v>5.8</v>
      </c>
      <c r="C28" s="3"/>
      <c r="D28" s="3">
        <v>2.8</v>
      </c>
      <c r="E28" s="3">
        <v>2.2999999999999998</v>
      </c>
      <c r="F28" s="3"/>
      <c r="G28" s="3"/>
      <c r="H28" s="3"/>
      <c r="I28" s="3">
        <v>100</v>
      </c>
      <c r="J28" s="3">
        <v>1.5E-3</v>
      </c>
      <c r="K28" s="3">
        <v>15</v>
      </c>
      <c r="L28" s="3"/>
      <c r="M28" s="3"/>
      <c r="N28" s="3"/>
      <c r="O28" s="3">
        <v>0.13</v>
      </c>
      <c r="P28" s="3">
        <v>2.6</v>
      </c>
      <c r="Q28" s="3">
        <v>2.3E-3</v>
      </c>
      <c r="R28" s="3">
        <v>210</v>
      </c>
      <c r="S28" s="3"/>
      <c r="T28" s="3">
        <v>120</v>
      </c>
      <c r="U28" s="3">
        <v>1.1000000000000001</v>
      </c>
      <c r="V28" s="3">
        <v>1.0999999999999999E-2</v>
      </c>
      <c r="W28" s="3">
        <v>2.1</v>
      </c>
      <c r="X28" s="3">
        <v>9.4E-2</v>
      </c>
      <c r="Y28" s="3">
        <v>68</v>
      </c>
      <c r="Z28" s="3">
        <v>2.4E-2</v>
      </c>
      <c r="AA28" s="3">
        <v>1.6</v>
      </c>
      <c r="AB28" s="3"/>
      <c r="AC28" s="3"/>
      <c r="AD28" s="3"/>
      <c r="AE28" s="3">
        <v>1.1000000000000001</v>
      </c>
      <c r="AF28" s="3"/>
      <c r="AG28" s="3">
        <v>2.7E-2</v>
      </c>
      <c r="AH28" s="3">
        <v>0.43</v>
      </c>
    </row>
    <row r="29" spans="1:34" x14ac:dyDescent="0.25">
      <c r="A29" s="2" t="s">
        <v>166</v>
      </c>
      <c r="B29" s="3">
        <v>111</v>
      </c>
      <c r="C29" s="3"/>
      <c r="D29" s="3"/>
      <c r="E29" s="3">
        <v>2.5</v>
      </c>
      <c r="F29" s="3"/>
      <c r="G29" s="3"/>
      <c r="H29" s="3"/>
      <c r="I29" s="3">
        <v>700</v>
      </c>
      <c r="J29" s="3"/>
      <c r="K29" s="3"/>
      <c r="L29" s="3"/>
      <c r="M29" s="3">
        <v>0.13</v>
      </c>
      <c r="N29" s="3"/>
      <c r="O29" s="3">
        <v>0.53</v>
      </c>
      <c r="P29" s="3"/>
      <c r="Q29" s="3"/>
      <c r="R29" s="3">
        <v>1200</v>
      </c>
      <c r="S29" s="3"/>
      <c r="T29" s="3">
        <v>180</v>
      </c>
      <c r="U29" s="3">
        <v>12</v>
      </c>
      <c r="V29" s="3"/>
      <c r="W29" s="3">
        <v>0</v>
      </c>
      <c r="X29" s="3">
        <v>0.16</v>
      </c>
      <c r="Y29" s="3"/>
      <c r="Z29" s="3">
        <v>0.23</v>
      </c>
      <c r="AA29" s="3">
        <v>0.7</v>
      </c>
      <c r="AB29" s="3">
        <v>140</v>
      </c>
      <c r="AC29" s="3"/>
      <c r="AD29" s="3"/>
      <c r="AE29" s="3">
        <v>2.7</v>
      </c>
      <c r="AF29" s="3"/>
      <c r="AG29" s="3"/>
      <c r="AH29" s="3">
        <v>2.1</v>
      </c>
    </row>
    <row r="30" spans="1:34" x14ac:dyDescent="0.25">
      <c r="A30" s="2" t="s">
        <v>168</v>
      </c>
      <c r="B30" s="3">
        <v>0.28000000000000003</v>
      </c>
      <c r="C30" s="3"/>
      <c r="D30" s="3"/>
      <c r="E30" s="3">
        <v>3.9</v>
      </c>
      <c r="F30" s="3"/>
      <c r="G30" s="3"/>
      <c r="H30" s="3"/>
      <c r="I30" s="3">
        <v>520</v>
      </c>
      <c r="J30" s="3"/>
      <c r="K30" s="3">
        <v>48</v>
      </c>
      <c r="L30" s="3"/>
      <c r="M30" s="3">
        <v>0.22</v>
      </c>
      <c r="N30" s="3">
        <v>0.37</v>
      </c>
      <c r="O30" s="3">
        <v>1.5</v>
      </c>
      <c r="P30" s="3"/>
      <c r="Q30" s="3"/>
      <c r="R30" s="3">
        <v>1200</v>
      </c>
      <c r="S30" s="3"/>
      <c r="T30" s="3">
        <v>170</v>
      </c>
      <c r="U30" s="3">
        <v>0.11</v>
      </c>
      <c r="V30" s="3"/>
      <c r="W30" s="3">
        <v>3.2</v>
      </c>
      <c r="X30" s="3">
        <v>0.52</v>
      </c>
      <c r="Y30" s="3"/>
      <c r="Z30" s="3">
        <v>0.24</v>
      </c>
      <c r="AA30" s="3">
        <v>6.5</v>
      </c>
      <c r="AB30" s="3">
        <v>250</v>
      </c>
      <c r="AC30" s="3"/>
      <c r="AD30" s="3"/>
      <c r="AE30" s="3">
        <v>1.7</v>
      </c>
      <c r="AF30" s="3"/>
      <c r="AG30" s="3">
        <v>0.37</v>
      </c>
      <c r="AH30" s="3">
        <v>2.7</v>
      </c>
    </row>
    <row r="31" spans="1:34" x14ac:dyDescent="0.25">
      <c r="A31" s="28" t="s">
        <v>30</v>
      </c>
      <c r="B31" s="3"/>
      <c r="C31" s="3">
        <v>2.1100000000000001E-2</v>
      </c>
      <c r="D31" s="3"/>
      <c r="E31" s="3"/>
      <c r="F31" s="3"/>
      <c r="G31" s="3"/>
      <c r="H31" s="3">
        <v>0.51700000000000002</v>
      </c>
      <c r="I31" s="3">
        <v>549</v>
      </c>
      <c r="J31" s="3"/>
      <c r="K31" s="3">
        <v>180</v>
      </c>
      <c r="L31" s="3">
        <v>1.702E-2</v>
      </c>
      <c r="M31" s="3">
        <v>0.1268</v>
      </c>
      <c r="N31" s="3">
        <v>7.4199999999999995E-3</v>
      </c>
      <c r="O31" s="3">
        <v>0.52200000000000002</v>
      </c>
      <c r="P31" s="3">
        <v>14.4</v>
      </c>
      <c r="Q31" s="3"/>
      <c r="R31" s="3">
        <v>3230</v>
      </c>
      <c r="S31" s="3"/>
      <c r="T31" s="3">
        <v>206</v>
      </c>
      <c r="U31" s="3">
        <v>1.03</v>
      </c>
      <c r="V31" s="3"/>
      <c r="W31" s="3">
        <v>93.3</v>
      </c>
      <c r="X31" s="3"/>
      <c r="Y31" s="3"/>
      <c r="Z31" s="3">
        <v>7.1800000000000003E-2</v>
      </c>
      <c r="AA31" s="3">
        <v>1.181</v>
      </c>
      <c r="AB31" s="3">
        <v>454</v>
      </c>
      <c r="AC31" s="3">
        <v>5.8399999999999997E-3</v>
      </c>
      <c r="AD31" s="3"/>
      <c r="AE31" s="3">
        <v>1.57</v>
      </c>
      <c r="AF31" s="3">
        <v>1.3540000000000001</v>
      </c>
      <c r="AG31" s="3">
        <v>4.2999999999999997E-2</v>
      </c>
      <c r="AH31" s="3">
        <v>4.8</v>
      </c>
    </row>
    <row r="32" spans="1:34" x14ac:dyDescent="0.25">
      <c r="A32" s="28" t="s">
        <v>33</v>
      </c>
      <c r="B32" s="3"/>
      <c r="C32" s="3">
        <v>1.7999999999999999E-2</v>
      </c>
      <c r="D32" s="3"/>
      <c r="E32" s="3"/>
      <c r="F32" s="3"/>
      <c r="G32" s="3"/>
      <c r="H32" s="3">
        <v>0.24199999999999999</v>
      </c>
      <c r="I32" s="3">
        <v>1160</v>
      </c>
      <c r="J32" s="3"/>
      <c r="K32" s="3">
        <v>130</v>
      </c>
      <c r="L32" s="3">
        <v>2.18E-2</v>
      </c>
      <c r="M32" s="3">
        <v>0.32339999999999997</v>
      </c>
      <c r="N32" s="3">
        <v>7.28E-3</v>
      </c>
      <c r="O32" s="3">
        <v>0.53500000000000003</v>
      </c>
      <c r="P32" s="3">
        <v>21.9</v>
      </c>
      <c r="Q32" s="3"/>
      <c r="R32" s="3">
        <v>427</v>
      </c>
      <c r="S32" s="3">
        <v>6.4200000000000007E-2</v>
      </c>
      <c r="T32" s="3">
        <v>70.5</v>
      </c>
      <c r="U32" s="3">
        <v>1.04</v>
      </c>
      <c r="V32" s="3"/>
      <c r="W32" s="3">
        <v>31.5</v>
      </c>
      <c r="X32" s="3"/>
      <c r="Y32" s="3"/>
      <c r="Z32" s="3">
        <v>0.14099999999999999</v>
      </c>
      <c r="AA32" s="3">
        <v>0.35</v>
      </c>
      <c r="AB32" s="3">
        <v>102</v>
      </c>
      <c r="AC32" s="3">
        <v>1.89E-2</v>
      </c>
      <c r="AD32" s="3"/>
      <c r="AE32" s="3">
        <v>4.16</v>
      </c>
      <c r="AF32" s="3">
        <v>2.9119999999999999</v>
      </c>
      <c r="AG32" s="3">
        <v>7.3499999999999996E-2</v>
      </c>
      <c r="AH32" s="3">
        <v>1.58</v>
      </c>
    </row>
    <row r="33" spans="1:34" x14ac:dyDescent="0.25">
      <c r="A33" s="28" t="s">
        <v>36</v>
      </c>
      <c r="B33" s="3"/>
      <c r="C33" s="3">
        <v>1.3140000000000001E-2</v>
      </c>
      <c r="D33" s="3"/>
      <c r="E33" s="3"/>
      <c r="F33" s="3"/>
      <c r="G33" s="3"/>
      <c r="H33" s="3">
        <v>1.37</v>
      </c>
      <c r="I33" s="3">
        <v>1160</v>
      </c>
      <c r="J33" s="3"/>
      <c r="K33" s="3">
        <v>1660</v>
      </c>
      <c r="L33" s="3">
        <v>3.5299999999999998E-2</v>
      </c>
      <c r="M33" s="3">
        <v>0.12720000000000001</v>
      </c>
      <c r="N33" s="3">
        <v>9.0799999999999995E-3</v>
      </c>
      <c r="O33" s="3">
        <v>0.65800000000000003</v>
      </c>
      <c r="P33" s="3">
        <v>22</v>
      </c>
      <c r="Q33" s="3"/>
      <c r="R33" s="3">
        <v>4160</v>
      </c>
      <c r="S33" s="3">
        <v>4.8799999999999996E-2</v>
      </c>
      <c r="T33" s="3">
        <v>266</v>
      </c>
      <c r="U33" s="3">
        <v>7.24</v>
      </c>
      <c r="V33" s="3"/>
      <c r="W33" s="3">
        <v>371</v>
      </c>
      <c r="X33" s="3"/>
      <c r="Y33" s="3"/>
      <c r="Z33" s="3">
        <v>0.2029</v>
      </c>
      <c r="AA33" s="3">
        <v>0.47899999999999998</v>
      </c>
      <c r="AB33" s="3">
        <v>199</v>
      </c>
      <c r="AC33" s="3">
        <v>9.3699999999999999E-3</v>
      </c>
      <c r="AD33" s="3"/>
      <c r="AE33" s="3">
        <v>2.56</v>
      </c>
      <c r="AF33" s="3">
        <v>2.75</v>
      </c>
      <c r="AG33" s="3">
        <v>0.11890000000000001</v>
      </c>
      <c r="AH33" s="3">
        <v>5.25</v>
      </c>
    </row>
    <row r="34" spans="1:34" x14ac:dyDescent="0.25">
      <c r="A34" s="28" t="s">
        <v>47</v>
      </c>
      <c r="B34" s="3"/>
      <c r="C34" s="3">
        <v>8.0000000000000002E-3</v>
      </c>
      <c r="D34" s="3"/>
      <c r="E34" s="3"/>
      <c r="F34" s="3"/>
      <c r="G34" s="3"/>
      <c r="H34" s="3"/>
      <c r="I34" s="3">
        <v>33.700000000000003</v>
      </c>
      <c r="J34" s="3">
        <v>6.9999999999999999E-4</v>
      </c>
      <c r="K34" s="3"/>
      <c r="L34" s="3">
        <v>6.0999999999999999E-2</v>
      </c>
      <c r="M34" s="3">
        <v>0.09</v>
      </c>
      <c r="N34" s="3"/>
      <c r="O34" s="3">
        <v>0.87</v>
      </c>
      <c r="P34" s="3">
        <v>6.8</v>
      </c>
      <c r="Q34" s="3"/>
      <c r="R34" s="3">
        <v>126.2</v>
      </c>
      <c r="S34" s="3"/>
      <c r="T34" s="3">
        <v>39.4</v>
      </c>
      <c r="U34" s="3">
        <v>0.77</v>
      </c>
      <c r="V34" s="3"/>
      <c r="W34" s="3">
        <v>11.5</v>
      </c>
      <c r="X34" s="3">
        <v>1.4E-2</v>
      </c>
      <c r="Y34" s="3"/>
      <c r="Z34" s="3">
        <v>9.4999999999999998E-3</v>
      </c>
      <c r="AA34" s="3"/>
      <c r="AB34" s="3"/>
      <c r="AC34" s="3"/>
      <c r="AD34" s="3"/>
      <c r="AE34" s="3"/>
      <c r="AF34" s="3"/>
      <c r="AG34" s="3"/>
      <c r="AH34" s="3">
        <v>1</v>
      </c>
    </row>
    <row r="35" spans="1:34" x14ac:dyDescent="0.25">
      <c r="A35" s="28" t="s">
        <v>63</v>
      </c>
      <c r="B35" s="3"/>
      <c r="C35" s="3"/>
      <c r="D35" s="3"/>
      <c r="E35" s="3"/>
      <c r="F35" s="3"/>
      <c r="G35" s="3"/>
      <c r="H35" s="3">
        <v>1.4750000000000001</v>
      </c>
      <c r="I35" s="3"/>
      <c r="J35" s="3">
        <v>2E-3</v>
      </c>
      <c r="K35" s="3">
        <v>1625</v>
      </c>
      <c r="L35" s="3">
        <v>6.7499999999999999E-3</v>
      </c>
      <c r="M35" s="3">
        <v>3.7499999999999999E-2</v>
      </c>
      <c r="N35" s="3">
        <v>7.7499999999999999E-3</v>
      </c>
      <c r="O35" s="3"/>
      <c r="P35" s="3"/>
      <c r="Q35" s="3"/>
      <c r="R35" s="3"/>
      <c r="S35" s="3"/>
      <c r="T35" s="3">
        <v>62.5</v>
      </c>
      <c r="U35" s="3">
        <v>0.26</v>
      </c>
      <c r="V35" s="3"/>
      <c r="W35" s="3">
        <v>300</v>
      </c>
      <c r="X35" s="3">
        <v>0.05</v>
      </c>
      <c r="Y35" s="3">
        <v>375</v>
      </c>
      <c r="Z35" s="3">
        <v>1.6250000000000001E-2</v>
      </c>
      <c r="AA35" s="3">
        <v>1.425</v>
      </c>
      <c r="AB35" s="3"/>
      <c r="AC35" s="3"/>
      <c r="AD35" s="3">
        <v>6.4999999999999997E-3</v>
      </c>
      <c r="AE35" s="3"/>
      <c r="AF35" s="3"/>
      <c r="AG35" s="3"/>
      <c r="AH35" s="3">
        <v>0.72499999999999998</v>
      </c>
    </row>
    <row r="36" spans="1:34" x14ac:dyDescent="0.25">
      <c r="A36" s="28" t="s">
        <v>42</v>
      </c>
      <c r="B36" s="3"/>
      <c r="C36" s="3">
        <v>2E-3</v>
      </c>
      <c r="D36" s="3">
        <v>0.35</v>
      </c>
      <c r="E36" s="3"/>
      <c r="F36" s="3"/>
      <c r="G36" s="3"/>
      <c r="H36" s="3"/>
      <c r="I36" s="3"/>
      <c r="J36" s="3">
        <v>1.5E-3</v>
      </c>
      <c r="K36" s="3"/>
      <c r="L36" s="3"/>
      <c r="M36" s="3">
        <v>0.06</v>
      </c>
      <c r="N36" s="3"/>
      <c r="O36" s="3">
        <v>0.19</v>
      </c>
      <c r="P36" s="3"/>
      <c r="Q36" s="3"/>
      <c r="R36" s="3"/>
      <c r="S36" s="3"/>
      <c r="T36" s="3"/>
      <c r="U36" s="3">
        <v>1.3</v>
      </c>
      <c r="V36" s="3">
        <v>0.03</v>
      </c>
      <c r="W36" s="3"/>
      <c r="X36" s="3">
        <v>8.5000000000000006E-2</v>
      </c>
      <c r="Y36" s="3"/>
      <c r="Z36" s="3">
        <v>5.5E-2</v>
      </c>
      <c r="AA36" s="3"/>
      <c r="AB36" s="3"/>
      <c r="AC36" s="3">
        <v>2.5000000000000001E-3</v>
      </c>
      <c r="AD36" s="3">
        <v>2E-3</v>
      </c>
      <c r="AE36" s="3"/>
      <c r="AF36" s="3"/>
      <c r="AG36" s="3"/>
      <c r="AH36" s="3">
        <v>0.7</v>
      </c>
    </row>
    <row r="37" spans="1:34" x14ac:dyDescent="0.25">
      <c r="A37" s="28" t="s">
        <v>50</v>
      </c>
      <c r="B37" s="3">
        <v>132.5</v>
      </c>
      <c r="C37" s="3">
        <v>1.05</v>
      </c>
      <c r="D37" s="3"/>
      <c r="E37" s="3">
        <v>4.4000000000000004</v>
      </c>
      <c r="F37" s="3"/>
      <c r="G37" s="3"/>
      <c r="H37" s="3">
        <v>47</v>
      </c>
      <c r="I37" s="3">
        <v>880</v>
      </c>
      <c r="J37" s="3">
        <v>1.8499999999999999E-2</v>
      </c>
      <c r="K37" s="3"/>
      <c r="L37" s="3">
        <v>6.6000000000000003E-2</v>
      </c>
      <c r="M37" s="3">
        <v>0.4</v>
      </c>
      <c r="N37" s="3">
        <v>1.2500000000000001E-2</v>
      </c>
      <c r="O37" s="3">
        <v>0.14000000000000001</v>
      </c>
      <c r="P37" s="3">
        <v>17.5</v>
      </c>
      <c r="Q37" s="3"/>
      <c r="R37" s="3">
        <v>1300</v>
      </c>
      <c r="S37" s="3">
        <v>0.17499999999999999</v>
      </c>
      <c r="T37" s="3">
        <v>440</v>
      </c>
      <c r="U37" s="3">
        <v>1.2</v>
      </c>
      <c r="V37" s="3">
        <v>0.185</v>
      </c>
      <c r="W37" s="3">
        <v>3300</v>
      </c>
      <c r="X37" s="3">
        <v>0.20499999999999999</v>
      </c>
      <c r="Y37" s="3"/>
      <c r="Z37" s="3">
        <v>0.14000000000000001</v>
      </c>
      <c r="AA37" s="3">
        <v>1.1499999999999999</v>
      </c>
      <c r="AB37" s="3"/>
      <c r="AC37" s="3">
        <v>1.0999999999999999E-2</v>
      </c>
      <c r="AD37" s="3">
        <v>1.6500000000000001E-2</v>
      </c>
      <c r="AE37" s="3">
        <v>47.5</v>
      </c>
      <c r="AF37" s="3"/>
      <c r="AG37" s="3">
        <v>0.24</v>
      </c>
      <c r="AH37" s="3">
        <v>1</v>
      </c>
    </row>
    <row r="38" spans="1:34" x14ac:dyDescent="0.25">
      <c r="A38" s="28" t="s">
        <v>59</v>
      </c>
      <c r="B38" s="3"/>
      <c r="C38" s="3"/>
      <c r="D38" s="3"/>
      <c r="E38" s="3"/>
      <c r="F38" s="3"/>
      <c r="G38" s="3"/>
      <c r="H38" s="3"/>
      <c r="I38" s="3">
        <v>7000</v>
      </c>
      <c r="J38" s="3">
        <v>2.2499999999999999E-2</v>
      </c>
      <c r="K38" s="3"/>
      <c r="L38" s="3">
        <v>7.4999999999999997E-3</v>
      </c>
      <c r="M38" s="3"/>
      <c r="N38" s="3"/>
      <c r="O38" s="3">
        <v>0.5</v>
      </c>
      <c r="P38" s="3">
        <v>10</v>
      </c>
      <c r="Q38" s="3"/>
      <c r="R38" s="3">
        <v>231</v>
      </c>
      <c r="S38" s="3"/>
      <c r="T38" s="3">
        <v>33.5</v>
      </c>
      <c r="U38" s="3">
        <v>0.3</v>
      </c>
      <c r="V38" s="3"/>
      <c r="W38" s="3">
        <v>34</v>
      </c>
      <c r="X38" s="3">
        <v>1.2999999999999999E-2</v>
      </c>
      <c r="Y38" s="3"/>
      <c r="Z38" s="3">
        <v>1.2999999999999999E-2</v>
      </c>
      <c r="AA38" s="3"/>
      <c r="AB38" s="3"/>
      <c r="AC38" s="3"/>
      <c r="AD38" s="3"/>
      <c r="AE38" s="3"/>
      <c r="AF38" s="3"/>
      <c r="AG38" s="3"/>
      <c r="AH38" s="3">
        <v>1.95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36AD-822F-4198-8D3B-9DB57CCD870A}">
  <dimension ref="A1:AH38"/>
  <sheetViews>
    <sheetView workbookViewId="0">
      <selection activeCell="I29" sqref="I29"/>
    </sheetView>
  </sheetViews>
  <sheetFormatPr baseColWidth="10" defaultRowHeight="15" x14ac:dyDescent="0.25"/>
  <sheetData>
    <row r="1" spans="1:34" x14ac:dyDescent="0.25">
      <c r="A1" s="3"/>
      <c r="B1" s="36" t="s">
        <v>71</v>
      </c>
      <c r="C1" s="36" t="s">
        <v>72</v>
      </c>
      <c r="D1" s="36" t="s">
        <v>73</v>
      </c>
      <c r="E1" s="36" t="s">
        <v>74</v>
      </c>
      <c r="F1" s="36" t="s">
        <v>75</v>
      </c>
      <c r="G1" s="36" t="s">
        <v>76</v>
      </c>
      <c r="H1" s="36" t="s">
        <v>170</v>
      </c>
      <c r="I1" s="36" t="s">
        <v>77</v>
      </c>
      <c r="J1" s="36" t="s">
        <v>78</v>
      </c>
      <c r="K1" s="36" t="s">
        <v>79</v>
      </c>
      <c r="L1" s="36" t="s">
        <v>80</v>
      </c>
      <c r="M1" s="36" t="s">
        <v>81</v>
      </c>
      <c r="N1" s="36" t="s">
        <v>82</v>
      </c>
      <c r="O1" s="36" t="s">
        <v>83</v>
      </c>
      <c r="P1" s="36" t="s">
        <v>84</v>
      </c>
      <c r="Q1" s="36" t="s">
        <v>85</v>
      </c>
      <c r="R1" s="36" t="s">
        <v>86</v>
      </c>
      <c r="S1" s="36" t="s">
        <v>87</v>
      </c>
      <c r="T1" s="36" t="s">
        <v>88</v>
      </c>
      <c r="U1" s="36" t="s">
        <v>89</v>
      </c>
      <c r="V1" s="36" t="s">
        <v>90</v>
      </c>
      <c r="W1" s="36" t="s">
        <v>91</v>
      </c>
      <c r="X1" s="36" t="s">
        <v>92</v>
      </c>
      <c r="Y1" s="36" t="s">
        <v>93</v>
      </c>
      <c r="Z1" s="36" t="s">
        <v>94</v>
      </c>
      <c r="AA1" s="36" t="s">
        <v>95</v>
      </c>
      <c r="AB1" s="36" t="s">
        <v>96</v>
      </c>
      <c r="AC1" s="36" t="s">
        <v>97</v>
      </c>
      <c r="AD1" s="36" t="s">
        <v>98</v>
      </c>
      <c r="AE1" s="36" t="s">
        <v>99</v>
      </c>
      <c r="AF1" s="36" t="s">
        <v>100</v>
      </c>
      <c r="AG1" s="36" t="s">
        <v>101</v>
      </c>
      <c r="AH1" s="36" t="s">
        <v>102</v>
      </c>
    </row>
    <row r="2" spans="1:34" x14ac:dyDescent="0.25">
      <c r="A2" s="29" t="s">
        <v>107</v>
      </c>
      <c r="B2" s="3" t="e">
        <f>100*std!B2/mean!B2</f>
        <v>#DIV/0!</v>
      </c>
      <c r="C2" s="3">
        <f>100*std!C2/mean!C2</f>
        <v>12.62199089134678</v>
      </c>
      <c r="D2" s="3">
        <f>100*std!D2/mean!D2</f>
        <v>14.267690043107979</v>
      </c>
      <c r="E2" s="3">
        <f>100*std!E2/mean!E2</f>
        <v>12.900227225779798</v>
      </c>
      <c r="F2" s="3">
        <f>100*std!F2/mean!F2</f>
        <v>30.18462859596394</v>
      </c>
      <c r="G2" s="3">
        <f>100*std!G2/mean!G2</f>
        <v>21.086142322097373</v>
      </c>
      <c r="H2" s="3" t="e">
        <f>100*std!H2/mean!H2</f>
        <v>#DIV/0!</v>
      </c>
      <c r="I2" s="3">
        <f>100*std!I2/mean!I2</f>
        <v>6.0275962236746548</v>
      </c>
      <c r="J2" s="3">
        <f>100*std!J2/mean!J2</f>
        <v>12.034001214329084</v>
      </c>
      <c r="K2" s="3">
        <f>100*std!K2/mean!K2</f>
        <v>4.5695282670279589</v>
      </c>
      <c r="L2" s="3">
        <f>100*std!L2/mean!L2</f>
        <v>13.859649122807017</v>
      </c>
      <c r="M2" s="3">
        <f>100*std!M2/mean!M2</f>
        <v>17.947247706422019</v>
      </c>
      <c r="N2" s="3">
        <f>100*std!N2/mean!N2</f>
        <v>21.185286103542236</v>
      </c>
      <c r="O2" s="3">
        <f>100*std!O2/mean!O2</f>
        <v>7.5388911049062619</v>
      </c>
      <c r="P2" s="3">
        <f>100*std!P2/mean!P2</f>
        <v>8.5344320188346092</v>
      </c>
      <c r="Q2" s="3">
        <f>100*std!Q2/mean!Q2</f>
        <v>9.845031905195988</v>
      </c>
      <c r="R2" s="3">
        <f>100*std!R2/mean!R2</f>
        <v>6.1776061776061777</v>
      </c>
      <c r="S2" s="3">
        <f>100*std!S2/mean!S2</f>
        <v>8.7225832656376934</v>
      </c>
      <c r="T2" s="3">
        <f>100*std!T2/mean!T2</f>
        <v>6.4726542900150523</v>
      </c>
      <c r="U2" s="3">
        <f>100*std!U2/mean!U2</f>
        <v>7.253299811439347</v>
      </c>
      <c r="V2" s="3">
        <f>100*std!V2/mean!V2</f>
        <v>9.6341463414634152</v>
      </c>
      <c r="W2" s="3">
        <f>100*std!W2/mean!W2</f>
        <v>6.5006075334143381</v>
      </c>
      <c r="X2" s="3">
        <f>100*std!X2/mean!X2</f>
        <v>11.382113821138212</v>
      </c>
      <c r="Y2" s="3">
        <f>100*std!Y2/mean!Y2</f>
        <v>4.9610389610389607</v>
      </c>
      <c r="Z2" s="3">
        <f>100*std!Z2/mean!Z2</f>
        <v>9.974640743871511</v>
      </c>
      <c r="AA2" s="3">
        <f>100*std!AA2/mean!AA2</f>
        <v>15.683453237410072</v>
      </c>
      <c r="AB2" s="3">
        <f>100*std!AB2/mean!AB2</f>
        <v>7.4554784183519471</v>
      </c>
      <c r="AC2" s="3">
        <f>100*std!AC2/mean!AC2</f>
        <v>50.600911728139252</v>
      </c>
      <c r="AD2" s="3">
        <f>100*std!AD2/mean!AD2</f>
        <v>21.740932642487049</v>
      </c>
      <c r="AE2" s="3">
        <f>100*std!AE2/mean!AE2</f>
        <v>6.0591827148896193</v>
      </c>
      <c r="AF2" s="3">
        <f>100*std!AF2/mean!AF2</f>
        <v>73.104812129202372</v>
      </c>
      <c r="AG2" s="3">
        <f>100*std!AG2/mean!AG2</f>
        <v>16.556291390728479</v>
      </c>
      <c r="AH2" s="3">
        <f>100*std!AH2/mean!AH2</f>
        <v>7.0260448213204105</v>
      </c>
    </row>
    <row r="3" spans="1:34" x14ac:dyDescent="0.25">
      <c r="A3" s="29" t="s">
        <v>110</v>
      </c>
      <c r="B3" s="3" t="e">
        <f>100*std!B3/mean!B3</f>
        <v>#DIV/0!</v>
      </c>
      <c r="C3" s="3">
        <f>100*std!C3/mean!C3</f>
        <v>12.204007285974498</v>
      </c>
      <c r="D3" s="3">
        <f>100*std!D3/mean!D3</f>
        <v>9.2920353982300892</v>
      </c>
      <c r="E3" s="3">
        <f>100*std!E3/mean!E3</f>
        <v>60.358180058083263</v>
      </c>
      <c r="F3" s="3" t="e">
        <f>100*std!F3/mean!F3</f>
        <v>#DIV/0!</v>
      </c>
      <c r="G3" s="3" t="e">
        <f>100*std!G3/mean!G3</f>
        <v>#DIV/0!</v>
      </c>
      <c r="H3" s="3" t="e">
        <f>100*std!H3/mean!H3</f>
        <v>#DIV/0!</v>
      </c>
      <c r="I3" s="3">
        <f>100*std!I3/mean!I3</f>
        <v>5.7575757575757578</v>
      </c>
      <c r="J3" s="3">
        <f>100*std!J3/mean!J3</f>
        <v>8.6071987480438175</v>
      </c>
      <c r="K3" s="3">
        <f>100*std!K3/mean!K3</f>
        <v>5.6803652968036529</v>
      </c>
      <c r="L3" s="3">
        <f>100*std!L3/mean!L3</f>
        <v>43.241155569287812</v>
      </c>
      <c r="M3" s="3">
        <f>100*std!M3/mean!M3</f>
        <v>44.470588235294116</v>
      </c>
      <c r="N3" s="3">
        <f>100*std!N3/mean!N3</f>
        <v>34.623655913978489</v>
      </c>
      <c r="O3" s="3">
        <f>100*std!O3/mean!O3</f>
        <v>7.0090439276485794</v>
      </c>
      <c r="P3" s="3">
        <f>100*std!P3/mean!P3</f>
        <v>12.600536193029489</v>
      </c>
      <c r="Q3" s="3">
        <f>100*std!Q3/mean!Q3</f>
        <v>9.5275590551181111</v>
      </c>
      <c r="R3" s="3">
        <f>100*std!R3/mean!R3</f>
        <v>4.9609554432705556</v>
      </c>
      <c r="S3" s="3" t="e">
        <f>100*std!S3/mean!S3</f>
        <v>#DIV/0!</v>
      </c>
      <c r="T3" s="3">
        <f>100*std!T3/mean!T3</f>
        <v>6.188389923329682</v>
      </c>
      <c r="U3" s="3">
        <f>100*std!U3/mean!U3</f>
        <v>10.277938621887667</v>
      </c>
      <c r="V3" s="3">
        <f>100*std!V3/mean!V3</f>
        <v>9.45518453427065</v>
      </c>
      <c r="W3" s="3">
        <f>100*std!W3/mean!W3</f>
        <v>11.866028708133971</v>
      </c>
      <c r="X3" s="3">
        <f>100*std!X3/mean!X3</f>
        <v>20.901994796183867</v>
      </c>
      <c r="Y3" s="3">
        <f>100*std!Y3/mean!Y3</f>
        <v>4.1100661790316959</v>
      </c>
      <c r="Z3" s="3">
        <f>100*std!Z3/mean!Z3</f>
        <v>16.400000000000002</v>
      </c>
      <c r="AA3" s="3">
        <f>100*std!AA3/mean!AA3</f>
        <v>15.794223826714802</v>
      </c>
      <c r="AB3" s="3">
        <f>100*std!AB3/mean!AB3</f>
        <v>5.6357388316151207</v>
      </c>
      <c r="AC3" s="3">
        <f>100*std!AC3/mean!AC3</f>
        <v>58.58867223769731</v>
      </c>
      <c r="AD3" s="3">
        <f>100*std!AD3/mean!AD3</f>
        <v>14.0053050397878</v>
      </c>
      <c r="AE3" s="3">
        <f>100*std!AE3/mean!AE3</f>
        <v>9.0449539628091706</v>
      </c>
      <c r="AF3" s="3">
        <f>100*std!AF3/mean!AF3</f>
        <v>107.93158631726345</v>
      </c>
      <c r="AG3" s="3">
        <f>100*std!AG3/mean!AG3</f>
        <v>31.696136214800262</v>
      </c>
      <c r="AH3" s="3">
        <f>100*std!AH3/mean!AH3</f>
        <v>8.5396664982314299</v>
      </c>
    </row>
    <row r="4" spans="1:34" x14ac:dyDescent="0.25">
      <c r="A4" s="29" t="s">
        <v>113</v>
      </c>
      <c r="B4" s="3" t="e">
        <f>100*std!B4/mean!B4</f>
        <v>#DIV/0!</v>
      </c>
      <c r="C4" s="3">
        <f>100*std!C4/mean!C4</f>
        <v>33.192346424974829</v>
      </c>
      <c r="D4" s="3">
        <f>100*std!D4/mean!D4</f>
        <v>8.6538461538461533</v>
      </c>
      <c r="E4" s="3">
        <f>100*std!E4/mean!E4</f>
        <v>12.488284910965325</v>
      </c>
      <c r="F4" s="3" t="e">
        <f>100*std!F4/mean!F4</f>
        <v>#DIV/0!</v>
      </c>
      <c r="G4" s="3" t="e">
        <f>100*std!G4/mean!G4</f>
        <v>#DIV/0!</v>
      </c>
      <c r="H4" s="3" t="e">
        <f>100*std!H4/mean!H4</f>
        <v>#DIV/0!</v>
      </c>
      <c r="I4" s="3">
        <f>100*std!I4/mean!I4</f>
        <v>6.1976987447698741</v>
      </c>
      <c r="J4" s="3">
        <f>100*std!J4/mean!J4</f>
        <v>11.055135740274279</v>
      </c>
      <c r="K4" s="3">
        <f>100*std!K4/mean!K4</f>
        <v>5.2929366672750504</v>
      </c>
      <c r="L4" s="3">
        <f>100*std!L4/mean!L4</f>
        <v>30.08492569002123</v>
      </c>
      <c r="M4" s="3">
        <f>100*std!M4/mean!M4</f>
        <v>38.869908015768729</v>
      </c>
      <c r="N4" s="3" t="e">
        <f>100*std!N4/mean!N4</f>
        <v>#DIV/0!</v>
      </c>
      <c r="O4" s="3">
        <f>100*std!O4/mean!O4</f>
        <v>10.492666415945846</v>
      </c>
      <c r="P4" s="3">
        <f>100*std!P4/mean!P4</f>
        <v>11.107498916341569</v>
      </c>
      <c r="Q4" s="3">
        <f>100*std!Q4/mean!Q4</f>
        <v>12.299091544374564</v>
      </c>
      <c r="R4" s="3">
        <f>100*std!R4/mean!R4</f>
        <v>6.5804935370152764</v>
      </c>
      <c r="S4" s="3" t="e">
        <f>100*std!S4/mean!S4</f>
        <v>#DIV/0!</v>
      </c>
      <c r="T4" s="3">
        <f>100*std!T4/mean!T4</f>
        <v>6.6194837635303916</v>
      </c>
      <c r="U4" s="3">
        <f>100*std!U4/mean!U4</f>
        <v>7.0624089042003444</v>
      </c>
      <c r="V4" s="3">
        <f>100*std!V4/mean!V4</f>
        <v>9.3717093717093718</v>
      </c>
      <c r="W4" s="3">
        <f>100*std!W4/mean!W4</f>
        <v>11.666666666666666</v>
      </c>
      <c r="X4" s="3">
        <f>100*std!X4/mean!X4</f>
        <v>41.166129504834458</v>
      </c>
      <c r="Y4" s="3">
        <f>100*std!Y4/mean!Y4</f>
        <v>5.9214326978625076</v>
      </c>
      <c r="Z4" s="3">
        <f>100*std!Z4/mean!Z4</f>
        <v>17.165831488171545</v>
      </c>
      <c r="AA4" s="3">
        <f>100*std!AA4/mean!AA4</f>
        <v>8.5087719298245617</v>
      </c>
      <c r="AB4" s="3">
        <f>100*std!AB4/mean!AB4</f>
        <v>7.9231221808197683</v>
      </c>
      <c r="AC4" s="3">
        <f>100*std!AC4/mean!AC4</f>
        <v>62.016965127238457</v>
      </c>
      <c r="AD4" s="3">
        <f>100*std!AD4/mean!AD4</f>
        <v>20.104849279161208</v>
      </c>
      <c r="AE4" s="3">
        <f>100*std!AE4/mean!AE4</f>
        <v>7.6485461441213651</v>
      </c>
      <c r="AF4" s="3" t="e">
        <f>100*std!AF4/mean!AF4</f>
        <v>#DIV/0!</v>
      </c>
      <c r="AG4" s="3">
        <f>100*std!AG4/mean!AG4</f>
        <v>17.323369565217391</v>
      </c>
      <c r="AH4" s="3">
        <f>100*std!AH4/mean!AH4</f>
        <v>9.3380614657210401</v>
      </c>
    </row>
    <row r="5" spans="1:34" x14ac:dyDescent="0.25">
      <c r="A5" s="29" t="s">
        <v>116</v>
      </c>
      <c r="B5" s="3" t="e">
        <f>100*std!B5/mean!B5</f>
        <v>#DIV/0!</v>
      </c>
      <c r="C5" s="3">
        <f>100*std!C5/mean!C5</f>
        <v>43.297540699688255</v>
      </c>
      <c r="D5" s="3">
        <f>100*std!D5/mean!D5</f>
        <v>11.171073934160818</v>
      </c>
      <c r="E5" s="3">
        <f>100*std!E5/mean!E5</f>
        <v>12.629937629937631</v>
      </c>
      <c r="F5" s="3" t="e">
        <f>100*std!F5/mean!F5</f>
        <v>#DIV/0!</v>
      </c>
      <c r="G5" s="3" t="e">
        <f>100*std!G5/mean!G5</f>
        <v>#DIV/0!</v>
      </c>
      <c r="H5" s="3" t="e">
        <f>100*std!H5/mean!H5</f>
        <v>#DIV/0!</v>
      </c>
      <c r="I5" s="3">
        <f>100*std!I5/mean!I5</f>
        <v>6.6766467065868262</v>
      </c>
      <c r="J5" s="3">
        <f>100*std!J5/mean!J5</f>
        <v>16.93548387096774</v>
      </c>
      <c r="K5" s="3">
        <f>100*std!K5/mean!K5</f>
        <v>6.06580383595821</v>
      </c>
      <c r="L5" s="3">
        <f>100*std!L5/mean!L5</f>
        <v>32.95140260766496</v>
      </c>
      <c r="M5" s="3">
        <f>100*std!M5/mean!M5</f>
        <v>57.274991106367843</v>
      </c>
      <c r="N5" s="3">
        <f>100*std!N5/mean!N5</f>
        <v>11.130899376669635</v>
      </c>
      <c r="O5" s="3">
        <f>100*std!O5/mean!O5</f>
        <v>16.44748378046642</v>
      </c>
      <c r="P5" s="3">
        <f>100*std!P5/mean!P5</f>
        <v>10.632754342431763</v>
      </c>
      <c r="Q5" s="3">
        <f>100*std!Q5/mean!Q5</f>
        <v>7.9023823358512502</v>
      </c>
      <c r="R5" s="3">
        <f>100*std!R5/mean!R5</f>
        <v>7.8141065186099112</v>
      </c>
      <c r="S5" s="3" t="e">
        <f>100*std!S5/mean!S5</f>
        <v>#DIV/0!</v>
      </c>
      <c r="T5" s="3">
        <f>100*std!T5/mean!T5</f>
        <v>7.4670571010248903</v>
      </c>
      <c r="U5" s="3">
        <f>100*std!U5/mean!U5</f>
        <v>9.2619047619047628</v>
      </c>
      <c r="V5" s="3">
        <f>100*std!V5/mean!V5</f>
        <v>33.838740009402912</v>
      </c>
      <c r="W5" s="3">
        <f>100*std!W5/mean!W5</f>
        <v>30.452748832195475</v>
      </c>
      <c r="X5" s="3">
        <f>100*std!X5/mean!X5</f>
        <v>16.201959306706858</v>
      </c>
      <c r="Y5" s="3">
        <f>100*std!Y5/mean!Y5</f>
        <v>6.0891399874450718</v>
      </c>
      <c r="Z5" s="3">
        <f>100*std!Z5/mean!Z5</f>
        <v>21.431349669389345</v>
      </c>
      <c r="AA5" s="3">
        <f>100*std!AA5/mean!AA5</f>
        <v>12.119582750833423</v>
      </c>
      <c r="AB5" s="3">
        <f>100*std!AB5/mean!AB5</f>
        <v>8.1894150417827305</v>
      </c>
      <c r="AC5" s="3" t="e">
        <f>100*std!AC5/mean!AC5</f>
        <v>#DIV/0!</v>
      </c>
      <c r="AD5" s="3">
        <f>100*std!AD5/mean!AD5</f>
        <v>15.42981501632209</v>
      </c>
      <c r="AE5" s="3">
        <f>100*std!AE5/mean!AE5</f>
        <v>10.738714090287278</v>
      </c>
      <c r="AF5" s="3" t="e">
        <f>100*std!AF5/mean!AF5</f>
        <v>#DIV/0!</v>
      </c>
      <c r="AG5" s="3">
        <f>100*std!AG5/mean!AG5</f>
        <v>58.857142857142861</v>
      </c>
      <c r="AH5" s="3">
        <f>100*std!AH5/mean!AH5</f>
        <v>14.758269720101779</v>
      </c>
    </row>
    <row r="6" spans="1:34" x14ac:dyDescent="0.25">
      <c r="A6" s="30" t="s">
        <v>119</v>
      </c>
      <c r="B6" s="3" t="e">
        <f>100*std!B6/mean!B6</f>
        <v>#DIV/0!</v>
      </c>
      <c r="C6" s="3">
        <f>100*std!C6/mean!C6</f>
        <v>12.070657507360156</v>
      </c>
      <c r="D6" s="3">
        <f>100*std!D6/mean!D6</f>
        <v>11.514014796290509</v>
      </c>
      <c r="E6" s="3">
        <f>100*std!E6/mean!E6</f>
        <v>17.490118577075101</v>
      </c>
      <c r="F6" s="3">
        <f>100*std!F6/mean!F6</f>
        <v>12.558575445173384</v>
      </c>
      <c r="G6" s="3">
        <f>100*std!G6/mean!G6</f>
        <v>19.558871229322087</v>
      </c>
      <c r="H6" s="3" t="e">
        <f>100*std!H6/mean!H6</f>
        <v>#DIV/0!</v>
      </c>
      <c r="I6" s="3">
        <f>100*std!I6/mean!I6</f>
        <v>6.043165467625899</v>
      </c>
      <c r="J6" s="3">
        <f>100*std!J6/mean!J6</f>
        <v>14.689128590473882</v>
      </c>
      <c r="K6" s="3">
        <f>100*std!K6/mean!K6</f>
        <v>4.9238703339882122</v>
      </c>
      <c r="L6" s="3">
        <f>100*std!L6/mean!L6</f>
        <v>10.289937464468448</v>
      </c>
      <c r="M6" s="3">
        <f>100*std!M6/mean!M6</f>
        <v>18.771138669673057</v>
      </c>
      <c r="N6" s="3">
        <f>100*std!N6/mean!N6</f>
        <v>7.5458871515975545</v>
      </c>
      <c r="O6" s="3">
        <f>100*std!O6/mean!O6</f>
        <v>8.1059496872088381</v>
      </c>
      <c r="P6" s="3">
        <f>100*std!P6/mean!P6</f>
        <v>8.4936831875607393</v>
      </c>
      <c r="Q6" s="3">
        <f>100*std!Q6/mean!Q6</f>
        <v>7.3694029850746263</v>
      </c>
      <c r="R6" s="3">
        <f>100*std!R6/mean!R6</f>
        <v>5.63054377169302</v>
      </c>
      <c r="S6" s="3">
        <f>100*std!S6/mean!S6</f>
        <v>11.907066795740564</v>
      </c>
      <c r="T6" s="3">
        <f>100*std!T6/mean!T6</f>
        <v>6.3681592039800998</v>
      </c>
      <c r="U6" s="3">
        <f>100*std!U6/mean!U6</f>
        <v>7.2284644194756558</v>
      </c>
      <c r="V6" s="3">
        <f>100*std!V6/mean!V6</f>
        <v>9.0799759470835841</v>
      </c>
      <c r="W6" s="3">
        <f>100*std!W6/mean!W6</f>
        <v>7.9765937788728056</v>
      </c>
      <c r="X6" s="3">
        <f>100*std!X6/mean!X6</f>
        <v>11.066666666666668</v>
      </c>
      <c r="Y6" s="3">
        <f>100*std!Y6/mean!Y6</f>
        <v>5.1541051541051539</v>
      </c>
      <c r="Z6" s="3">
        <f>100*std!Z6/mean!Z6</f>
        <v>10.320901994796182</v>
      </c>
      <c r="AA6" s="3">
        <f>100*std!AA6/mean!AA6</f>
        <v>9.6440872560275537</v>
      </c>
      <c r="AB6" s="3">
        <f>100*std!AB6/mean!AB6</f>
        <v>6.9381598793363501</v>
      </c>
      <c r="AC6" s="3">
        <f>100*std!AC6/mean!AC6</f>
        <v>43.559096945551133</v>
      </c>
      <c r="AD6" s="3">
        <f>100*std!AD6/mean!AD6</f>
        <v>21.298174442190671</v>
      </c>
      <c r="AE6" s="3">
        <f>100*std!AE6/mean!AE6</f>
        <v>7.8440582433067174</v>
      </c>
      <c r="AF6" s="3">
        <f>100*std!AF6/mean!AF6</f>
        <v>58.423493044822258</v>
      </c>
      <c r="AG6" s="3">
        <f>100*std!AG6/mean!AG6</f>
        <v>15.729421352893235</v>
      </c>
      <c r="AH6" s="3">
        <f>100*std!AH6/mean!AH6</f>
        <v>7.9975579975579985</v>
      </c>
    </row>
    <row r="7" spans="1:34" x14ac:dyDescent="0.25">
      <c r="A7" s="30" t="s">
        <v>120</v>
      </c>
      <c r="B7" s="3" t="e">
        <f>100*std!B7/mean!B7</f>
        <v>#DIV/0!</v>
      </c>
      <c r="C7" s="3">
        <f>100*std!C7/mean!C7</f>
        <v>12.733957219251336</v>
      </c>
      <c r="D7" s="3">
        <f>100*std!D7/mean!D7</f>
        <v>8.7319243604004448</v>
      </c>
      <c r="E7" s="3">
        <f>100*std!E7/mean!E7</f>
        <v>10.726643598615917</v>
      </c>
      <c r="F7" s="3" t="e">
        <f>100*std!F7/mean!F7</f>
        <v>#DIV/0!</v>
      </c>
      <c r="G7" s="3" t="e">
        <f>100*std!G7/mean!G7</f>
        <v>#DIV/0!</v>
      </c>
      <c r="H7" s="3" t="e">
        <f>100*std!H7/mean!H7</f>
        <v>#DIV/0!</v>
      </c>
      <c r="I7" s="3">
        <f>100*std!I7/mean!I7</f>
        <v>6.5730695596681556</v>
      </c>
      <c r="J7" s="3">
        <f>100*std!J7/mean!J7</f>
        <v>10.228198859005705</v>
      </c>
      <c r="K7" s="3">
        <f>100*std!K7/mean!K7</f>
        <v>28.571428571428569</v>
      </c>
      <c r="L7" s="3">
        <f>100*std!L7/mean!L7</f>
        <v>11.449752883031302</v>
      </c>
      <c r="M7" s="3">
        <f>100*std!M7/mean!M7</f>
        <v>32.524964336661917</v>
      </c>
      <c r="N7" s="3">
        <f>100*std!N7/mean!N7</f>
        <v>17.329700272479563</v>
      </c>
      <c r="O7" s="3">
        <f>100*std!O7/mean!O7</f>
        <v>11.726919629518973</v>
      </c>
      <c r="P7" s="3">
        <f>100*std!P7/mean!P7</f>
        <v>14.592554022390004</v>
      </c>
      <c r="Q7" s="3">
        <f>100*std!Q7/mean!Q7</f>
        <v>7.2341857335127857</v>
      </c>
      <c r="R7" s="3">
        <f>100*std!R7/mean!R7</f>
        <v>5.2258635961027462</v>
      </c>
      <c r="S7" s="3">
        <f>100*std!S7/mean!S7</f>
        <v>30.671320057483062</v>
      </c>
      <c r="T7" s="3">
        <f>100*std!T7/mean!T7</f>
        <v>5.9958071278825997</v>
      </c>
      <c r="U7" s="3">
        <f>100*std!U7/mean!U7</f>
        <v>7.7755905511811028</v>
      </c>
      <c r="V7" s="3">
        <f>100*std!V7/mean!V7</f>
        <v>9.479305740987984</v>
      </c>
      <c r="W7" s="3">
        <f>100*std!W7/mean!W7</f>
        <v>36.144251626898047</v>
      </c>
      <c r="X7" s="3">
        <f>100*std!X7/mean!X7</f>
        <v>17.373778091303034</v>
      </c>
      <c r="Y7" s="3">
        <f>100*std!Y7/mean!Y7</f>
        <v>5.5923777961888979</v>
      </c>
      <c r="Z7" s="3">
        <f>100*std!Z7/mean!Z7</f>
        <v>13.804805212433825</v>
      </c>
      <c r="AA7" s="3">
        <f>100*std!AA7/mean!AA7</f>
        <v>8.7578194816800714</v>
      </c>
      <c r="AB7" s="3">
        <f>100*std!AB7/mean!AB7</f>
        <v>9.8279457768508838</v>
      </c>
      <c r="AC7" s="3">
        <f>100*std!AC7/mean!AC7</f>
        <v>18.559973270965589</v>
      </c>
      <c r="AD7" s="3">
        <f>100*std!AD7/mean!AD7</f>
        <v>40.520446096654283</v>
      </c>
      <c r="AE7" s="3">
        <f>100*std!AE7/mean!AE7</f>
        <v>8.3133493205435656</v>
      </c>
      <c r="AF7" s="3" t="e">
        <f>100*std!AF7/mean!AF7</f>
        <v>#DIV/0!</v>
      </c>
      <c r="AG7" s="3">
        <f>100*std!AG7/mean!AG7</f>
        <v>19.964349376114079</v>
      </c>
      <c r="AH7" s="3">
        <f>100*std!AH7/mean!AH7</f>
        <v>9.6496815286624216</v>
      </c>
    </row>
    <row r="8" spans="1:34" x14ac:dyDescent="0.25">
      <c r="A8" s="30" t="s">
        <v>123</v>
      </c>
      <c r="B8" s="3" t="e">
        <f>100*std!B8/mean!B8</f>
        <v>#DIV/0!</v>
      </c>
      <c r="C8" s="3">
        <f>100*std!C8/mean!C8</f>
        <v>32.501559575795376</v>
      </c>
      <c r="D8" s="3">
        <f>100*std!D8/mean!D8</f>
        <v>8.4188911704312126</v>
      </c>
      <c r="E8" s="3">
        <f>100*std!E8/mean!E8</f>
        <v>10.639248994188646</v>
      </c>
      <c r="F8" s="3" t="e">
        <f>100*std!F8/mean!F8</f>
        <v>#DIV/0!</v>
      </c>
      <c r="G8" s="3" t="e">
        <f>100*std!G8/mean!G8</f>
        <v>#DIV/0!</v>
      </c>
      <c r="H8" s="3" t="e">
        <f>100*std!H8/mean!H8</f>
        <v>#DIV/0!</v>
      </c>
      <c r="I8" s="3">
        <f>100*std!I8/mean!I8</f>
        <v>8.2229965156794425</v>
      </c>
      <c r="J8" s="3">
        <f>100*std!J8/mean!J8</f>
        <v>17.277250113071009</v>
      </c>
      <c r="K8" s="3">
        <f>100*std!K8/mean!K8</f>
        <v>14.185585860124943</v>
      </c>
      <c r="L8" s="3">
        <f>100*std!L8/mean!L8</f>
        <v>17.911423435201833</v>
      </c>
      <c r="M8" s="3">
        <f>100*std!M8/mean!M8</f>
        <v>15.500713848664082</v>
      </c>
      <c r="N8" s="3">
        <f>100*std!N8/mean!N8</f>
        <v>25.948533812088574</v>
      </c>
      <c r="O8" s="3">
        <f>100*std!O8/mean!O8</f>
        <v>18.652849740932641</v>
      </c>
      <c r="P8" s="3">
        <f>100*std!P8/mean!P8</f>
        <v>11.509205159298865</v>
      </c>
      <c r="Q8" s="3">
        <f>100*std!Q8/mean!Q8</f>
        <v>8.6139896373056999</v>
      </c>
      <c r="R8" s="3">
        <f>100*std!R8/mean!R8</f>
        <v>7.9821717990275527</v>
      </c>
      <c r="S8" s="3">
        <f>100*std!S8/mean!S8</f>
        <v>16.169847737508043</v>
      </c>
      <c r="T8" s="3">
        <f>100*std!T8/mean!T8</f>
        <v>6.2870031012122922</v>
      </c>
      <c r="U8" s="3">
        <f>100*std!U8/mean!U8</f>
        <v>8.3510261854210892</v>
      </c>
      <c r="V8" s="3">
        <f>100*std!V8/mean!V8</f>
        <v>10.755555555555555</v>
      </c>
      <c r="W8" s="3">
        <f>100*std!W8/mean!W8</f>
        <v>47.801215588130141</v>
      </c>
      <c r="X8" s="3">
        <f>100*std!X8/mean!X8</f>
        <v>51.834130781499205</v>
      </c>
      <c r="Y8" s="3">
        <f>100*std!Y8/mean!Y8</f>
        <v>6.7995728017087931</v>
      </c>
      <c r="Z8" s="3">
        <f>100*std!Z8/mean!Z8</f>
        <v>25.919999999999998</v>
      </c>
      <c r="AA8" s="3">
        <f>100*std!AA8/mean!AA8</f>
        <v>11.38036809815951</v>
      </c>
      <c r="AB8" s="3">
        <f>100*std!AB8/mean!AB8</f>
        <v>7.3931623931623935</v>
      </c>
      <c r="AC8" s="3">
        <f>100*std!AC8/mean!AC8</f>
        <v>35.875090777051568</v>
      </c>
      <c r="AD8" s="3">
        <f>100*std!AD8/mean!AD8</f>
        <v>115.72265625</v>
      </c>
      <c r="AE8" s="3">
        <f>100*std!AE8/mean!AE8</f>
        <v>19.185132237312366</v>
      </c>
      <c r="AF8" s="3" t="e">
        <f>100*std!AF8/mean!AF8</f>
        <v>#DIV/0!</v>
      </c>
      <c r="AG8" s="3">
        <f>100*std!AG8/mean!AG8</f>
        <v>65.292096219931267</v>
      </c>
      <c r="AH8" s="3">
        <f>100*std!AH8/mean!AH8</f>
        <v>9.5326754794265494</v>
      </c>
    </row>
    <row r="9" spans="1:34" x14ac:dyDescent="0.25">
      <c r="A9" s="31" t="s">
        <v>125</v>
      </c>
      <c r="B9" s="3" t="e">
        <f>100*std!B9/mean!B9</f>
        <v>#DIV/0!</v>
      </c>
      <c r="C9" s="3">
        <f>100*std!C9/mean!C9</f>
        <v>40.780141843971627</v>
      </c>
      <c r="D9" s="3">
        <f>100*std!D9/mean!D9</f>
        <v>36.279683377308707</v>
      </c>
      <c r="E9" s="3">
        <f>100*std!E9/mean!E9</f>
        <v>108.50938967136152</v>
      </c>
      <c r="F9" s="3" t="e">
        <f>100*std!F9/mean!F9</f>
        <v>#DIV/0!</v>
      </c>
      <c r="G9" s="3">
        <f>100*std!G9/mean!G9</f>
        <v>27.868852459016392</v>
      </c>
      <c r="H9" s="3" t="e">
        <f>100*std!H9/mean!H9</f>
        <v>#DIV/0!</v>
      </c>
      <c r="I9" s="3">
        <f>100*std!I9/mean!I9</f>
        <v>98.604326587578498</v>
      </c>
      <c r="J9" s="3">
        <f>100*std!J9/mean!J9</f>
        <v>20.874904067536455</v>
      </c>
      <c r="K9" s="3">
        <f>100*std!K9/mean!K9</f>
        <v>9.4926350245499176</v>
      </c>
      <c r="L9" s="3">
        <f>100*std!L9/mean!L9</f>
        <v>141.86977715877435</v>
      </c>
      <c r="M9" s="3">
        <f>100*std!M9/mean!M9</f>
        <v>108.93345487693709</v>
      </c>
      <c r="N9" s="3" t="e">
        <f>100*std!N9/mean!N9</f>
        <v>#DIV/0!</v>
      </c>
      <c r="O9" s="3">
        <f>100*std!O9/mean!O9</f>
        <v>17.961432506887054</v>
      </c>
      <c r="P9" s="3">
        <f>100*std!P9/mean!P9</f>
        <v>23.081201334816466</v>
      </c>
      <c r="Q9" s="3" t="e">
        <f>100*std!Q9/mean!Q9</f>
        <v>#DIV/0!</v>
      </c>
      <c r="R9" s="3">
        <f>100*std!R9/mean!R9</f>
        <v>8.9106705279572296</v>
      </c>
      <c r="S9" s="3">
        <f>100*std!S9/mean!S9</f>
        <v>25.806451612903228</v>
      </c>
      <c r="T9" s="3">
        <f>100*std!T9/mean!T9</f>
        <v>8.7523277467411553</v>
      </c>
      <c r="U9" s="3">
        <f>100*std!U9/mean!U9</f>
        <v>19.512195121951219</v>
      </c>
      <c r="V9" s="3">
        <f>100*std!V9/mean!V9</f>
        <v>13.717005625270446</v>
      </c>
      <c r="W9" s="3">
        <f>100*std!W9/mean!W9</f>
        <v>133.3011583011583</v>
      </c>
      <c r="X9" s="3">
        <f>100*std!X9/mean!X9</f>
        <v>54.536771728748803</v>
      </c>
      <c r="Y9" s="3">
        <f>100*std!Y9/mean!Y9</f>
        <v>6.8685607243209494</v>
      </c>
      <c r="Z9" s="3">
        <f>100*std!Z9/mean!Z9</f>
        <v>137.11493872143092</v>
      </c>
      <c r="AA9" s="3">
        <f>100*std!AA9/mean!AA9</f>
        <v>13.660834454912518</v>
      </c>
      <c r="AB9" s="3">
        <f>100*std!AB9/mean!AB9</f>
        <v>11.898974955088237</v>
      </c>
      <c r="AC9" s="3">
        <f>100*std!AC9/mean!AC9</f>
        <v>59.52665551039923</v>
      </c>
      <c r="AD9" s="3" t="e">
        <f>100*std!AD9/mean!AD9</f>
        <v>#DIV/0!</v>
      </c>
      <c r="AE9" s="3">
        <f>100*std!AE9/mean!AE9</f>
        <v>201.41867370504787</v>
      </c>
      <c r="AF9" s="3" t="e">
        <f>100*std!AF9/mean!AF9</f>
        <v>#DIV/0!</v>
      </c>
      <c r="AG9" s="3">
        <f>100*std!AG9/mean!AG9</f>
        <v>109.0199902486592</v>
      </c>
      <c r="AH9" s="3">
        <f>100*std!AH9/mean!AH9</f>
        <v>9.2859929769801024</v>
      </c>
    </row>
    <row r="10" spans="1:34" x14ac:dyDescent="0.25">
      <c r="A10" s="31" t="s">
        <v>127</v>
      </c>
      <c r="B10" s="3" t="e">
        <f>100*std!B10/mean!B10</f>
        <v>#DIV/0!</v>
      </c>
      <c r="C10" s="3">
        <f>100*std!C10/mean!C10</f>
        <v>10.210210210210212</v>
      </c>
      <c r="D10" s="3">
        <f>100*std!D10/mean!D10</f>
        <v>7.8894327670601792</v>
      </c>
      <c r="E10" s="3">
        <f>100*std!E10/mean!E10</f>
        <v>23.112338858195212</v>
      </c>
      <c r="F10" s="3" t="e">
        <f>100*std!F10/mean!F10</f>
        <v>#DIV/0!</v>
      </c>
      <c r="G10" s="3">
        <f>100*std!G10/mean!G10</f>
        <v>9.2660550458715605</v>
      </c>
      <c r="H10" s="3" t="e">
        <f>100*std!H10/mean!H10</f>
        <v>#DIV/0!</v>
      </c>
      <c r="I10" s="3">
        <f>100*std!I10/mean!I10</f>
        <v>6.6522678185745141</v>
      </c>
      <c r="J10" s="3">
        <f>100*std!J10/mean!J10</f>
        <v>15.876685934489403</v>
      </c>
      <c r="K10" s="3">
        <f>100*std!K10/mean!K10</f>
        <v>7.6528674515761486</v>
      </c>
      <c r="L10" s="3">
        <f>100*std!L10/mean!L10</f>
        <v>25.319215197757703</v>
      </c>
      <c r="M10" s="3">
        <f>100*std!M10/mean!M10</f>
        <v>39.306358381502889</v>
      </c>
      <c r="N10" s="3">
        <f>100*std!N10/mean!N10</f>
        <v>12.758996728462376</v>
      </c>
      <c r="O10" s="3">
        <f>100*std!O10/mean!O10</f>
        <v>13.389711064129669</v>
      </c>
      <c r="P10" s="3">
        <f>100*std!P10/mean!P10</f>
        <v>11.917098445595855</v>
      </c>
      <c r="Q10" s="3">
        <f>100*std!Q10/mean!Q10</f>
        <v>17.90742200698277</v>
      </c>
      <c r="R10" s="3">
        <f>100*std!R10/mean!R10</f>
        <v>6.2977099236641223</v>
      </c>
      <c r="S10" s="3">
        <f>100*std!S10/mean!S10</f>
        <v>20.621683093252468</v>
      </c>
      <c r="T10" s="3">
        <f>100*std!T10/mean!T10</f>
        <v>7.6034063260340634</v>
      </c>
      <c r="U10" s="3">
        <f>100*std!U10/mean!U10</f>
        <v>8.6069651741293534</v>
      </c>
      <c r="V10" s="3">
        <f>100*std!V10/mean!V10</f>
        <v>13.993083266826284</v>
      </c>
      <c r="W10" s="3">
        <f>100*std!W10/mean!W10</f>
        <v>15.226554267650156</v>
      </c>
      <c r="X10" s="3">
        <f>100*std!X10/mean!X10</f>
        <v>17.738970588235293</v>
      </c>
      <c r="Y10" s="3">
        <f>100*std!Y10/mean!Y10</f>
        <v>5.8026260059296906</v>
      </c>
      <c r="Z10" s="3">
        <f>100*std!Z10/mean!Z10</f>
        <v>12.507466252538526</v>
      </c>
      <c r="AA10" s="3">
        <f>100*std!AA10/mean!AA10</f>
        <v>10.455896927651139</v>
      </c>
      <c r="AB10" s="3">
        <f>100*std!AB10/mean!AB10</f>
        <v>7.2261072261072261</v>
      </c>
      <c r="AC10" s="3">
        <f>100*std!AC10/mean!AC10</f>
        <v>27.686296399665085</v>
      </c>
      <c r="AD10" s="3">
        <f>100*std!AD10/mean!AD10</f>
        <v>19.700748129675812</v>
      </c>
      <c r="AE10" s="3">
        <f>100*std!AE10/mean!AE10</f>
        <v>11.116919323924028</v>
      </c>
      <c r="AF10" s="3">
        <f>100*std!AF10/mean!AF10</f>
        <v>88.842345773038844</v>
      </c>
      <c r="AG10" s="3">
        <f>100*std!AG10/mean!AG10</f>
        <v>30.363071650423041</v>
      </c>
      <c r="AH10" s="3">
        <f>100*std!AH10/mean!AH10</f>
        <v>7.5788402848423191</v>
      </c>
    </row>
    <row r="11" spans="1:34" x14ac:dyDescent="0.25">
      <c r="A11" s="31" t="s">
        <v>129</v>
      </c>
      <c r="B11" s="3" t="e">
        <f>100*std!B11/mean!B11</f>
        <v>#DIV/0!</v>
      </c>
      <c r="C11" s="3">
        <f>100*std!C11/mean!C11</f>
        <v>90.023866348448678</v>
      </c>
      <c r="D11" s="3">
        <f>100*std!D11/mean!D11</f>
        <v>8.2722513089005236</v>
      </c>
      <c r="E11" s="3">
        <f>100*std!E11/mean!E11</f>
        <v>9.2572264910354924</v>
      </c>
      <c r="F11" s="3" t="e">
        <f>100*std!F11/mean!F11</f>
        <v>#DIV/0!</v>
      </c>
      <c r="G11" s="3">
        <f>100*std!G11/mean!G11</f>
        <v>53.488372093023244</v>
      </c>
      <c r="H11" s="3" t="e">
        <f>100*std!H11/mean!H11</f>
        <v>#DIV/0!</v>
      </c>
      <c r="I11" s="3">
        <f>100*std!I11/mean!I11</f>
        <v>6.4866451423539768</v>
      </c>
      <c r="J11" s="3">
        <f>100*std!J11/mean!J11</f>
        <v>92.107526881720418</v>
      </c>
      <c r="K11" s="3">
        <f>100*std!K11/mean!K11</f>
        <v>4.8042704626334523</v>
      </c>
      <c r="L11" s="3">
        <f>100*std!L11/mean!L11</f>
        <v>15.737100737100736</v>
      </c>
      <c r="M11" s="3">
        <f>100*std!M11/mean!M11</f>
        <v>31.876138433515479</v>
      </c>
      <c r="N11" s="3">
        <f>100*std!N11/mean!N11</f>
        <v>17.167798254122211</v>
      </c>
      <c r="O11" s="3">
        <f>100*std!O11/mean!O11</f>
        <v>7.5718015665796345</v>
      </c>
      <c r="P11" s="3">
        <f>100*std!P11/mean!P11</f>
        <v>9.0909090909090899</v>
      </c>
      <c r="Q11" s="3">
        <f>100*std!Q11/mean!Q11</f>
        <v>15.769944341372911</v>
      </c>
      <c r="R11" s="3">
        <f>100*std!R11/mean!R11</f>
        <v>6.7693124502256437</v>
      </c>
      <c r="S11" s="3">
        <f>100*std!S11/mean!S11</f>
        <v>19.467455621301777</v>
      </c>
      <c r="T11" s="3">
        <f>100*std!T11/mean!T11</f>
        <v>6.9591527987897122</v>
      </c>
      <c r="U11" s="3">
        <f>100*std!U11/mean!U11</f>
        <v>7.415107415107415</v>
      </c>
      <c r="V11" s="3">
        <f>100*std!V11/mean!V11</f>
        <v>17.115097159940209</v>
      </c>
      <c r="W11" s="3">
        <f>100*std!W11/mean!W11</f>
        <v>50.517904705534185</v>
      </c>
      <c r="X11" s="3">
        <f>100*std!X11/mean!X11</f>
        <v>25.83993444414094</v>
      </c>
      <c r="Y11" s="3">
        <f>100*std!Y11/mean!Y11</f>
        <v>5.9347181008902083</v>
      </c>
      <c r="Z11" s="3">
        <f>100*std!Z11/mean!Z11</f>
        <v>33.319357092941999</v>
      </c>
      <c r="AA11" s="3">
        <f>100*std!AA11/mean!AA11</f>
        <v>11.047495120364346</v>
      </c>
      <c r="AB11" s="3">
        <f>100*std!AB11/mean!AB11</f>
        <v>8.3505580818520055</v>
      </c>
      <c r="AC11" s="3">
        <f>100*std!AC11/mean!AC11</f>
        <v>51.945688689809629</v>
      </c>
      <c r="AD11" s="3">
        <f>100*std!AD11/mean!AD11</f>
        <v>40.076045627376416</v>
      </c>
      <c r="AE11" s="3">
        <f>100*std!AE11/mean!AE11</f>
        <v>9.040663245163838</v>
      </c>
      <c r="AF11" s="3" t="e">
        <f>100*std!AF11/mean!AF11</f>
        <v>#DIV/0!</v>
      </c>
      <c r="AG11" s="3">
        <f>100*std!AG11/mean!AG11</f>
        <v>68.598323282835707</v>
      </c>
      <c r="AH11" s="3">
        <f>100*std!AH11/mean!AH11</f>
        <v>9.3827160493827169</v>
      </c>
    </row>
    <row r="12" spans="1:34" x14ac:dyDescent="0.25">
      <c r="A12" s="31" t="s">
        <v>132</v>
      </c>
      <c r="B12" s="3" t="e">
        <f>100*std!B12/mean!B12</f>
        <v>#DIV/0!</v>
      </c>
      <c r="C12" s="3">
        <f>100*std!C12/mean!C12</f>
        <v>15.603973085549502</v>
      </c>
      <c r="D12" s="3">
        <f>100*std!D12/mean!D12</f>
        <v>10.237659963436927</v>
      </c>
      <c r="E12" s="3">
        <f>100*std!E12/mean!E12</f>
        <v>8.5603864734299524</v>
      </c>
      <c r="F12" s="3">
        <f>100*std!F12/mean!F12</f>
        <v>9.3307468477206594</v>
      </c>
      <c r="G12" s="3">
        <f>100*std!G12/mean!G12</f>
        <v>4.6629213483146073</v>
      </c>
      <c r="H12" s="3" t="e">
        <f>100*std!H12/mean!H12</f>
        <v>#DIV/0!</v>
      </c>
      <c r="I12" s="3">
        <f>100*std!I12/mean!I12</f>
        <v>6.5335753176043561</v>
      </c>
      <c r="J12" s="3">
        <f>100*std!J12/mean!J12</f>
        <v>9.8555211558307541</v>
      </c>
      <c r="K12" s="3">
        <f>100*std!K12/mean!K12</f>
        <v>12.489795918367347</v>
      </c>
      <c r="L12" s="3">
        <f>100*std!L12/mean!L12</f>
        <v>15.36369816451394</v>
      </c>
      <c r="M12" s="3">
        <f>100*std!M12/mean!M12</f>
        <v>32.49310752264671</v>
      </c>
      <c r="N12" s="3">
        <f>100*std!N12/mean!N12</f>
        <v>12.650437636761486</v>
      </c>
      <c r="O12" s="3">
        <f>100*std!O12/mean!O12</f>
        <v>12.956120092378754</v>
      </c>
      <c r="P12" s="3">
        <f>100*std!P12/mean!P12</f>
        <v>12.165345898479332</v>
      </c>
      <c r="Q12" s="3">
        <f>100*std!Q12/mean!Q12</f>
        <v>8.9158264415996378</v>
      </c>
      <c r="R12" s="3">
        <f>100*std!R12/mean!R12</f>
        <v>9.1434927697441601</v>
      </c>
      <c r="S12" s="3">
        <f>100*std!S12/mean!S12</f>
        <v>12.135785007072137</v>
      </c>
      <c r="T12" s="3">
        <f>100*std!T12/mean!T12</f>
        <v>7.3666384419983064</v>
      </c>
      <c r="U12" s="3">
        <f>100*std!U12/mean!U12</f>
        <v>7.5345731998092509</v>
      </c>
      <c r="V12" s="3">
        <f>100*std!V12/mean!V12</f>
        <v>12.288135593220341</v>
      </c>
      <c r="W12" s="3">
        <f>100*std!W12/mean!W12</f>
        <v>13.061465721040189</v>
      </c>
      <c r="X12" s="3">
        <f>100*std!X12/mean!X12</f>
        <v>11.229050279329609</v>
      </c>
      <c r="Y12" s="3">
        <f>100*std!Y12/mean!Y12</f>
        <v>7.5988174750903328</v>
      </c>
      <c r="Z12" s="3">
        <f>100*std!Z12/mean!Z12</f>
        <v>8.9785831960461291</v>
      </c>
      <c r="AA12" s="3">
        <f>100*std!AA12/mean!AA12</f>
        <v>14.107731769879075</v>
      </c>
      <c r="AB12" s="3">
        <f>100*std!AB12/mean!AB12</f>
        <v>9.0991810737033667</v>
      </c>
      <c r="AC12" s="3">
        <f>100*std!AC12/mean!AC12</f>
        <v>56.162790697674417</v>
      </c>
      <c r="AD12" s="3">
        <f>100*std!AD12/mean!AD12</f>
        <v>31.035218783351119</v>
      </c>
      <c r="AE12" s="3">
        <f>100*std!AE12/mean!AE12</f>
        <v>9.7278000892458731</v>
      </c>
      <c r="AF12" s="3">
        <f>100*std!AF12/mean!AF12</f>
        <v>93.938356164383563</v>
      </c>
      <c r="AG12" s="3">
        <f>100*std!AG12/mean!AG12</f>
        <v>17.247542448614837</v>
      </c>
      <c r="AH12" s="3">
        <f>100*std!AH12/mean!AH12</f>
        <v>9.3157181571815713</v>
      </c>
    </row>
    <row r="13" spans="1:34" x14ac:dyDescent="0.25">
      <c r="A13" s="32" t="s">
        <v>134</v>
      </c>
      <c r="B13" s="3" t="e">
        <f>100*std!B13/mean!B13</f>
        <v>#DIV/0!</v>
      </c>
      <c r="C13" s="3">
        <f>100*std!C13/mean!C13</f>
        <v>13.650564768084594</v>
      </c>
      <c r="D13" s="3">
        <f>100*std!D13/mean!D13</f>
        <v>8.8059344340751373</v>
      </c>
      <c r="E13" s="3">
        <f>100*std!E13/mean!E13</f>
        <v>15.782720273738239</v>
      </c>
      <c r="F13" s="3">
        <f>100*std!F13/mean!F13</f>
        <v>8.3743842364532011</v>
      </c>
      <c r="G13" s="3">
        <f>100*std!G13/mean!G13</f>
        <v>15.755627009646302</v>
      </c>
      <c r="H13" s="3" t="e">
        <f>100*std!H13/mean!H13</f>
        <v>#DIV/0!</v>
      </c>
      <c r="I13" s="3">
        <f>100*std!I13/mean!I13</f>
        <v>6.660137120470127</v>
      </c>
      <c r="J13" s="3">
        <f>100*std!J13/mean!J13</f>
        <v>9.95754534928599</v>
      </c>
      <c r="K13" s="3">
        <f>100*std!K13/mean!K13</f>
        <v>7.563764291996482</v>
      </c>
      <c r="L13" s="3">
        <f>100*std!L13/mean!L13</f>
        <v>15.792944279591163</v>
      </c>
      <c r="M13" s="3">
        <f>100*std!M13/mean!M13</f>
        <v>17.364436891704003</v>
      </c>
      <c r="N13" s="3">
        <f>100*std!N13/mean!N13</f>
        <v>20.529590046259372</v>
      </c>
      <c r="O13" s="3">
        <f>100*std!O13/mean!O13</f>
        <v>9.9588477366255148</v>
      </c>
      <c r="P13" s="3">
        <f>100*std!P13/mean!P13</f>
        <v>11.114439784301977</v>
      </c>
      <c r="Q13" s="3">
        <f>100*std!Q13/mean!Q13</f>
        <v>22.451392538097739</v>
      </c>
      <c r="R13" s="3">
        <f>100*std!R13/mean!R13</f>
        <v>7.5243163883281339</v>
      </c>
      <c r="S13" s="3">
        <f>100*std!S13/mean!S13</f>
        <v>10.831824475449995</v>
      </c>
      <c r="T13" s="3">
        <f>100*std!T13/mean!T13</f>
        <v>6.8104184457728438</v>
      </c>
      <c r="U13" s="3">
        <f>100*std!U13/mean!U13</f>
        <v>6.2331536388140156</v>
      </c>
      <c r="V13" s="3">
        <f>100*std!V13/mean!V13</f>
        <v>12.43822075782537</v>
      </c>
      <c r="W13" s="3">
        <f>100*std!W13/mean!W13</f>
        <v>22.400897531787585</v>
      </c>
      <c r="X13" s="3">
        <f>100*std!X13/mean!X13</f>
        <v>18.275538894095597</v>
      </c>
      <c r="Y13" s="3">
        <f>100*std!Y13/mean!Y13</f>
        <v>5.5423765365538067</v>
      </c>
      <c r="Z13" s="3">
        <f>100*std!Z13/mean!Z13</f>
        <v>13.436164281732019</v>
      </c>
      <c r="AA13" s="3">
        <f>100*std!AA13/mean!AA13</f>
        <v>14.380736501802236</v>
      </c>
      <c r="AB13" s="3">
        <f>100*std!AB13/mean!AB13</f>
        <v>8.9251804025826047</v>
      </c>
      <c r="AC13" s="3">
        <f>100*std!AC13/mean!AC13</f>
        <v>18.992248062015506</v>
      </c>
      <c r="AD13" s="3">
        <f>100*std!AD13/mean!AD13</f>
        <v>42.555262060336432</v>
      </c>
      <c r="AE13" s="3">
        <f>100*std!AE13/mean!AE13</f>
        <v>15.771168145838331</v>
      </c>
      <c r="AF13" s="3">
        <f>100*std!AF13/mean!AF13</f>
        <v>51.534705266829441</v>
      </c>
      <c r="AG13" s="3">
        <f>100*std!AG13/mean!AG13</f>
        <v>11.632383014555518</v>
      </c>
      <c r="AH13" s="3">
        <f>100*std!AH13/mean!AH13</f>
        <v>7.7825159914712154</v>
      </c>
    </row>
    <row r="14" spans="1:34" x14ac:dyDescent="0.25">
      <c r="A14" s="32" t="s">
        <v>136</v>
      </c>
      <c r="B14" s="3" t="e">
        <f>100*std!B14/mean!B14</f>
        <v>#DIV/0!</v>
      </c>
      <c r="C14" s="3">
        <f>100*std!C14/mean!C14</f>
        <v>15.927568366592755</v>
      </c>
      <c r="D14" s="3">
        <f>100*std!D14/mean!D14</f>
        <v>7.2409488139825218</v>
      </c>
      <c r="E14" s="3">
        <f>100*std!E14/mean!E14</f>
        <v>10.257492612916844</v>
      </c>
      <c r="F14" s="3">
        <f>100*std!F14/mean!F14</f>
        <v>16.100000000000001</v>
      </c>
      <c r="G14" s="3">
        <f>100*std!G14/mean!G14</f>
        <v>85.254691689008055</v>
      </c>
      <c r="H14" s="3" t="e">
        <f>100*std!H14/mean!H14</f>
        <v>#DIV/0!</v>
      </c>
      <c r="I14" s="3">
        <f>100*std!I14/mean!I14</f>
        <v>7.9264426125554852</v>
      </c>
      <c r="J14" s="3">
        <f>100*std!J14/mean!J14</f>
        <v>12.426229508196721</v>
      </c>
      <c r="K14" s="3">
        <f>100*std!K14/mean!K14</f>
        <v>6.6682319793378726</v>
      </c>
      <c r="L14" s="3">
        <f>100*std!L14/mean!L14</f>
        <v>8.2740213523131665</v>
      </c>
      <c r="M14" s="3">
        <f>100*std!M14/mean!M14</f>
        <v>39.740411258567889</v>
      </c>
      <c r="N14" s="3">
        <f>100*std!N14/mean!N14</f>
        <v>9.2617449664429525</v>
      </c>
      <c r="O14" s="3">
        <f>100*std!O14/mean!O14</f>
        <v>10.493125193838518</v>
      </c>
      <c r="P14" s="3">
        <f>100*std!P14/mean!P14</f>
        <v>8.891752577319588</v>
      </c>
      <c r="Q14" s="3">
        <f>100*std!Q14/mean!Q14</f>
        <v>19.988577955454026</v>
      </c>
      <c r="R14" s="3">
        <f>100*std!R14/mean!R14</f>
        <v>7.0165745856353592</v>
      </c>
      <c r="S14" s="3">
        <f>100*std!S14/mean!S14</f>
        <v>14.999999999999998</v>
      </c>
      <c r="T14" s="3">
        <f>100*std!T14/mean!T14</f>
        <v>6.7849223946784925</v>
      </c>
      <c r="U14" s="3">
        <f>100*std!U14/mean!U14</f>
        <v>10.204081632653061</v>
      </c>
      <c r="V14" s="3">
        <f>100*std!V14/mean!V14</f>
        <v>22.516556291390724</v>
      </c>
      <c r="W14" s="3">
        <f>100*std!W14/mean!W14</f>
        <v>8.9877835951134379</v>
      </c>
      <c r="X14" s="3">
        <f>100*std!X14/mean!X14</f>
        <v>15.500183217295712</v>
      </c>
      <c r="Y14" s="3">
        <f>100*std!Y14/mean!Y14</f>
        <v>5.9974747474747474</v>
      </c>
      <c r="Z14" s="3">
        <f>100*std!Z14/mean!Z14</f>
        <v>17.488076311605724</v>
      </c>
      <c r="AA14" s="3">
        <f>100*std!AA14/mean!AA14</f>
        <v>7.9188002926115573</v>
      </c>
      <c r="AB14" s="3">
        <f>100*std!AB14/mean!AB14</f>
        <v>8.1718993542640845</v>
      </c>
      <c r="AC14" s="3">
        <f>100*std!AC14/mean!AC14</f>
        <v>25.585149313962869</v>
      </c>
      <c r="AD14" s="3">
        <f>100*std!AD14/mean!AD14</f>
        <v>23.917029566811824</v>
      </c>
      <c r="AE14" s="3">
        <f>100*std!AE14/mean!AE14</f>
        <v>17.324907846234861</v>
      </c>
      <c r="AF14" s="3">
        <f>100*std!AF14/mean!AF14</f>
        <v>52.216748768472911</v>
      </c>
      <c r="AG14" s="3">
        <f>100*std!AG14/mean!AG14</f>
        <v>33.50884582982308</v>
      </c>
      <c r="AH14" s="3">
        <f>100*std!AH14/mean!AH14</f>
        <v>10.737386804657179</v>
      </c>
    </row>
    <row r="15" spans="1:34" x14ac:dyDescent="0.25">
      <c r="A15" s="32" t="s">
        <v>138</v>
      </c>
      <c r="B15" s="3" t="e">
        <f>100*std!B15/mean!B15</f>
        <v>#DIV/0!</v>
      </c>
      <c r="C15" s="3">
        <f>100*std!C15/mean!C15</f>
        <v>17.547292889758641</v>
      </c>
      <c r="D15" s="3">
        <f>100*std!D15/mean!D15</f>
        <v>13.024282560706402</v>
      </c>
      <c r="E15" s="3">
        <f>100*std!E15/mean!E15</f>
        <v>30.82437275985663</v>
      </c>
      <c r="F15" s="3">
        <f>100*std!F15/mean!F15</f>
        <v>4.8614741244119193</v>
      </c>
      <c r="G15" s="3" t="e">
        <f>100*std!G15/mean!G15</f>
        <v>#DIV/0!</v>
      </c>
      <c r="H15" s="3" t="e">
        <f>100*std!H15/mean!H15</f>
        <v>#DIV/0!</v>
      </c>
      <c r="I15" s="3">
        <f>100*std!I15/mean!I15</f>
        <v>6.9441919650972554</v>
      </c>
      <c r="J15" s="3">
        <f>100*std!J15/mean!J15</f>
        <v>14.773258532024311</v>
      </c>
      <c r="K15" s="3">
        <f>100*std!K15/mean!K15</f>
        <v>5.8234647784153335</v>
      </c>
      <c r="L15" s="3">
        <f>100*std!L15/mean!L15</f>
        <v>11.233480176211453</v>
      </c>
      <c r="M15" s="3">
        <f>100*std!M15/mean!M15</f>
        <v>31.620762711864405</v>
      </c>
      <c r="N15" s="3">
        <f>100*std!N15/mean!N15</f>
        <v>11.118170266836087</v>
      </c>
      <c r="O15" s="3">
        <f>100*std!O15/mean!O15</f>
        <v>11.65554072096128</v>
      </c>
      <c r="P15" s="3">
        <f>100*std!P15/mean!P15</f>
        <v>9.0679611650485441</v>
      </c>
      <c r="Q15" s="3">
        <f>100*std!Q15/mean!Q15</f>
        <v>28.021978021978022</v>
      </c>
      <c r="R15" s="3">
        <f>100*std!R15/mean!R15</f>
        <v>6.9578662543486667</v>
      </c>
      <c r="S15" s="3">
        <f>100*std!S15/mean!S15</f>
        <v>12.46627091203454</v>
      </c>
      <c r="T15" s="3">
        <f>100*std!T15/mean!T15</f>
        <v>7.3011077542799594</v>
      </c>
      <c r="U15" s="3">
        <f>100*std!U15/mean!U15</f>
        <v>7.5958886939082477</v>
      </c>
      <c r="V15" s="3">
        <f>100*std!V15/mean!V15</f>
        <v>10.290556900726394</v>
      </c>
      <c r="W15" s="3">
        <f>100*std!W15/mean!W15</f>
        <v>9.5881991395205901</v>
      </c>
      <c r="X15" s="3">
        <f>100*std!X15/mean!X15</f>
        <v>15.432525951557093</v>
      </c>
      <c r="Y15" s="3">
        <f>100*std!Y15/mean!Y15</f>
        <v>6.0234680573663626</v>
      </c>
      <c r="Z15" s="3">
        <f>100*std!Z15/mean!Z15</f>
        <v>19.839142091152816</v>
      </c>
      <c r="AA15" s="3">
        <f>100*std!AA15/mean!AA15</f>
        <v>12.468178662346679</v>
      </c>
      <c r="AB15" s="3">
        <f>100*std!AB15/mean!AB15</f>
        <v>7.8549848942598191</v>
      </c>
      <c r="AC15" s="3">
        <f>100*std!AC15/mean!AC15</f>
        <v>39.306214125280754</v>
      </c>
      <c r="AD15" s="3">
        <f>100*std!AD15/mean!AD15</f>
        <v>37.881915772089187</v>
      </c>
      <c r="AE15" s="3">
        <f>100*std!AE15/mean!AE15</f>
        <v>18.267794922847187</v>
      </c>
      <c r="AF15" s="3">
        <f>100*std!AF15/mean!AF15</f>
        <v>63.463930348258714</v>
      </c>
      <c r="AG15" s="3">
        <f>100*std!AG15/mean!AG15</f>
        <v>22.070015220700149</v>
      </c>
      <c r="AH15" s="3">
        <f>100*std!AH15/mean!AH15</f>
        <v>7.8205516823279773</v>
      </c>
    </row>
    <row r="16" spans="1:34" x14ac:dyDescent="0.25">
      <c r="A16" s="32" t="s">
        <v>141</v>
      </c>
      <c r="B16" s="3" t="e">
        <f>100*std!B16/mean!B16</f>
        <v>#DIV/0!</v>
      </c>
      <c r="C16" s="3">
        <f>100*std!C16/mean!C16</f>
        <v>44.814340588988486</v>
      </c>
      <c r="D16" s="3">
        <f>100*std!D16/mean!D16</f>
        <v>28.190158465387825</v>
      </c>
      <c r="E16" s="3">
        <f>100*std!E16/mean!E16</f>
        <v>85.745614035087726</v>
      </c>
      <c r="F16" s="3">
        <f>100*std!F16/mean!F16</f>
        <v>2.6290165530671858</v>
      </c>
      <c r="G16" s="3" t="e">
        <f>100*std!G16/mean!G16</f>
        <v>#DIV/0!</v>
      </c>
      <c r="H16" s="3" t="e">
        <f>100*std!H16/mean!H16</f>
        <v>#DIV/0!</v>
      </c>
      <c r="I16" s="3">
        <f>100*std!I16/mean!I16</f>
        <v>57.643451598773552</v>
      </c>
      <c r="J16" s="3">
        <f>100*std!J16/mean!J16</f>
        <v>64.108126147171703</v>
      </c>
      <c r="K16" s="3">
        <f>100*std!K16/mean!K16</f>
        <v>30.121102808554493</v>
      </c>
      <c r="L16" s="3">
        <f>100*std!L16/mean!L16</f>
        <v>106.67701863354037</v>
      </c>
      <c r="M16" s="3">
        <f>100*std!M16/mean!M16</f>
        <v>148.708372237784</v>
      </c>
      <c r="N16" s="3" t="e">
        <f>100*std!N16/mean!N16</f>
        <v>#DIV/0!</v>
      </c>
      <c r="O16" s="3">
        <f>100*std!O16/mean!O16</f>
        <v>25.758282781147926</v>
      </c>
      <c r="P16" s="3">
        <f>100*std!P16/mean!P16</f>
        <v>15.14388489208633</v>
      </c>
      <c r="Q16" s="3" t="e">
        <f>100*std!Q16/mean!Q16</f>
        <v>#DIV/0!</v>
      </c>
      <c r="R16" s="3">
        <f>100*std!R16/mean!R16</f>
        <v>7.5265884919552768</v>
      </c>
      <c r="S16" s="3">
        <f>100*std!S16/mean!S16</f>
        <v>76.124567474048433</v>
      </c>
      <c r="T16" s="3">
        <f>100*std!T16/mean!T16</f>
        <v>8.231458842705786</v>
      </c>
      <c r="U16" s="3">
        <f>100*std!U16/mean!U16</f>
        <v>13.047195622435021</v>
      </c>
      <c r="V16" s="3">
        <f>100*std!V16/mean!V16</f>
        <v>11.553907939450108</v>
      </c>
      <c r="W16" s="3">
        <f>100*std!W16/mean!W16</f>
        <v>112.73466459404521</v>
      </c>
      <c r="X16" s="3">
        <f>100*std!X16/mean!X16</f>
        <v>35.226264418811006</v>
      </c>
      <c r="Y16" s="3">
        <f>100*std!Y16/mean!Y16</f>
        <v>7.2463768115942031</v>
      </c>
      <c r="Z16" s="3">
        <f>100*std!Z16/mean!Z16</f>
        <v>145.99775924312212</v>
      </c>
      <c r="AA16" s="3">
        <f>100*std!AA16/mean!AA16</f>
        <v>16.240382615928464</v>
      </c>
      <c r="AB16" s="3">
        <f>100*std!AB16/mean!AB16</f>
        <v>9.5643939393939394</v>
      </c>
      <c r="AC16" s="3">
        <f>100*std!AC16/mean!AC16</f>
        <v>136.58359545124605</v>
      </c>
      <c r="AD16" s="3">
        <f>100*std!AD16/mean!AD16</f>
        <v>28.938775510204078</v>
      </c>
      <c r="AE16" s="3">
        <f>100*std!AE16/mean!AE16</f>
        <v>154.76482617586913</v>
      </c>
      <c r="AF16" s="3" t="e">
        <f>100*std!AF16/mean!AF16</f>
        <v>#DIV/0!</v>
      </c>
      <c r="AG16" s="3" t="e">
        <f>100*std!AG16/mean!AG16</f>
        <v>#DIV/0!</v>
      </c>
      <c r="AH16" s="3">
        <f>100*std!AH16/mean!AH16</f>
        <v>9.3639575971731439</v>
      </c>
    </row>
    <row r="17" spans="1:34" x14ac:dyDescent="0.25">
      <c r="A17" s="16" t="s">
        <v>144</v>
      </c>
      <c r="B17" s="3" t="e">
        <f>100*std!B17/mean!B17</f>
        <v>#DIV/0!</v>
      </c>
      <c r="C17" s="3">
        <f>100*std!C17/mean!C17</f>
        <v>7.8275862068965507</v>
      </c>
      <c r="D17" s="3">
        <f>100*std!D17/mean!D17</f>
        <v>8.8431590656284751</v>
      </c>
      <c r="E17" s="3">
        <f>100*std!E17/mean!E17</f>
        <v>27.161904761904761</v>
      </c>
      <c r="F17" s="3">
        <f>100*std!F17/mean!F17</f>
        <v>5.47566371681416</v>
      </c>
      <c r="G17" s="3">
        <f>100*std!G17/mean!G17</f>
        <v>35.885788449059056</v>
      </c>
      <c r="H17" s="3" t="e">
        <f>100*std!H17/mean!H17</f>
        <v>#DIV/0!</v>
      </c>
      <c r="I17" s="3">
        <f>100*std!I17/mean!I17</f>
        <v>5.8515283842794759</v>
      </c>
      <c r="J17" s="3">
        <f>100*std!J17/mean!J17</f>
        <v>14.268142681426816</v>
      </c>
      <c r="K17" s="3">
        <f>100*std!K17/mean!K17</f>
        <v>3.587326525268395</v>
      </c>
      <c r="L17" s="3">
        <f>100*std!L17/mean!L17</f>
        <v>241.03040910085321</v>
      </c>
      <c r="M17" s="3">
        <f>100*std!M17/mean!M17</f>
        <v>26.936879881781717</v>
      </c>
      <c r="N17" s="3">
        <f>100*std!N17/mean!N17</f>
        <v>12.721417069243156</v>
      </c>
      <c r="O17" s="3">
        <f>100*std!O17/mean!O17</f>
        <v>10.370143774854697</v>
      </c>
      <c r="P17" s="3">
        <f>100*std!P17/mean!P17</f>
        <v>10.135135135135135</v>
      </c>
      <c r="Q17" s="3">
        <f>100*std!Q17/mean!Q17</f>
        <v>35.13031855647138</v>
      </c>
      <c r="R17" s="3">
        <f>100*std!R17/mean!R17</f>
        <v>5.6209150326797381</v>
      </c>
      <c r="S17" s="3">
        <f>100*std!S17/mean!S17</f>
        <v>12.361568392696796</v>
      </c>
      <c r="T17" s="3">
        <f>100*std!T17/mean!T17</f>
        <v>5.4993678887484201</v>
      </c>
      <c r="U17" s="3">
        <f>100*std!U17/mean!U17</f>
        <v>8.9368258859784291</v>
      </c>
      <c r="V17" s="3">
        <f>100*std!V17/mean!V17</f>
        <v>9.9589923842999415</v>
      </c>
      <c r="W17" s="3">
        <f>100*std!W17/mean!W17</f>
        <v>14.569536423841061</v>
      </c>
      <c r="X17" s="3">
        <f>100*std!X17/mean!X17</f>
        <v>22.871046228710465</v>
      </c>
      <c r="Y17" s="3">
        <f>100*std!Y17/mean!Y17</f>
        <v>6.3618290258449308</v>
      </c>
      <c r="Z17" s="3">
        <f>100*std!Z17/mean!Z17</f>
        <v>14.135864135864137</v>
      </c>
      <c r="AA17" s="3">
        <f>100*std!AA17/mean!AA17</f>
        <v>5.7612353989309044</v>
      </c>
      <c r="AB17" s="3">
        <f>100*std!AB17/mean!AB17</f>
        <v>6.8965517241379306</v>
      </c>
      <c r="AC17" s="3">
        <f>100*std!AC17/mean!AC17</f>
        <v>11.218568665377177</v>
      </c>
      <c r="AD17" s="3" t="e">
        <f>100*std!AD17/mean!AD17</f>
        <v>#DIV/0!</v>
      </c>
      <c r="AE17" s="3">
        <f>100*std!AE17/mean!AE17</f>
        <v>3.8823972860912175</v>
      </c>
      <c r="AF17" s="3" t="e">
        <f>100*std!AF17/mean!AF17</f>
        <v>#DIV/0!</v>
      </c>
      <c r="AG17" s="3">
        <f>100*std!AG17/mean!AG17</f>
        <v>27.067484662576689</v>
      </c>
      <c r="AH17" s="3">
        <f>100*std!AH17/mean!AH17</f>
        <v>7.9198473282442761</v>
      </c>
    </row>
    <row r="18" spans="1:34" x14ac:dyDescent="0.25">
      <c r="A18" s="16" t="s">
        <v>146</v>
      </c>
      <c r="B18" s="3" t="e">
        <f>100*std!B18/mean!B18</f>
        <v>#DIV/0!</v>
      </c>
      <c r="C18" s="3">
        <f>100*std!C18/mean!C18</f>
        <v>16.711711711711715</v>
      </c>
      <c r="D18" s="3">
        <f>100*std!D18/mean!D18</f>
        <v>10.84156933213537</v>
      </c>
      <c r="E18" s="3">
        <f>100*std!E18/mean!E18</f>
        <v>7.6425631981187534</v>
      </c>
      <c r="F18" s="3">
        <f>100*std!F18/mean!F18</f>
        <v>9.5419847328244281</v>
      </c>
      <c r="G18" s="3">
        <f>100*std!G18/mean!G18</f>
        <v>9.589041095890412</v>
      </c>
      <c r="H18" s="3" t="e">
        <f>100*std!H18/mean!H18</f>
        <v>#DIV/0!</v>
      </c>
      <c r="I18" s="3">
        <f>100*std!I18/mean!I18</f>
        <v>6.3808738664468256</v>
      </c>
      <c r="J18" s="3">
        <f>100*std!J18/mean!J18</f>
        <v>93.786302850195852</v>
      </c>
      <c r="K18" s="3">
        <f>100*std!K18/mean!K18</f>
        <v>10.515463917525773</v>
      </c>
      <c r="L18" s="3">
        <f>100*std!L18/mean!L18</f>
        <v>16.941391941391938</v>
      </c>
      <c r="M18" s="3">
        <f>100*std!M18/mean!M18</f>
        <v>35.83309016632623</v>
      </c>
      <c r="N18" s="3">
        <f>100*std!N18/mean!N18</f>
        <v>9.5290251916757942</v>
      </c>
      <c r="O18" s="3">
        <f>100*std!O18/mean!O18</f>
        <v>13.983840894965818</v>
      </c>
      <c r="P18" s="3">
        <f>100*std!P18/mean!P18</f>
        <v>11.215462093371444</v>
      </c>
      <c r="Q18" s="3">
        <f>100*std!Q18/mean!Q18</f>
        <v>5.9390329362298537</v>
      </c>
      <c r="R18" s="3">
        <f>100*std!R18/mean!R18</f>
        <v>7.1386079714455679</v>
      </c>
      <c r="S18" s="3">
        <f>100*std!S18/mean!S18</f>
        <v>24.408875954892682</v>
      </c>
      <c r="T18" s="3">
        <f>100*std!T18/mean!T18</f>
        <v>7.3261782547830148</v>
      </c>
      <c r="U18" s="3">
        <f>100*std!U18/mean!U18</f>
        <v>10.051774213915898</v>
      </c>
      <c r="V18" s="3">
        <f>100*std!V18/mean!V18</f>
        <v>37.269149258250067</v>
      </c>
      <c r="W18" s="3">
        <f>100*std!W18/mean!W18</f>
        <v>8.1914404049700877</v>
      </c>
      <c r="X18" s="3">
        <f>100*std!X18/mean!X18</f>
        <v>8.7102610493667623</v>
      </c>
      <c r="Y18" s="3">
        <f>100*std!Y18/mean!Y18</f>
        <v>6.1610240459385093</v>
      </c>
      <c r="Z18" s="3">
        <f>100*std!Z18/mean!Z18</f>
        <v>24.271844660194173</v>
      </c>
      <c r="AA18" s="3">
        <f>100*std!AA18/mean!AA18</f>
        <v>3.9797089196207502</v>
      </c>
      <c r="AB18" s="3">
        <f>100*std!AB18/mean!AB18</f>
        <v>10.492107706592387</v>
      </c>
      <c r="AC18" s="3">
        <f>100*std!AC18/mean!AC18</f>
        <v>23.835616438356162</v>
      </c>
      <c r="AD18" s="3">
        <f>100*std!AD18/mean!AD18</f>
        <v>34.534827082318557</v>
      </c>
      <c r="AE18" s="3">
        <f>100*std!AE18/mean!AE18</f>
        <v>4.3325526932084317</v>
      </c>
      <c r="AF18" s="3" t="e">
        <f>100*std!AF18/mean!AF18</f>
        <v>#DIV/0!</v>
      </c>
      <c r="AG18" s="3">
        <f>100*std!AG18/mean!AG18</f>
        <v>16.636690647482013</v>
      </c>
      <c r="AH18" s="3">
        <f>100*std!AH18/mean!AH18</f>
        <v>10.742496050552923</v>
      </c>
    </row>
    <row r="19" spans="1:34" x14ac:dyDescent="0.25">
      <c r="A19" s="16" t="s">
        <v>149</v>
      </c>
      <c r="B19" s="3" t="e">
        <f>100*std!B19/mean!B19</f>
        <v>#DIV/0!</v>
      </c>
      <c r="C19" s="3">
        <f>100*std!C19/mean!C19</f>
        <v>11.625615763546799</v>
      </c>
      <c r="D19" s="3">
        <f>100*std!D19/mean!D19</f>
        <v>6.4494382022471912</v>
      </c>
      <c r="E19" s="3">
        <f>100*std!E19/mean!E19</f>
        <v>17.427678661425261</v>
      </c>
      <c r="F19" s="3">
        <f>100*std!F19/mean!F19</f>
        <v>29.591836734693871</v>
      </c>
      <c r="G19" s="3">
        <f>100*std!G19/mean!G19</f>
        <v>8.669046404895461</v>
      </c>
      <c r="H19" s="3" t="e">
        <f>100*std!H19/mean!H19</f>
        <v>#DIV/0!</v>
      </c>
      <c r="I19" s="3">
        <f>100*std!I19/mean!I19</f>
        <v>6.7804024496937885</v>
      </c>
      <c r="J19" s="3">
        <f>100*std!J19/mean!J19</f>
        <v>13.412847876124713</v>
      </c>
      <c r="K19" s="3">
        <f>100*std!K19/mean!K19</f>
        <v>3.8432267884322679</v>
      </c>
      <c r="L19" s="3">
        <f>100*std!L19/mean!L19</f>
        <v>24.045368620037806</v>
      </c>
      <c r="M19" s="3">
        <f>100*std!M19/mean!M19</f>
        <v>24.474419735083245</v>
      </c>
      <c r="N19" s="3">
        <f>100*std!N19/mean!N19</f>
        <v>13.821138211382115</v>
      </c>
      <c r="O19" s="3">
        <f>100*std!O19/mean!O19</f>
        <v>18.336886993603411</v>
      </c>
      <c r="P19" s="3">
        <f>100*std!P19/mean!P19</f>
        <v>9.1558731576596699</v>
      </c>
      <c r="Q19" s="3">
        <f>100*std!Q19/mean!Q19</f>
        <v>39.126213592233015</v>
      </c>
      <c r="R19" s="3">
        <f>100*std!R19/mean!R19</f>
        <v>4.7090352220520675</v>
      </c>
      <c r="S19" s="3">
        <f>100*std!S19/mean!S19</f>
        <v>11.949685534591195</v>
      </c>
      <c r="T19" s="3">
        <f>100*std!T19/mean!T19</f>
        <v>6.5846153846153843</v>
      </c>
      <c r="U19" s="3">
        <f>100*std!U19/mean!U19</f>
        <v>6.9571676157464717</v>
      </c>
      <c r="V19" s="3">
        <f>100*std!V19/mean!V19</f>
        <v>10.96576676871695</v>
      </c>
      <c r="W19" s="3">
        <f>100*std!W19/mean!W19</f>
        <v>14.479874542603239</v>
      </c>
      <c r="X19" s="3">
        <f>100*std!X19/mean!X19</f>
        <v>19.093286835222319</v>
      </c>
      <c r="Y19" s="3">
        <f>100*std!Y19/mean!Y19</f>
        <v>5.4273504273504276</v>
      </c>
      <c r="Z19" s="3">
        <f>100*std!Z19/mean!Z19</f>
        <v>14.102873702004345</v>
      </c>
      <c r="AA19" s="3">
        <f>100*std!AA19/mean!AA19</f>
        <v>6.1678463094034379</v>
      </c>
      <c r="AB19" s="3">
        <f>100*std!AB19/mean!AB19</f>
        <v>6.967351060249074</v>
      </c>
      <c r="AC19" s="3">
        <f>100*std!AC19/mean!AC19</f>
        <v>2.8448275862068968</v>
      </c>
      <c r="AD19" s="3">
        <f>100*std!AD19/mean!AD19</f>
        <v>21.582181259600617</v>
      </c>
      <c r="AE19" s="3">
        <f>100*std!AE19/mean!AE19</f>
        <v>4.7680650526704857</v>
      </c>
      <c r="AF19" s="3">
        <f>100*std!AF19/mean!AF19</f>
        <v>12.211538461538462</v>
      </c>
      <c r="AG19" s="3">
        <f>100*std!AG19/mean!AG19</f>
        <v>34.122058443237648</v>
      </c>
      <c r="AH19" s="3">
        <f>100*std!AH19/mean!AH19</f>
        <v>7.6103500761035008</v>
      </c>
    </row>
    <row r="20" spans="1:34" x14ac:dyDescent="0.25">
      <c r="A20" s="16" t="s">
        <v>150</v>
      </c>
      <c r="B20" s="3" t="e">
        <f>100*std!B20/mean!B20</f>
        <v>#DIV/0!</v>
      </c>
      <c r="C20" s="3">
        <f>100*std!C20/mean!C20</f>
        <v>54.764397905759161</v>
      </c>
      <c r="D20" s="3">
        <f>100*std!D20/mean!D20</f>
        <v>9.8039215686274499</v>
      </c>
      <c r="E20" s="3">
        <f>100*std!E20/mean!E20</f>
        <v>26.865671641791042</v>
      </c>
      <c r="F20" s="3">
        <f>100*std!F20/mean!F20</f>
        <v>6.1946902654867246</v>
      </c>
      <c r="G20" s="3">
        <f>100*std!G20/mean!G20</f>
        <v>35.299714557564222</v>
      </c>
      <c r="H20" s="3" t="e">
        <f>100*std!H20/mean!H20</f>
        <v>#DIV/0!</v>
      </c>
      <c r="I20" s="3">
        <f>100*std!I20/mean!I20</f>
        <v>7.6103714085494047</v>
      </c>
      <c r="J20" s="3">
        <f>100*std!J20/mean!J20</f>
        <v>14.891494138189074</v>
      </c>
      <c r="K20" s="3">
        <f>100*std!K20/mean!K20</f>
        <v>3.11216429699842</v>
      </c>
      <c r="L20" s="3">
        <f>100*std!L20/mean!L20</f>
        <v>69.862565445026178</v>
      </c>
      <c r="M20" s="3">
        <f>100*std!M20/mean!M20</f>
        <v>35.096497498213012</v>
      </c>
      <c r="N20" s="3">
        <f>100*std!N20/mean!N20</f>
        <v>9.375</v>
      </c>
      <c r="O20" s="3">
        <f>100*std!O20/mean!O20</f>
        <v>14.756566839551613</v>
      </c>
      <c r="P20" s="3">
        <f>100*std!P20/mean!P20</f>
        <v>11.120167675826737</v>
      </c>
      <c r="Q20" s="3">
        <f>100*std!Q20/mean!Q20</f>
        <v>15.204888569374551</v>
      </c>
      <c r="R20" s="3">
        <f>100*std!R20/mean!R20</f>
        <v>7.2080200501253131</v>
      </c>
      <c r="S20" s="3">
        <f>100*std!S20/mean!S20</f>
        <v>20.147420147420146</v>
      </c>
      <c r="T20" s="3">
        <f>100*std!T20/mean!T20</f>
        <v>8.4643693542990963</v>
      </c>
      <c r="U20" s="3">
        <f>100*std!U20/mean!U20</f>
        <v>11.033428009613283</v>
      </c>
      <c r="V20" s="3">
        <f>100*std!V20/mean!V20</f>
        <v>16.1920260374288</v>
      </c>
      <c r="W20" s="3">
        <f>100*std!W20/mean!W20</f>
        <v>29.406743491250531</v>
      </c>
      <c r="X20" s="3">
        <f>100*std!X20/mean!X20</f>
        <v>12.835249042145593</v>
      </c>
      <c r="Y20" s="3">
        <f>100*std!Y20/mean!Y20</f>
        <v>7.25</v>
      </c>
      <c r="Z20" s="3">
        <f>100*std!Z20/mean!Z20</f>
        <v>23.023136246786631</v>
      </c>
      <c r="AA20" s="3">
        <f>100*std!AA20/mean!AA20</f>
        <v>4.9912280701754375</v>
      </c>
      <c r="AB20" s="3">
        <f>100*std!AB20/mean!AB20</f>
        <v>7.1548351034097264</v>
      </c>
      <c r="AC20" s="3">
        <f>100*std!AC20/mean!AC20</f>
        <v>40.116703136396779</v>
      </c>
      <c r="AD20" s="3">
        <f>100*std!AD20/mean!AD20</f>
        <v>10.189573459715641</v>
      </c>
      <c r="AE20" s="3">
        <f>100*std!AE20/mean!AE20</f>
        <v>7.9452054794520546</v>
      </c>
      <c r="AF20" s="3" t="e">
        <f>100*std!AF20/mean!AF20</f>
        <v>#DIV/0!</v>
      </c>
      <c r="AG20" s="3">
        <f>100*std!AG20/mean!AG20</f>
        <v>15.671641791044777</v>
      </c>
      <c r="AH20" s="3">
        <f>100*std!AH20/mean!AH20</f>
        <v>10.961420698101655</v>
      </c>
    </row>
    <row r="21" spans="1:34" x14ac:dyDescent="0.25">
      <c r="A21" s="33" t="s">
        <v>151</v>
      </c>
      <c r="B21" s="3" t="e">
        <f>100*std!B21/mean!B21</f>
        <v>#DIV/0!</v>
      </c>
      <c r="C21" s="3">
        <f>100*std!C21/mean!C21</f>
        <v>104.33772269558483</v>
      </c>
      <c r="D21" s="3">
        <f>100*std!D21/mean!D21</f>
        <v>9.7588978185993103</v>
      </c>
      <c r="E21" s="3">
        <f>100*std!E21/mean!E21</f>
        <v>8.7394281111558598</v>
      </c>
      <c r="F21" s="3">
        <f>100*std!F21/mean!F21</f>
        <v>34.421364985163201</v>
      </c>
      <c r="G21" s="3">
        <f>100*std!G21/mean!G21</f>
        <v>100</v>
      </c>
      <c r="H21" s="3" t="e">
        <f>100*std!H21/mean!H21</f>
        <v>#DIV/0!</v>
      </c>
      <c r="I21" s="3">
        <f>100*std!I21/mean!I21</f>
        <v>5.9712027103331451</v>
      </c>
      <c r="J21" s="3">
        <f>100*std!J21/mean!J21</f>
        <v>119.86499517839925</v>
      </c>
      <c r="K21" s="3">
        <f>100*std!K21/mean!K21</f>
        <v>6.7081251911509838</v>
      </c>
      <c r="L21" s="3">
        <f>100*std!L21/mean!L21</f>
        <v>15.833019932305382</v>
      </c>
      <c r="M21" s="3">
        <f>100*std!M21/mean!M21</f>
        <v>24.687252573238325</v>
      </c>
      <c r="N21" s="3">
        <f>100*std!N21/mean!N21</f>
        <v>19.759903961584637</v>
      </c>
      <c r="O21" s="3">
        <f>100*std!O21/mean!O21</f>
        <v>7.3236889692585896</v>
      </c>
      <c r="P21" s="3">
        <f>100*std!P21/mean!P21</f>
        <v>9.6338088141366836</v>
      </c>
      <c r="Q21" s="3">
        <f>100*std!Q21/mean!Q21</f>
        <v>29.407216494845365</v>
      </c>
      <c r="R21" s="3">
        <f>100*std!R21/mean!R21</f>
        <v>6.9725711356062545</v>
      </c>
      <c r="S21" s="3" t="e">
        <f>100*std!S21/mean!S21</f>
        <v>#DIV/0!</v>
      </c>
      <c r="T21" s="3">
        <f>100*std!T21/mean!T21</f>
        <v>5.9624108878807514</v>
      </c>
      <c r="U21" s="3">
        <f>100*std!U21/mean!U21</f>
        <v>7.923169267707082</v>
      </c>
      <c r="V21" s="3">
        <f>100*std!V21/mean!V21</f>
        <v>8.2937726891929628</v>
      </c>
      <c r="W21" s="3">
        <f>100*std!W21/mean!W21</f>
        <v>17.957079739112139</v>
      </c>
      <c r="X21" s="3">
        <f>100*std!X21/mean!X21</f>
        <v>11.311450146401603</v>
      </c>
      <c r="Y21" s="3">
        <f>100*std!Y21/mean!Y21</f>
        <v>6.4439140811455848</v>
      </c>
      <c r="Z21" s="3">
        <f>100*std!Z21/mean!Z21</f>
        <v>54.128152906156977</v>
      </c>
      <c r="AA21" s="3">
        <f>100*std!AA21/mean!AA21</f>
        <v>8.7649402390438258</v>
      </c>
      <c r="AB21" s="3">
        <f>100*std!AB21/mean!AB21</f>
        <v>7.8670593184686579</v>
      </c>
      <c r="AC21" s="3">
        <f>100*std!AC21/mean!AC21</f>
        <v>47.095010252904984</v>
      </c>
      <c r="AD21" s="3">
        <f>100*std!AD21/mean!AD21</f>
        <v>52.441564452672992</v>
      </c>
      <c r="AE21" s="3">
        <f>100*std!AE21/mean!AE21</f>
        <v>11.285714285714286</v>
      </c>
      <c r="AF21" s="3" t="e">
        <f>100*std!AF21/mean!AF21</f>
        <v>#DIV/0!</v>
      </c>
      <c r="AG21" s="3">
        <f>100*std!AG21/mean!AG21</f>
        <v>41.159934901612665</v>
      </c>
      <c r="AH21" s="3">
        <f>100*std!AH21/mean!AH21</f>
        <v>7.2751322751322753</v>
      </c>
    </row>
    <row r="22" spans="1:34" x14ac:dyDescent="0.25">
      <c r="A22" s="33" t="s">
        <v>153</v>
      </c>
      <c r="B22" s="3" t="e">
        <f>100*std!B22/mean!B22</f>
        <v>#DIV/0!</v>
      </c>
      <c r="C22" s="3">
        <f>100*std!C22/mean!C22</f>
        <v>18.941504178272979</v>
      </c>
      <c r="D22" s="3">
        <f>100*std!D22/mean!D22</f>
        <v>8.997010057080729</v>
      </c>
      <c r="E22" s="3">
        <f>100*std!E22/mean!E22</f>
        <v>62.267206477732792</v>
      </c>
      <c r="F22" s="3">
        <f>100*std!F22/mean!F22</f>
        <v>19.341563786008233</v>
      </c>
      <c r="G22" s="3">
        <f>100*std!G22/mean!G22</f>
        <v>45.652173913043484</v>
      </c>
      <c r="H22" s="3" t="e">
        <f>100*std!H22/mean!H22</f>
        <v>#DIV/0!</v>
      </c>
      <c r="I22" s="3">
        <f>100*std!I22/mean!I22</f>
        <v>5.6866303690260134</v>
      </c>
      <c r="J22" s="3">
        <f>100*std!J22/mean!J22</f>
        <v>12.273800157356412</v>
      </c>
      <c r="K22" s="3">
        <f>100*std!K22/mean!K22</f>
        <v>6.3382832307135093</v>
      </c>
      <c r="L22" s="3">
        <f>100*std!L22/mean!L22</f>
        <v>43.648251934881245</v>
      </c>
      <c r="M22" s="3">
        <f>100*std!M22/mean!M22</f>
        <v>43.538719731479254</v>
      </c>
      <c r="N22" s="3">
        <f>100*std!N22/mean!N22</f>
        <v>20.359897172236504</v>
      </c>
      <c r="O22" s="3">
        <f>100*std!O22/mean!O22</f>
        <v>9.2566467715680947</v>
      </c>
      <c r="P22" s="3">
        <f>100*std!P22/mean!P22</f>
        <v>16.173762322608603</v>
      </c>
      <c r="Q22" s="3">
        <f>100*std!Q22/mean!Q22</f>
        <v>10.384300899427636</v>
      </c>
      <c r="R22" s="3">
        <f>100*std!R22/mean!R22</f>
        <v>6.9044352994970275</v>
      </c>
      <c r="S22" s="3">
        <f>100*std!S22/mean!S22</f>
        <v>31.350114416475968</v>
      </c>
      <c r="T22" s="3">
        <f>100*std!T22/mean!T22</f>
        <v>6.178861788617886</v>
      </c>
      <c r="U22" s="3">
        <f>100*std!U22/mean!U22</f>
        <v>10.236447520184544</v>
      </c>
      <c r="V22" s="3">
        <f>100*std!V22/mean!V22</f>
        <v>9.6025325360534648</v>
      </c>
      <c r="W22" s="3">
        <f>100*std!W22/mean!W22</f>
        <v>10.258868648130393</v>
      </c>
      <c r="X22" s="3">
        <f>100*std!X22/mean!X22</f>
        <v>23.921028466483012</v>
      </c>
      <c r="Y22" s="3">
        <f>100*std!Y22/mean!Y22</f>
        <v>5.1790059089329166</v>
      </c>
      <c r="Z22" s="3">
        <f>100*std!Z22/mean!Z22</f>
        <v>12.244897959183675</v>
      </c>
      <c r="AA22" s="3">
        <f>100*std!AA22/mean!AA22</f>
        <v>12.137978732601363</v>
      </c>
      <c r="AB22" s="3">
        <f>100*std!AB22/mean!AB22</f>
        <v>7.3549257759784075</v>
      </c>
      <c r="AC22" s="3">
        <f>100*std!AC22/mean!AC22</f>
        <v>23.607647547797175</v>
      </c>
      <c r="AD22" s="3">
        <f>100*std!AD22/mean!AD22</f>
        <v>11.641541038525965</v>
      </c>
      <c r="AE22" s="3">
        <f>100*std!AE22/mean!AE22</f>
        <v>12.842067608656771</v>
      </c>
      <c r="AF22" s="3">
        <f>100*std!AF22/mean!AF22</f>
        <v>84.246800131276672</v>
      </c>
      <c r="AG22" s="3">
        <f>100*std!AG22/mean!AG22</f>
        <v>51.17384013415316</v>
      </c>
      <c r="AH22" s="3">
        <f>100*std!AH22/mean!AH22</f>
        <v>8.6757990867579906</v>
      </c>
    </row>
    <row r="23" spans="1:34" x14ac:dyDescent="0.25">
      <c r="A23" s="33" t="s">
        <v>154</v>
      </c>
      <c r="B23" s="3" t="e">
        <f>100*std!B23/mean!B23</f>
        <v>#DIV/0!</v>
      </c>
      <c r="C23" s="3">
        <f>100*std!C23/mean!C23</f>
        <v>18.516209476309228</v>
      </c>
      <c r="D23" s="3">
        <f>100*std!D23/mean!D23</f>
        <v>9.1377533493644805</v>
      </c>
      <c r="E23" s="3">
        <f>100*std!E23/mean!E23</f>
        <v>37.861152950842126</v>
      </c>
      <c r="F23" s="3" t="e">
        <f>100*std!F23/mean!F23</f>
        <v>#DIV/0!</v>
      </c>
      <c r="G23" s="3">
        <f>100*std!G23/mean!G23</f>
        <v>37.423312883435585</v>
      </c>
      <c r="H23" s="3" t="e">
        <f>100*std!H23/mean!H23</f>
        <v>#DIV/0!</v>
      </c>
      <c r="I23" s="3">
        <f>100*std!I23/mean!I23</f>
        <v>5.7439446366782008</v>
      </c>
      <c r="J23" s="3">
        <f>100*std!J23/mean!J23</f>
        <v>17.779824965453706</v>
      </c>
      <c r="K23" s="3">
        <f>100*std!K23/mean!K23</f>
        <v>22.893528802013922</v>
      </c>
      <c r="L23" s="3">
        <f>100*std!L23/mean!L23</f>
        <v>19.62512015379686</v>
      </c>
      <c r="M23" s="3">
        <f>100*std!M23/mean!M23</f>
        <v>34.356351236146629</v>
      </c>
      <c r="N23" s="3" t="e">
        <f>100*std!N23/mean!N23</f>
        <v>#DIV/0!</v>
      </c>
      <c r="O23" s="3">
        <f>100*std!O23/mean!O23</f>
        <v>13.674954517889629</v>
      </c>
      <c r="P23" s="3">
        <f>100*std!P23/mean!P23</f>
        <v>9.052491103202847</v>
      </c>
      <c r="Q23" s="3">
        <f>100*std!Q23/mean!Q23</f>
        <v>7.6973255055446828</v>
      </c>
      <c r="R23" s="3">
        <f>100*std!R23/mean!R23</f>
        <v>8.3555191480647135</v>
      </c>
      <c r="S23" s="3">
        <f>100*std!S23/mean!S23</f>
        <v>22.763891757901263</v>
      </c>
      <c r="T23" s="3">
        <f>100*std!T23/mean!T23</f>
        <v>6.7472589260612876</v>
      </c>
      <c r="U23" s="3">
        <f>100*std!U23/mean!U23</f>
        <v>7.5994318181818175</v>
      </c>
      <c r="V23" s="3">
        <f>100*std!V23/mean!V23</f>
        <v>11.974977658623772</v>
      </c>
      <c r="W23" s="3">
        <f>100*std!W23/mean!W23</f>
        <v>41.983122362869196</v>
      </c>
      <c r="X23" s="3">
        <f>100*std!X23/mean!X23</f>
        <v>50.308008213552355</v>
      </c>
      <c r="Y23" s="3">
        <f>100*std!Y23/mean!Y23</f>
        <v>5.3424166367873793</v>
      </c>
      <c r="Z23" s="3">
        <f>100*std!Z23/mean!Z23</f>
        <v>40.660165041260321</v>
      </c>
      <c r="AA23" s="3">
        <f>100*std!AA23/mean!AA23</f>
        <v>17.80006267627703</v>
      </c>
      <c r="AB23" s="3">
        <f>100*std!AB23/mean!AB23</f>
        <v>7.6385950063478631</v>
      </c>
      <c r="AC23" s="3">
        <f>100*std!AC23/mean!AC23</f>
        <v>40.302114803625365</v>
      </c>
      <c r="AD23" s="3">
        <f>100*std!AD23/mean!AD23</f>
        <v>119.68223855821674</v>
      </c>
      <c r="AE23" s="3">
        <f>100*std!AE23/mean!AE23</f>
        <v>10.637369033760185</v>
      </c>
      <c r="AF23" s="3" t="e">
        <f>100*std!AF23/mean!AF23</f>
        <v>#DIV/0!</v>
      </c>
      <c r="AG23" s="3" t="e">
        <f>100*std!AG23/mean!AG23</f>
        <v>#DIV/0!</v>
      </c>
      <c r="AH23" s="3">
        <f>100*std!AH23/mean!AH23</f>
        <v>8.0343796711509707</v>
      </c>
    </row>
    <row r="24" spans="1:34" x14ac:dyDescent="0.25">
      <c r="A24" s="33" t="s">
        <v>156</v>
      </c>
      <c r="B24" s="3" t="e">
        <f>100*std!B24/mean!B24</f>
        <v>#DIV/0!</v>
      </c>
      <c r="C24" s="3">
        <f>100*std!C24/mean!C24</f>
        <v>35.699999999999996</v>
      </c>
      <c r="D24" s="3">
        <f>100*std!D24/mean!D24</f>
        <v>8.2221779812860838</v>
      </c>
      <c r="E24" s="3">
        <f>100*std!E24/mean!E24</f>
        <v>11.051189107948016</v>
      </c>
      <c r="F24" s="3">
        <f>100*std!F24/mean!F24</f>
        <v>46.10526315789474</v>
      </c>
      <c r="G24" s="3">
        <f>100*std!G24/mean!G24</f>
        <v>53.52</v>
      </c>
      <c r="H24" s="3" t="e">
        <f>100*std!H24/mean!H24</f>
        <v>#DIV/0!</v>
      </c>
      <c r="I24" s="3">
        <f>100*std!I24/mean!I24</f>
        <v>5.7285873192436041</v>
      </c>
      <c r="J24" s="3">
        <f>100*std!J24/mean!J24</f>
        <v>15.453915453915453</v>
      </c>
      <c r="K24" s="3">
        <f>100*std!K24/mean!K24</f>
        <v>8.174523570712136</v>
      </c>
      <c r="L24" s="3">
        <f>100*std!L24/mean!L24</f>
        <v>19.824804057169207</v>
      </c>
      <c r="M24" s="3">
        <f>100*std!M24/mean!M24</f>
        <v>14.81347337921043</v>
      </c>
      <c r="N24" s="3">
        <f>100*std!N24/mean!N24</f>
        <v>16.780389183725045</v>
      </c>
      <c r="O24" s="3">
        <f>100*std!O24/mean!O24</f>
        <v>16.943265148591276</v>
      </c>
      <c r="P24" s="3">
        <f>100*std!P24/mean!P24</f>
        <v>10.486276849642003</v>
      </c>
      <c r="Q24" s="3">
        <f>100*std!Q24/mean!Q24</f>
        <v>9.2988263617213374</v>
      </c>
      <c r="R24" s="3">
        <f>100*std!R24/mean!R24</f>
        <v>7.3027830089976984</v>
      </c>
      <c r="S24" s="3">
        <f>100*std!S24/mean!S24</f>
        <v>19.485731272294888</v>
      </c>
      <c r="T24" s="3">
        <f>100*std!T24/mean!T24</f>
        <v>7.093096896770108</v>
      </c>
      <c r="U24" s="3">
        <f>100*std!U24/mean!U24</f>
        <v>5.5882797160549771</v>
      </c>
      <c r="V24" s="3">
        <f>100*std!V24/mean!V24</f>
        <v>13.3968083679764</v>
      </c>
      <c r="W24" s="3">
        <f>100*std!W24/mean!W24</f>
        <v>7.6771653543307083</v>
      </c>
      <c r="X24" s="3">
        <f>100*std!X24/mean!X24</f>
        <v>58.746048472075863</v>
      </c>
      <c r="Y24" s="3">
        <f>100*std!Y24/mean!Y24</f>
        <v>5.6315037747398486</v>
      </c>
      <c r="Z24" s="3">
        <f>100*std!Z24/mean!Z24</f>
        <v>15.885086607520069</v>
      </c>
      <c r="AA24" s="3">
        <f>100*std!AA24/mean!AA24</f>
        <v>14.250275633958102</v>
      </c>
      <c r="AB24" s="3">
        <f>100*std!AB24/mean!AB24</f>
        <v>8.0633719555450458</v>
      </c>
      <c r="AC24" s="3">
        <f>100*std!AC24/mean!AC24</f>
        <v>31.703551209469897</v>
      </c>
      <c r="AD24" s="3">
        <f>100*std!AD24/mean!AD24</f>
        <v>62.377450980392155</v>
      </c>
      <c r="AE24" s="3">
        <f>100*std!AE24/mean!AE24</f>
        <v>15.018427518427515</v>
      </c>
      <c r="AF24" s="3" t="e">
        <f>100*std!AF24/mean!AF24</f>
        <v>#DIV/0!</v>
      </c>
      <c r="AG24" s="3" t="e">
        <f>100*std!AG24/mean!AG24</f>
        <v>#DIV/0!</v>
      </c>
      <c r="AH24" s="3">
        <f>100*std!AH24/mean!AH24</f>
        <v>7.3002754820936637</v>
      </c>
    </row>
    <row r="25" spans="1:34" x14ac:dyDescent="0.25">
      <c r="A25" s="34" t="s">
        <v>158</v>
      </c>
      <c r="B25" s="3">
        <f>100*std!B25/mean!B25</f>
        <v>2.0066889632107023</v>
      </c>
      <c r="C25" s="3">
        <f>100*std!C25/mean!C25</f>
        <v>3.5714285714285716</v>
      </c>
      <c r="D25" s="3">
        <f>100*std!D25/mean!D25</f>
        <v>2.1021021021021022</v>
      </c>
      <c r="E25" s="3" t="e">
        <f>100*std!E25/mean!E25</f>
        <v>#DIV/0!</v>
      </c>
      <c r="F25" s="3" t="e">
        <f>100*std!F25/mean!F25</f>
        <v>#DIV/0!</v>
      </c>
      <c r="G25" s="3" t="e">
        <f>100*std!G25/mean!G25</f>
        <v>#DIV/0!</v>
      </c>
      <c r="H25" s="3" t="e">
        <f>100*std!H25/mean!H25</f>
        <v>#DIV/0!</v>
      </c>
      <c r="I25" s="3">
        <f>100*std!I25/mean!I25</f>
        <v>1.7821782178217822</v>
      </c>
      <c r="J25" s="3">
        <f>100*std!J25/mean!J25</f>
        <v>2.6315789473684212</v>
      </c>
      <c r="K25" s="3" t="e">
        <f>100*std!K25/mean!K25</f>
        <v>#DIV/0!</v>
      </c>
      <c r="L25" s="3">
        <f>100*std!L25/mean!L25</f>
        <v>3.5087719298245617</v>
      </c>
      <c r="M25" s="3">
        <f>100*std!M25/mean!M25</f>
        <v>3.0150753768844223</v>
      </c>
      <c r="N25" s="3" t="e">
        <f>100*std!N25/mean!N25</f>
        <v>#DIV/0!</v>
      </c>
      <c r="O25" s="3">
        <f>100*std!O25/mean!O25</f>
        <v>1.9021739130434783</v>
      </c>
      <c r="P25" s="3" t="e">
        <f>100*std!P25/mean!P25</f>
        <v>#DIV/0!</v>
      </c>
      <c r="Q25" s="3">
        <f>100*std!Q25/mean!Q25</f>
        <v>11.76470588235294</v>
      </c>
      <c r="R25" s="3">
        <f>100*std!R25/mean!R25</f>
        <v>1.8518518518518519</v>
      </c>
      <c r="S25" s="3" t="e">
        <f>100*std!S25/mean!S25</f>
        <v>#DIV/0!</v>
      </c>
      <c r="T25" s="3" t="e">
        <f>100*std!T25/mean!T25</f>
        <v>#DIV/0!</v>
      </c>
      <c r="U25" s="3">
        <f>100*std!U25/mean!U25</f>
        <v>3.2520325203252032</v>
      </c>
      <c r="V25" s="3" t="e">
        <f>100*std!V25/mean!V25</f>
        <v>#DIV/0!</v>
      </c>
      <c r="W25" s="3">
        <f>100*std!W25/mean!W25</f>
        <v>2.9411764705882355</v>
      </c>
      <c r="X25" s="3">
        <f>100*std!X25/mean!X25</f>
        <v>4.4025157232704402</v>
      </c>
      <c r="Y25" s="3">
        <f>100*std!Y25/mean!Y25</f>
        <v>1.8518518518518519</v>
      </c>
      <c r="Z25" s="3" t="e">
        <f>100*std!Z25/mean!Z25</f>
        <v>#DIV/0!</v>
      </c>
      <c r="AA25" s="3">
        <f>100*std!AA25/mean!AA25</f>
        <v>1.8132975151108126</v>
      </c>
      <c r="AB25" s="3" t="e">
        <f>100*std!AB25/mean!AB25</f>
        <v>#DIV/0!</v>
      </c>
      <c r="AC25" s="3">
        <f>100*std!AC25/mean!AC25</f>
        <v>9.5238095238095237</v>
      </c>
      <c r="AD25" s="3">
        <f>100*std!AD25/mean!AD25</f>
        <v>5.5555555555555554</v>
      </c>
      <c r="AE25" s="3" t="e">
        <f>100*std!AE25/mean!AE25</f>
        <v>#DIV/0!</v>
      </c>
      <c r="AF25" s="3" t="e">
        <f>100*std!AF25/mean!AF25</f>
        <v>#DIV/0!</v>
      </c>
      <c r="AG25" s="3">
        <f>100*std!AG25/mean!AG25</f>
        <v>1.1976047904191618</v>
      </c>
      <c r="AH25" s="3">
        <f>100*std!AH25/mean!AH25</f>
        <v>2.2653721682847898</v>
      </c>
    </row>
    <row r="26" spans="1:34" x14ac:dyDescent="0.25">
      <c r="A26" s="35" t="s">
        <v>161</v>
      </c>
      <c r="B26" s="3" t="e">
        <f>100*std!B26/mean!B26</f>
        <v>#DIV/0!</v>
      </c>
      <c r="C26" s="3">
        <f>100*std!C26/mean!C26</f>
        <v>4.9019607843137258</v>
      </c>
      <c r="D26" s="3" t="e">
        <f>100*std!D26/mean!D26</f>
        <v>#DIV/0!</v>
      </c>
      <c r="E26" s="3" t="e">
        <f>100*std!E26/mean!E26</f>
        <v>#DIV/0!</v>
      </c>
      <c r="F26" s="3" t="e">
        <f>100*std!F26/mean!F26</f>
        <v>#DIV/0!</v>
      </c>
      <c r="G26" s="3" t="e">
        <f>100*std!G26/mean!G26</f>
        <v>#DIV/0!</v>
      </c>
      <c r="H26" s="3" t="e">
        <f>100*std!H26/mean!H26</f>
        <v>#DIV/0!</v>
      </c>
      <c r="I26" s="3" t="e">
        <f>100*std!I26/mean!I26</f>
        <v>#DIV/0!</v>
      </c>
      <c r="J26" s="3">
        <f>100*std!J26/mean!J26</f>
        <v>3.0927835051546393</v>
      </c>
      <c r="K26" s="3" t="e">
        <f>100*std!K26/mean!K26</f>
        <v>#DIV/0!</v>
      </c>
      <c r="L26" s="3" t="e">
        <f>100*std!L26/mean!L26</f>
        <v>#DIV/0!</v>
      </c>
      <c r="M26" s="3" t="e">
        <f>100*std!M26/mean!M26</f>
        <v>#DIV/0!</v>
      </c>
      <c r="N26" s="3" t="e">
        <f>100*std!N26/mean!N26</f>
        <v>#DIV/0!</v>
      </c>
      <c r="O26" s="3">
        <f>100*std!O26/mean!O26</f>
        <v>3.2051282051282053</v>
      </c>
      <c r="P26" s="3">
        <f>100*std!P26/mean!P26</f>
        <v>3.8409703504043127</v>
      </c>
      <c r="Q26" s="3">
        <f>100*std!Q26/mean!Q26</f>
        <v>4.1543026706231458</v>
      </c>
      <c r="R26" s="3" t="e">
        <f>100*std!R26/mean!R26</f>
        <v>#DIV/0!</v>
      </c>
      <c r="S26" s="3" t="e">
        <f>100*std!S26/mean!S26</f>
        <v>#DIV/0!</v>
      </c>
      <c r="T26" s="3" t="e">
        <f>100*std!T26/mean!T26</f>
        <v>#DIV/0!</v>
      </c>
      <c r="U26" s="3" t="e">
        <f>100*std!U26/mean!U26</f>
        <v>#DIV/0!</v>
      </c>
      <c r="V26" s="3" t="e">
        <f>100*std!V26/mean!V26</f>
        <v>#DIV/0!</v>
      </c>
      <c r="W26" s="3" t="e">
        <f>100*std!W26/mean!W26</f>
        <v>#DIV/0!</v>
      </c>
      <c r="X26" s="3">
        <f>100*std!X26/mean!X26</f>
        <v>12.867647058823529</v>
      </c>
      <c r="Y26" s="3" t="e">
        <f>100*std!Y26/mean!Y26</f>
        <v>#DIV/0!</v>
      </c>
      <c r="Z26" s="3">
        <f>100*std!Z26/mean!Z26</f>
        <v>14.106583072100314</v>
      </c>
      <c r="AA26" s="3" t="e">
        <f>100*std!AA26/mean!AA26</f>
        <v>#DIV/0!</v>
      </c>
      <c r="AB26" s="3" t="e">
        <f>100*std!AB26/mean!AB26</f>
        <v>#DIV/0!</v>
      </c>
      <c r="AC26" s="3" t="e">
        <f>100*std!AC26/mean!AC26</f>
        <v>#DIV/0!</v>
      </c>
      <c r="AD26" s="3">
        <f>100*std!AD26/mean!AD26</f>
        <v>6.7988668555240794</v>
      </c>
      <c r="AE26" s="3" t="e">
        <f>100*std!AE26/mean!AE26</f>
        <v>#DIV/0!</v>
      </c>
      <c r="AF26" s="3" t="e">
        <f>100*std!AF26/mean!AF26</f>
        <v>#DIV/0!</v>
      </c>
      <c r="AG26" s="3" t="e">
        <f>100*std!AG26/mean!AG26</f>
        <v>#DIV/0!</v>
      </c>
      <c r="AH26" s="3">
        <f>100*std!AH26/mean!AH26</f>
        <v>2.7713625866050808</v>
      </c>
    </row>
    <row r="27" spans="1:34" x14ac:dyDescent="0.25">
      <c r="A27" s="35" t="s">
        <v>163</v>
      </c>
      <c r="B27" s="3" t="e">
        <f>100*std!B27/mean!B27</f>
        <v>#DIV/0!</v>
      </c>
      <c r="C27" s="3" t="e">
        <f>100*std!C27/mean!C27</f>
        <v>#DIV/0!</v>
      </c>
      <c r="D27" s="3" t="e">
        <f>100*std!D27/mean!D27</f>
        <v>#DIV/0!</v>
      </c>
      <c r="E27" s="3">
        <f>100*std!E27/mean!E27</f>
        <v>4.5454545454545459</v>
      </c>
      <c r="F27" s="3" t="e">
        <f>100*std!F27/mean!F27</f>
        <v>#DIV/0!</v>
      </c>
      <c r="G27" s="3" t="e">
        <f>100*std!G27/mean!G27</f>
        <v>#DIV/0!</v>
      </c>
      <c r="H27" s="3" t="e">
        <f>100*std!H27/mean!H27</f>
        <v>#DIV/0!</v>
      </c>
      <c r="I27" s="3" t="e">
        <f>100*std!I27/mean!I27</f>
        <v>#DIV/0!</v>
      </c>
      <c r="J27" s="3" t="e">
        <f>100*std!J27/mean!J27</f>
        <v>#DIV/0!</v>
      </c>
      <c r="K27" s="3" t="e">
        <f>100*std!K27/mean!K27</f>
        <v>#DIV/0!</v>
      </c>
      <c r="L27" s="3" t="e">
        <f>100*std!L27/mean!L27</f>
        <v>#DIV/0!</v>
      </c>
      <c r="M27" s="3" t="e">
        <f>100*std!M27/mean!M27</f>
        <v>#DIV/0!</v>
      </c>
      <c r="N27" s="3" t="e">
        <f>100*std!N27/mean!N27</f>
        <v>#DIV/0!</v>
      </c>
      <c r="O27" s="3">
        <f>100*std!O27/mean!O27</f>
        <v>3.1746031746031744</v>
      </c>
      <c r="P27" s="3">
        <f>100*std!P27/mean!P27</f>
        <v>2.6351351351351351</v>
      </c>
      <c r="Q27" s="3" t="e">
        <f>100*std!Q27/mean!Q27</f>
        <v>#DIV/0!</v>
      </c>
      <c r="R27" s="3">
        <f>100*std!R27/mean!R27</f>
        <v>2.1230769230769231</v>
      </c>
      <c r="S27" s="3" t="e">
        <f>100*std!S27/mean!S27</f>
        <v>#DIV/0!</v>
      </c>
      <c r="T27" s="3">
        <f>100*std!T27/mean!T27</f>
        <v>2.3148148148148149</v>
      </c>
      <c r="U27" s="3">
        <f>100*std!U27/mean!U27</f>
        <v>1.8808777429467085</v>
      </c>
      <c r="V27" s="3" t="e">
        <f>100*std!V27/mean!V27</f>
        <v>#DIV/0!</v>
      </c>
      <c r="W27" s="3" t="e">
        <f>100*std!W27/mean!W27</f>
        <v>#DIV/0!</v>
      </c>
      <c r="X27" s="3" t="e">
        <f>100*std!X27/mean!X27</f>
        <v>#DIV/0!</v>
      </c>
      <c r="Y27" s="3" t="e">
        <f>100*std!Y27/mean!Y27</f>
        <v>#DIV/0!</v>
      </c>
      <c r="Z27" s="3" t="e">
        <f>100*std!Z27/mean!Z27</f>
        <v>#DIV/0!</v>
      </c>
      <c r="AA27" s="3" t="e">
        <f>100*std!AA27/mean!AA27</f>
        <v>#DIV/0!</v>
      </c>
      <c r="AB27" s="3" t="e">
        <f>100*std!AB27/mean!AB27</f>
        <v>#DIV/0!</v>
      </c>
      <c r="AC27" s="3" t="e">
        <f>100*std!AC27/mean!AC27</f>
        <v>#DIV/0!</v>
      </c>
      <c r="AD27" s="3" t="e">
        <f>100*std!AD27/mean!AD27</f>
        <v>#DIV/0!</v>
      </c>
      <c r="AE27" s="3">
        <f>100*std!AE27/mean!AE27</f>
        <v>2.8282828282828283</v>
      </c>
      <c r="AF27" s="3" t="e">
        <f>100*std!AF27/mean!AF27</f>
        <v>#DIV/0!</v>
      </c>
      <c r="AG27" s="3" t="e">
        <f>100*std!AG27/mean!AG27</f>
        <v>#DIV/0!</v>
      </c>
      <c r="AH27" s="3">
        <f>100*std!AH27/mean!AH27</f>
        <v>1.8134715025906736</v>
      </c>
    </row>
    <row r="28" spans="1:34" x14ac:dyDescent="0.25">
      <c r="A28" s="2" t="s">
        <v>165</v>
      </c>
      <c r="B28" s="3">
        <f>100*std!B28/mean!B28</f>
        <v>2.0386643233743409</v>
      </c>
      <c r="C28" s="3" t="e">
        <f>100*std!C28/mean!C28</f>
        <v>#DIV/0!</v>
      </c>
      <c r="D28" s="3">
        <f>100*std!D28/mean!D28</f>
        <v>10.144927536231883</v>
      </c>
      <c r="E28" s="3">
        <f>100*std!E28/mean!E28</f>
        <v>4.7131147540983607</v>
      </c>
      <c r="F28" s="3" t="e">
        <f>100*std!F28/mean!F28</f>
        <v>#DIV/0!</v>
      </c>
      <c r="G28" s="3" t="e">
        <f>100*std!G28/mean!G28</f>
        <v>#DIV/0!</v>
      </c>
      <c r="H28" s="3" t="e">
        <f>100*std!H28/mean!H28</f>
        <v>#DIV/0!</v>
      </c>
      <c r="I28" s="3">
        <f>100*std!I28/mean!I28</f>
        <v>0.65573770491803274</v>
      </c>
      <c r="J28" s="3">
        <f>100*std!J28/mean!J28</f>
        <v>11.363636363636363</v>
      </c>
      <c r="K28" s="3">
        <f>100*std!K28/mean!K28</f>
        <v>2.5773195876288661</v>
      </c>
      <c r="L28" s="3" t="e">
        <f>100*std!L28/mean!L28</f>
        <v>#DIV/0!</v>
      </c>
      <c r="M28" s="3" t="e">
        <f>100*std!M28/mean!M28</f>
        <v>#DIV/0!</v>
      </c>
      <c r="N28" s="3" t="e">
        <f>100*std!N28/mean!N28</f>
        <v>#DIV/0!</v>
      </c>
      <c r="O28" s="3">
        <f>100*std!O28/mean!O28</f>
        <v>2.2847100175746924</v>
      </c>
      <c r="P28" s="3">
        <f>100*std!P28/mean!P28</f>
        <v>3.1438935912938328</v>
      </c>
      <c r="Q28" s="3">
        <f>100*std!Q28/mean!Q28</f>
        <v>5.3240740740740735</v>
      </c>
      <c r="R28" s="3">
        <f>100*std!R28/mean!R28</f>
        <v>1.3059701492537314</v>
      </c>
      <c r="S28" s="3" t="e">
        <f>100*std!S28/mean!S28</f>
        <v>#DIV/0!</v>
      </c>
      <c r="T28" s="3">
        <f>100*std!T28/mean!T28</f>
        <v>4.4280442804428048</v>
      </c>
      <c r="U28" s="3">
        <f>100*std!U28/mean!U28</f>
        <v>2.0332717190388174</v>
      </c>
      <c r="V28" s="3">
        <f>100*std!V28/mean!V28</f>
        <v>11.578947368421051</v>
      </c>
      <c r="W28" s="3">
        <f>100*std!W28/mean!W28</f>
        <v>8.6065573770491817</v>
      </c>
      <c r="X28" s="3">
        <f>100*std!X28/mean!X28</f>
        <v>10.042735042735043</v>
      </c>
      <c r="Y28" s="3">
        <f>100*std!Y28/mean!Y28</f>
        <v>4.2686754551161332</v>
      </c>
      <c r="Z28" s="3">
        <f>100*std!Z28/mean!Z28</f>
        <v>5.1063829787234045</v>
      </c>
      <c r="AA28" s="3">
        <f>100*std!AA28/mean!AA28</f>
        <v>15.686274509803923</v>
      </c>
      <c r="AB28" s="3" t="e">
        <f>100*std!AB28/mean!AB28</f>
        <v>#DIV/0!</v>
      </c>
      <c r="AC28" s="3" t="e">
        <f>100*std!AC28/mean!AC28</f>
        <v>#DIV/0!</v>
      </c>
      <c r="AD28" s="3" t="e">
        <f>100*std!AD28/mean!AD28</f>
        <v>#DIV/0!</v>
      </c>
      <c r="AE28" s="3">
        <f>100*std!AE28/mean!AE28</f>
        <v>4.3824701195219129</v>
      </c>
      <c r="AF28" s="3" t="e">
        <f>100*std!AF28/mean!AF28</f>
        <v>#DIV/0!</v>
      </c>
      <c r="AG28" s="3">
        <f>100*std!AG28/mean!AG28</f>
        <v>10.62992125984252</v>
      </c>
      <c r="AH28" s="3">
        <f>100*std!AH28/mean!AH28</f>
        <v>3.453815261044177</v>
      </c>
    </row>
    <row r="29" spans="1:34" x14ac:dyDescent="0.25">
      <c r="A29" s="2" t="s">
        <v>166</v>
      </c>
      <c r="B29" s="3">
        <f>100*std!B29/mean!B29</f>
        <v>16.567164179104477</v>
      </c>
      <c r="C29" s="3" t="e">
        <f>100*std!C29/mean!C29</f>
        <v>#DIV/0!</v>
      </c>
      <c r="D29" s="3" t="e">
        <f>100*std!D29/mean!D29</f>
        <v>#DIV/0!</v>
      </c>
      <c r="E29" s="3">
        <f>100*std!E29/mean!E29</f>
        <v>7.6923076923076925</v>
      </c>
      <c r="F29" s="3" t="e">
        <f>100*std!F29/mean!F29</f>
        <v>#DIV/0!</v>
      </c>
      <c r="G29" s="3" t="e">
        <f>100*std!G29/mean!G29</f>
        <v>#DIV/0!</v>
      </c>
      <c r="H29" s="3" t="e">
        <f>100*std!H29/mean!H29</f>
        <v>#DIV/0!</v>
      </c>
      <c r="I29" s="3">
        <f>100*std!I29/mean!I29</f>
        <v>6.4814814814814818</v>
      </c>
      <c r="J29" s="3" t="e">
        <f>100*std!J29/mean!J29</f>
        <v>#DIV/0!</v>
      </c>
      <c r="K29" s="3" t="e">
        <f>100*std!K29/mean!K29</f>
        <v>#DIV/0!</v>
      </c>
      <c r="L29" s="3" t="e">
        <f>100*std!L29/mean!L29</f>
        <v>#DIV/0!</v>
      </c>
      <c r="M29" s="3">
        <f>100*std!M29/mean!M29</f>
        <v>7.6923076923076925</v>
      </c>
      <c r="N29" s="3" t="e">
        <f>100*std!N29/mean!N29</f>
        <v>#DIV/0!</v>
      </c>
      <c r="O29" s="3">
        <f>100*std!O29/mean!O29</f>
        <v>6.8211068211068211</v>
      </c>
      <c r="P29" s="3" t="e">
        <f>100*std!P29/mean!P29</f>
        <v>#DIV/0!</v>
      </c>
      <c r="Q29" s="3" t="e">
        <f>100*std!Q29/mean!Q29</f>
        <v>#DIV/0!</v>
      </c>
      <c r="R29" s="3">
        <f>100*std!R29/mean!R29</f>
        <v>6.2827225130890056</v>
      </c>
      <c r="S29" s="3" t="e">
        <f>100*std!S29/mean!S29</f>
        <v>#DIV/0!</v>
      </c>
      <c r="T29" s="3">
        <f>100*std!T29/mean!T29</f>
        <v>6.1643835616438354</v>
      </c>
      <c r="U29" s="3">
        <f>100*std!U29/mean!U29</f>
        <v>6.2827225130890056</v>
      </c>
      <c r="V29" s="3" t="e">
        <f>100*std!V29/mean!V29</f>
        <v>#DIV/0!</v>
      </c>
      <c r="W29" s="3">
        <f>100*std!W29/mean!W29</f>
        <v>0</v>
      </c>
      <c r="X29" s="3">
        <f>100*std!X29/mean!X29</f>
        <v>10.19108280254777</v>
      </c>
      <c r="Y29" s="3" t="e">
        <f>100*std!Y29/mean!Y29</f>
        <v>#DIV/0!</v>
      </c>
      <c r="Z29" s="3">
        <f>100*std!Z29/mean!Z29</f>
        <v>10.648148148148147</v>
      </c>
      <c r="AA29" s="3">
        <f>100*std!AA29/mean!AA29</f>
        <v>6.5420560747663554</v>
      </c>
      <c r="AB29" s="3">
        <f>100*std!AB29/mean!AB29</f>
        <v>5.809128630705394</v>
      </c>
      <c r="AC29" s="3" t="e">
        <f>100*std!AC29/mean!AC29</f>
        <v>#DIV/0!</v>
      </c>
      <c r="AD29" s="3" t="e">
        <f>100*std!AD29/mean!AD29</f>
        <v>#DIV/0!</v>
      </c>
      <c r="AE29" s="3">
        <f>100*std!AE29/mean!AE29</f>
        <v>7.1808510638297873</v>
      </c>
      <c r="AF29" s="3" t="e">
        <f>100*std!AF29/mean!AF29</f>
        <v>#DIV/0!</v>
      </c>
      <c r="AG29" s="3" t="e">
        <f>100*std!AG29/mean!AG29</f>
        <v>#DIV/0!</v>
      </c>
      <c r="AH29" s="3">
        <f>100*std!AH29/mean!AH29</f>
        <v>6.2686567164179108</v>
      </c>
    </row>
    <row r="30" spans="1:34" x14ac:dyDescent="0.25">
      <c r="A30" s="2" t="s">
        <v>168</v>
      </c>
      <c r="B30" s="3">
        <f>100*std!B30/mean!B30</f>
        <v>0.12227074235807862</v>
      </c>
      <c r="C30" s="3" t="e">
        <f>100*std!C30/mean!C30</f>
        <v>#DIV/0!</v>
      </c>
      <c r="D30" s="3" t="e">
        <f>100*std!D30/mean!D30</f>
        <v>#DIV/0!</v>
      </c>
      <c r="E30" s="3">
        <f>100*std!E30/mean!E30</f>
        <v>9.0277777777777768</v>
      </c>
      <c r="F30" s="3" t="e">
        <f>100*std!F30/mean!F30</f>
        <v>#DIV/0!</v>
      </c>
      <c r="G30" s="3" t="e">
        <f>100*std!G30/mean!G30</f>
        <v>#DIV/0!</v>
      </c>
      <c r="H30" s="3" t="e">
        <f>100*std!H30/mean!H30</f>
        <v>#DIV/0!</v>
      </c>
      <c r="I30" s="3">
        <f>100*std!I30/mean!I30</f>
        <v>8.934707903780069</v>
      </c>
      <c r="J30" s="3" t="e">
        <f>100*std!J30/mean!J30</f>
        <v>#DIV/0!</v>
      </c>
      <c r="K30" s="3">
        <f>100*std!K30/mean!K30</f>
        <v>8.3769633507853403</v>
      </c>
      <c r="L30" s="3" t="e">
        <f>100*std!L30/mean!L30</f>
        <v>#DIV/0!</v>
      </c>
      <c r="M30" s="3">
        <f>100*std!M30/mean!M30</f>
        <v>11.518324607329843</v>
      </c>
      <c r="N30" s="3">
        <f>100*std!N30/mean!N30</f>
        <v>10.249307479224377</v>
      </c>
      <c r="O30" s="3">
        <f>100*std!O30/mean!O30</f>
        <v>7.3529411764705888</v>
      </c>
      <c r="P30" s="3" t="e">
        <f>100*std!P30/mean!P30</f>
        <v>#DIV/0!</v>
      </c>
      <c r="Q30" s="3" t="e">
        <f>100*std!Q30/mean!Q30</f>
        <v>#DIV/0!</v>
      </c>
      <c r="R30" s="3">
        <f>100*std!R30/mean!R30</f>
        <v>7.0588235294117645</v>
      </c>
      <c r="S30" s="3" t="e">
        <f>100*std!S30/mean!S30</f>
        <v>#DIV/0!</v>
      </c>
      <c r="T30" s="3">
        <f>100*std!T30/mean!T30</f>
        <v>7.5892857142857144</v>
      </c>
      <c r="U30" s="3">
        <f>100*std!U30/mean!U30</f>
        <v>7.0063694267515917</v>
      </c>
      <c r="V30" s="3" t="e">
        <f>100*std!V30/mean!V30</f>
        <v>#DIV/0!</v>
      </c>
      <c r="W30" s="3">
        <f>100*std!W30/mean!W30</f>
        <v>12.955465587044534</v>
      </c>
      <c r="X30" s="3">
        <f>100*std!X30/mean!X30</f>
        <v>8.4967320261437909</v>
      </c>
      <c r="Y30" s="3" t="e">
        <f>100*std!Y30/mean!Y30</f>
        <v>#DIV/0!</v>
      </c>
      <c r="Z30" s="3">
        <f>100*std!Z30/mean!Z30</f>
        <v>13.48314606741573</v>
      </c>
      <c r="AA30" s="3">
        <f>100*std!AA30/mean!AA30</f>
        <v>7.9754601226993866</v>
      </c>
      <c r="AB30" s="3">
        <f>100*std!AB30/mean!AB30</f>
        <v>10.121457489878543</v>
      </c>
      <c r="AC30" s="3" t="e">
        <f>100*std!AC30/mean!AC30</f>
        <v>#DIV/0!</v>
      </c>
      <c r="AD30" s="3" t="e">
        <f>100*std!AD30/mean!AD30</f>
        <v>#DIV/0!</v>
      </c>
      <c r="AE30" s="3">
        <f>100*std!AE30/mean!AE30</f>
        <v>8.1730769230769234</v>
      </c>
      <c r="AF30" s="3" t="e">
        <f>100*std!AF30/mean!AF30</f>
        <v>#DIV/0!</v>
      </c>
      <c r="AG30" s="3">
        <f>100*std!AG30/mean!AG30</f>
        <v>18.781725888324875</v>
      </c>
      <c r="AH30" s="3">
        <f>100*std!AH30/mean!AH30</f>
        <v>7.7809798270893369</v>
      </c>
    </row>
    <row r="31" spans="1:34" x14ac:dyDescent="0.25">
      <c r="A31" s="28" t="s">
        <v>30</v>
      </c>
      <c r="B31" s="3" t="e">
        <f>100*std!B31/mean!B31</f>
        <v>#DIV/0!</v>
      </c>
      <c r="C31" s="3">
        <f>100*std!C31/mean!C31</f>
        <v>14.724354501046752</v>
      </c>
      <c r="D31" s="3" t="e">
        <f>100*std!D31/mean!D31</f>
        <v>#DIV/0!</v>
      </c>
      <c r="E31" s="3" t="e">
        <f>100*std!E31/mean!E31</f>
        <v>#DIV/0!</v>
      </c>
      <c r="F31" s="3" t="e">
        <f>100*std!F31/mean!F31</f>
        <v>#DIV/0!</v>
      </c>
      <c r="G31" s="3" t="e">
        <f>100*std!G31/mean!G31</f>
        <v>#DIV/0!</v>
      </c>
      <c r="H31" s="3">
        <f>100*std!H31/mean!H31</f>
        <v>8.4449526298595234</v>
      </c>
      <c r="I31" s="3">
        <f>100*std!I31/mean!I31</f>
        <v>8.8820579194305136</v>
      </c>
      <c r="J31" s="3" t="e">
        <f>100*std!J31/mean!J31</f>
        <v>#DIV/0!</v>
      </c>
      <c r="K31" s="3">
        <f>100*std!K31/mean!K31</f>
        <v>9.6359743040685224</v>
      </c>
      <c r="L31" s="3">
        <f>100*std!L31/mean!L31</f>
        <v>54.81481481481481</v>
      </c>
      <c r="M31" s="3">
        <f>100*std!M31/mean!M31</f>
        <v>43.694004135079254</v>
      </c>
      <c r="N31" s="3">
        <f>100*std!N31/mean!N31</f>
        <v>41.9683257918552</v>
      </c>
      <c r="O31" s="3">
        <f>100*std!O31/mean!O31</f>
        <v>13.135379969803724</v>
      </c>
      <c r="P31" s="3">
        <f>100*std!P31/mean!P31</f>
        <v>13.714285714285714</v>
      </c>
      <c r="Q31" s="3" t="e">
        <f>100*std!Q31/mean!Q31</f>
        <v>#DIV/0!</v>
      </c>
      <c r="R31" s="3">
        <f>100*std!R31/mean!R31</f>
        <v>7.8094777562862667</v>
      </c>
      <c r="S31" s="3" t="e">
        <f>100*std!S31/mean!S31</f>
        <v>#DIV/0!</v>
      </c>
      <c r="T31" s="3">
        <f>100*std!T31/mean!T31</f>
        <v>8.0594679186228486</v>
      </c>
      <c r="U31" s="3">
        <f>100*std!U31/mean!U31</f>
        <v>9.5370370370370363</v>
      </c>
      <c r="V31" s="3" t="e">
        <f>100*std!V31/mean!V31</f>
        <v>#DIV/0!</v>
      </c>
      <c r="W31" s="3">
        <f>100*std!W31/mean!W31</f>
        <v>11.23825584196579</v>
      </c>
      <c r="X31" s="3" t="e">
        <f>100*std!X31/mean!X31</f>
        <v>#DIV/0!</v>
      </c>
      <c r="Y31" s="3" t="e">
        <f>100*std!Y31/mean!Y31</f>
        <v>#DIV/0!</v>
      </c>
      <c r="Z31" s="3">
        <f>100*std!Z31/mean!Z31</f>
        <v>20.288217010454932</v>
      </c>
      <c r="AA31" s="3">
        <f>100*std!AA31/mean!AA31</f>
        <v>10.503379580220564</v>
      </c>
      <c r="AB31" s="3">
        <f>100*std!AB31/mean!AB31</f>
        <v>11.100787324563548</v>
      </c>
      <c r="AC31" s="3">
        <f>100*std!AC31/mean!AC31</f>
        <v>51.635720601237836</v>
      </c>
      <c r="AD31" s="3" t="e">
        <f>100*std!AD31/mean!AD31</f>
        <v>#DIV/0!</v>
      </c>
      <c r="AE31" s="3">
        <f>100*std!AE31/mean!AE31</f>
        <v>11.595273264401774</v>
      </c>
      <c r="AF31" s="3">
        <f>100*std!AF31/mean!AF31</f>
        <v>62.859795728876513</v>
      </c>
      <c r="AG31" s="3">
        <f>100*std!AG31/mean!AG31</f>
        <v>16.104868913857675</v>
      </c>
      <c r="AH31" s="3">
        <f>100*std!AH31/mean!AH31</f>
        <v>9.760065067100447</v>
      </c>
    </row>
    <row r="32" spans="1:34" x14ac:dyDescent="0.25">
      <c r="A32" s="28" t="s">
        <v>33</v>
      </c>
      <c r="B32" s="3" t="e">
        <f>100*std!B32/mean!B32</f>
        <v>#DIV/0!</v>
      </c>
      <c r="C32" s="3">
        <f>100*std!C32/mean!C32</f>
        <v>15.929203539823007</v>
      </c>
      <c r="D32" s="3" t="e">
        <f>100*std!D32/mean!D32</f>
        <v>#DIV/0!</v>
      </c>
      <c r="E32" s="3" t="e">
        <f>100*std!E32/mean!E32</f>
        <v>#DIV/0!</v>
      </c>
      <c r="F32" s="3" t="e">
        <f>100*std!F32/mean!F32</f>
        <v>#DIV/0!</v>
      </c>
      <c r="G32" s="3" t="e">
        <f>100*std!G32/mean!G32</f>
        <v>#DIV/0!</v>
      </c>
      <c r="H32" s="3">
        <f>100*std!H32/mean!H32</f>
        <v>7.3600973236009732</v>
      </c>
      <c r="I32" s="3">
        <f>100*std!I32/mean!I32</f>
        <v>6.4913262451035258</v>
      </c>
      <c r="J32" s="3" t="e">
        <f>100*std!J32/mean!J32</f>
        <v>#DIV/0!</v>
      </c>
      <c r="K32" s="3">
        <f>100*std!K32/mean!K32</f>
        <v>8.6378737541528245</v>
      </c>
      <c r="L32" s="3">
        <f>100*std!L32/mean!L32</f>
        <v>20.585457979225684</v>
      </c>
      <c r="M32" s="3">
        <f>100*std!M32/mean!M32</f>
        <v>40.895295902883156</v>
      </c>
      <c r="N32" s="3">
        <f>100*std!N32/mean!N32</f>
        <v>16.894871199814339</v>
      </c>
      <c r="O32" s="3">
        <f>100*std!O32/mean!O32</f>
        <v>10.264773599386032</v>
      </c>
      <c r="P32" s="3">
        <f>100*std!P32/mean!P32</f>
        <v>9.391080617495712</v>
      </c>
      <c r="Q32" s="3" t="e">
        <f>100*std!Q32/mean!Q32</f>
        <v>#DIV/0!</v>
      </c>
      <c r="R32" s="3">
        <f>100*std!R32/mean!R32</f>
        <v>6.1456534254461719</v>
      </c>
      <c r="S32" s="3">
        <f>100*std!S32/mean!S32</f>
        <v>13.422538155969059</v>
      </c>
      <c r="T32" s="3">
        <f>100*std!T32/mean!T32</f>
        <v>7.5773860705073091</v>
      </c>
      <c r="U32" s="3">
        <f>100*std!U32/mean!U32</f>
        <v>8.3668543845535002</v>
      </c>
      <c r="V32" s="3" t="e">
        <f>100*std!V32/mean!V32</f>
        <v>#DIV/0!</v>
      </c>
      <c r="W32" s="3">
        <f>100*std!W32/mean!W32</f>
        <v>21.739130434782609</v>
      </c>
      <c r="X32" s="3" t="e">
        <f>100*std!X32/mean!X32</f>
        <v>#DIV/0!</v>
      </c>
      <c r="Y32" s="3" t="e">
        <f>100*std!Y32/mean!Y32</f>
        <v>#DIV/0!</v>
      </c>
      <c r="Z32" s="3">
        <f>100*std!Z32/mean!Z32</f>
        <v>11.818943839061188</v>
      </c>
      <c r="AA32" s="3">
        <f>100*std!AA32/mean!AA32</f>
        <v>12.571839080459771</v>
      </c>
      <c r="AB32" s="3">
        <f>100*std!AB32/mean!AB32</f>
        <v>9.577464788732394</v>
      </c>
      <c r="AC32" s="3">
        <f>100*std!AC32/mean!AC32</f>
        <v>15.802675585284282</v>
      </c>
      <c r="AD32" s="3" t="e">
        <f>100*std!AD32/mean!AD32</f>
        <v>#DIV/0!</v>
      </c>
      <c r="AE32" s="3">
        <f>100*std!AE32/mean!AE32</f>
        <v>7.3576229218252562</v>
      </c>
      <c r="AF32" s="3">
        <f>100*std!AF32/mean!AF32</f>
        <v>55.785440613026822</v>
      </c>
      <c r="AG32" s="3">
        <f>100*std!AG32/mean!AG32</f>
        <v>13.563388078981363</v>
      </c>
      <c r="AH32" s="3">
        <f>100*std!AH32/mean!AH32</f>
        <v>10.173857050869286</v>
      </c>
    </row>
    <row r="33" spans="1:34" x14ac:dyDescent="0.25">
      <c r="A33" s="28" t="s">
        <v>36</v>
      </c>
      <c r="B33" s="3" t="e">
        <f>100*std!B33/mean!B33</f>
        <v>#DIV/0!</v>
      </c>
      <c r="C33" s="3">
        <f>100*std!C33/mean!C33</f>
        <v>27.193708609271525</v>
      </c>
      <c r="D33" s="3" t="e">
        <f>100*std!D33/mean!D33</f>
        <v>#DIV/0!</v>
      </c>
      <c r="E33" s="3" t="e">
        <f>100*std!E33/mean!E33</f>
        <v>#DIV/0!</v>
      </c>
      <c r="F33" s="3" t="e">
        <f>100*std!F33/mean!F33</f>
        <v>#DIV/0!</v>
      </c>
      <c r="G33" s="3" t="e">
        <f>100*std!G33/mean!G33</f>
        <v>#DIV/0!</v>
      </c>
      <c r="H33" s="3">
        <f>100*std!H33/mean!H33</f>
        <v>6.5738963531669867</v>
      </c>
      <c r="I33" s="3">
        <f>100*std!I33/mean!I33</f>
        <v>7.1165644171779139</v>
      </c>
      <c r="J33" s="3" t="e">
        <f>100*std!J33/mean!J33</f>
        <v>#DIV/0!</v>
      </c>
      <c r="K33" s="3">
        <f>100*std!K33/mean!K33</f>
        <v>8.4135833755701981</v>
      </c>
      <c r="L33" s="3">
        <f>100*std!L33/mean!L33</f>
        <v>226.28205128205127</v>
      </c>
      <c r="M33" s="3">
        <f>100*std!M33/mean!M33</f>
        <v>29.147571035747024</v>
      </c>
      <c r="N33" s="3">
        <f>100*std!N33/mean!N33</f>
        <v>59.076122316200383</v>
      </c>
      <c r="O33" s="3">
        <f>100*std!O33/mean!O33</f>
        <v>15.559233861432961</v>
      </c>
      <c r="P33" s="3">
        <f>100*std!P33/mean!P33</f>
        <v>12.593016599885519</v>
      </c>
      <c r="Q33" s="3" t="e">
        <f>100*std!Q33/mean!Q33</f>
        <v>#DIV/0!</v>
      </c>
      <c r="R33" s="3">
        <f>100*std!R33/mean!R33</f>
        <v>7.8937381404174571</v>
      </c>
      <c r="S33" s="3">
        <f>100*std!S33/mean!S33</f>
        <v>7.7251860060155133</v>
      </c>
      <c r="T33" s="3">
        <f>100*std!T33/mean!T33</f>
        <v>7.3929961089494167</v>
      </c>
      <c r="U33" s="3">
        <f>100*std!U33/mean!U33</f>
        <v>8.0364080364080355</v>
      </c>
      <c r="V33" s="3" t="e">
        <f>100*std!V33/mean!V33</f>
        <v>#DIV/0!</v>
      </c>
      <c r="W33" s="3">
        <f>100*std!W33/mean!W33</f>
        <v>10.606060606060606</v>
      </c>
      <c r="X33" s="3" t="e">
        <f>100*std!X33/mean!X33</f>
        <v>#DIV/0!</v>
      </c>
      <c r="Y33" s="3" t="e">
        <f>100*std!Y33/mean!Y33</f>
        <v>#DIV/0!</v>
      </c>
      <c r="Z33" s="3">
        <f>100*std!Z33/mean!Z33</f>
        <v>22.810567734682405</v>
      </c>
      <c r="AA33" s="3">
        <f>100*std!AA33/mean!AA33</f>
        <v>9.5857514508705215</v>
      </c>
      <c r="AB33" s="3">
        <f>100*std!AB33/mean!AB33</f>
        <v>8.5628227194492261</v>
      </c>
      <c r="AC33" s="3">
        <f>100*std!AC33/mean!AC33</f>
        <v>32.366148531951637</v>
      </c>
      <c r="AD33" s="3" t="e">
        <f>100*std!AD33/mean!AD33</f>
        <v>#DIV/0!</v>
      </c>
      <c r="AE33" s="3">
        <f>100*std!AE33/mean!AE33</f>
        <v>13.867822318526544</v>
      </c>
      <c r="AF33" s="3">
        <f>100*std!AF33/mean!AF33</f>
        <v>16.025641025641026</v>
      </c>
      <c r="AG33" s="3">
        <f>100*std!AG33/mean!AG33</f>
        <v>27.910798122065728</v>
      </c>
      <c r="AH33" s="3">
        <f>100*std!AH33/mean!AH33</f>
        <v>9.6988730833179382</v>
      </c>
    </row>
    <row r="34" spans="1:34" x14ac:dyDescent="0.25">
      <c r="A34" s="28" t="s">
        <v>47</v>
      </c>
      <c r="B34" s="3" t="e">
        <f>100*std!B34/mean!B34</f>
        <v>#DIV/0!</v>
      </c>
      <c r="C34" s="3">
        <f>100*std!C34/mean!C34</f>
        <v>4.5714285714285721</v>
      </c>
      <c r="D34" s="3" t="e">
        <f>100*std!D34/mean!D34</f>
        <v>#DIV/0!</v>
      </c>
      <c r="E34" s="3" t="e">
        <f>100*std!E34/mean!E34</f>
        <v>#DIV/0!</v>
      </c>
      <c r="F34" s="3" t="e">
        <f>100*std!F34/mean!F34</f>
        <v>#DIV/0!</v>
      </c>
      <c r="G34" s="3" t="e">
        <f>100*std!G34/mean!G34</f>
        <v>#DIV/0!</v>
      </c>
      <c r="H34" s="3" t="e">
        <f>100*std!H34/mean!H34</f>
        <v>#DIV/0!</v>
      </c>
      <c r="I34" s="3">
        <f>100*std!I34/mean!I34</f>
        <v>1.2574626865671643</v>
      </c>
      <c r="J34" s="3">
        <f>100*std!J34/mean!J34</f>
        <v>4.0462427745664735</v>
      </c>
      <c r="K34" s="3" t="e">
        <f>100*std!K34/mean!K34</f>
        <v>#DIV/0!</v>
      </c>
      <c r="L34" s="3">
        <f>100*std!L34/mean!L34</f>
        <v>1.8318318318318316</v>
      </c>
      <c r="M34" s="3">
        <f>100*std!M34/mean!M34</f>
        <v>1.9693654266958422</v>
      </c>
      <c r="N34" s="3" t="e">
        <f>100*std!N34/mean!N34</f>
        <v>#DIV/0!</v>
      </c>
      <c r="O34" s="3">
        <f>100*std!O34/mean!O34</f>
        <v>3.75</v>
      </c>
      <c r="P34" s="3">
        <f>100*std!P34/mean!P34</f>
        <v>1.3682092555331993</v>
      </c>
      <c r="Q34" s="3" t="e">
        <f>100*std!Q34/mean!Q34</f>
        <v>#DIV/0!</v>
      </c>
      <c r="R34" s="3">
        <f>100*std!R34/mean!R34</f>
        <v>1.5054276511988549</v>
      </c>
      <c r="S34" s="3" t="e">
        <f>100*std!S34/mean!S34</f>
        <v>#DIV/0!</v>
      </c>
      <c r="T34" s="3">
        <f>100*std!T34/mean!T34</f>
        <v>1.6582491582491583</v>
      </c>
      <c r="U34" s="3">
        <f>100*std!U34/mean!U34</f>
        <v>1.1407407407407408</v>
      </c>
      <c r="V34" s="3" t="e">
        <f>100*std!V34/mean!V34</f>
        <v>#DIV/0!</v>
      </c>
      <c r="W34" s="3">
        <f>100*std!W34/mean!W34</f>
        <v>1.6911764705882353</v>
      </c>
      <c r="X34" s="3">
        <f>100*std!X34/mean!X34</f>
        <v>2.4518388791593702</v>
      </c>
      <c r="Y34" s="3" t="e">
        <f>100*std!Y34/mean!Y34</f>
        <v>#DIV/0!</v>
      </c>
      <c r="Z34" s="3">
        <f>100*std!Z34/mean!Z34</f>
        <v>1.6550522648083623</v>
      </c>
      <c r="AA34" s="3" t="e">
        <f>100*std!AA34/mean!AA34</f>
        <v>#DIV/0!</v>
      </c>
      <c r="AB34" s="3" t="e">
        <f>100*std!AB34/mean!AB34</f>
        <v>#DIV/0!</v>
      </c>
      <c r="AC34" s="3" t="e">
        <f>100*std!AC34/mean!AC34</f>
        <v>#DIV/0!</v>
      </c>
      <c r="AD34" s="3" t="e">
        <f>100*std!AD34/mean!AD34</f>
        <v>#DIV/0!</v>
      </c>
      <c r="AE34" s="3" t="e">
        <f>100*std!AE34/mean!AE34</f>
        <v>#DIV/0!</v>
      </c>
      <c r="AF34" s="3" t="e">
        <f>100*std!AF34/mean!AF34</f>
        <v>#DIV/0!</v>
      </c>
      <c r="AG34" s="3" t="e">
        <f>100*std!AG34/mean!AG34</f>
        <v>#DIV/0!</v>
      </c>
      <c r="AH34" s="3">
        <f>100*std!AH34/mean!AH34</f>
        <v>0.78125</v>
      </c>
    </row>
    <row r="35" spans="1:34" x14ac:dyDescent="0.25">
      <c r="A35" s="28" t="s">
        <v>63</v>
      </c>
      <c r="B35" s="3" t="e">
        <f>100*std!B35/mean!B35</f>
        <v>#DIV/0!</v>
      </c>
      <c r="C35" s="3" t="e">
        <f>100*std!C35/mean!C35</f>
        <v>#DIV/0!</v>
      </c>
      <c r="D35" s="3" t="e">
        <f>100*std!D35/mean!D35</f>
        <v>#DIV/0!</v>
      </c>
      <c r="E35" s="3" t="e">
        <f>100*std!E35/mean!E35</f>
        <v>#DIV/0!</v>
      </c>
      <c r="F35" s="3" t="e">
        <f>100*std!F35/mean!F35</f>
        <v>#DIV/0!</v>
      </c>
      <c r="G35" s="3" t="e">
        <f>100*std!G35/mean!G35</f>
        <v>#DIV/0!</v>
      </c>
      <c r="H35" s="3">
        <f>100*std!H35/mean!H35</f>
        <v>3.7723785166240407</v>
      </c>
      <c r="I35" s="3" t="e">
        <f>100*std!I35/mean!I35</f>
        <v>#DIV/0!</v>
      </c>
      <c r="J35" s="3">
        <f>100*std!J35/mean!J35</f>
        <v>12.5</v>
      </c>
      <c r="K35" s="3">
        <f>100*std!K35/mean!K35</f>
        <v>2.348265895953757</v>
      </c>
      <c r="L35" s="3">
        <f>100*std!L35/mean!L35</f>
        <v>14.673913043478262</v>
      </c>
      <c r="M35" s="3">
        <f>100*std!M35/mean!M35</f>
        <v>6.3559322033898304</v>
      </c>
      <c r="N35" s="3">
        <f>100*std!N35/mean!N35</f>
        <v>9.0116279069767451</v>
      </c>
      <c r="O35" s="3" t="e">
        <f>100*std!O35/mean!O35</f>
        <v>#DIV/0!</v>
      </c>
      <c r="P35" s="3" t="e">
        <f>100*std!P35/mean!P35</f>
        <v>#DIV/0!</v>
      </c>
      <c r="Q35" s="3" t="e">
        <f>100*std!Q35/mean!Q35</f>
        <v>#DIV/0!</v>
      </c>
      <c r="R35" s="3" t="e">
        <f>100*std!R35/mean!R35</f>
        <v>#DIV/0!</v>
      </c>
      <c r="S35" s="3" t="e">
        <f>100*std!S35/mean!S35</f>
        <v>#DIV/0!</v>
      </c>
      <c r="T35" s="3">
        <f>100*std!T35/mean!T35</f>
        <v>1.9592476489028212</v>
      </c>
      <c r="U35" s="3">
        <f>100*std!U35/mean!U35</f>
        <v>2.7956989247311825</v>
      </c>
      <c r="V35" s="3" t="e">
        <f>100*std!V35/mean!V35</f>
        <v>#DIV/0!</v>
      </c>
      <c r="W35" s="3">
        <f>100*std!W35/mean!W35</f>
        <v>1.8987341772151898</v>
      </c>
      <c r="X35" s="3">
        <f>100*std!X35/mean!X35</f>
        <v>9.2592592592592595</v>
      </c>
      <c r="Y35" s="3">
        <f>100*std!Y35/mean!Y35</f>
        <v>2.3148148148148149</v>
      </c>
      <c r="Z35" s="3">
        <f>100*std!Z35/mean!Z35</f>
        <v>15.625</v>
      </c>
      <c r="AA35" s="3">
        <f>100*std!AA35/mean!AA35</f>
        <v>3.635204081632653</v>
      </c>
      <c r="AB35" s="3" t="e">
        <f>100*std!AB35/mean!AB35</f>
        <v>#DIV/0!</v>
      </c>
      <c r="AC35" s="3" t="e">
        <f>100*std!AC35/mean!AC35</f>
        <v>#DIV/0!</v>
      </c>
      <c r="AD35" s="3">
        <f>100*std!AD35/mean!AD35</f>
        <v>10.15625</v>
      </c>
      <c r="AE35" s="3" t="e">
        <f>100*std!AE35/mean!AE35</f>
        <v>#DIV/0!</v>
      </c>
      <c r="AF35" s="3" t="e">
        <f>100*std!AF35/mean!AF35</f>
        <v>#DIV/0!</v>
      </c>
      <c r="AG35" s="3" t="e">
        <f>100*std!AG35/mean!AG35</f>
        <v>#DIV/0!</v>
      </c>
      <c r="AH35" s="3">
        <f>100*std!AH35/mean!AH35</f>
        <v>2.1137026239067058</v>
      </c>
    </row>
    <row r="36" spans="1:34" x14ac:dyDescent="0.25">
      <c r="A36" s="28" t="s">
        <v>42</v>
      </c>
      <c r="B36" s="3" t="e">
        <f>100*std!B36/mean!B36</f>
        <v>#DIV/0!</v>
      </c>
      <c r="C36" s="3">
        <f>100*std!C36/mean!C36</f>
        <v>3.5087719298245617</v>
      </c>
      <c r="D36" s="3">
        <f>100*std!D36/mean!D36</f>
        <v>5.9322033898305078</v>
      </c>
      <c r="E36" s="3" t="e">
        <f>100*std!E36/mean!E36</f>
        <v>#DIV/0!</v>
      </c>
      <c r="F36" s="3" t="e">
        <f>100*std!F36/mean!F36</f>
        <v>#DIV/0!</v>
      </c>
      <c r="G36" s="3" t="e">
        <f>100*std!G36/mean!G36</f>
        <v>#DIV/0!</v>
      </c>
      <c r="H36" s="3" t="e">
        <f>100*std!H36/mean!H36</f>
        <v>#DIV/0!</v>
      </c>
      <c r="I36" s="3" t="e">
        <f>100*std!I36/mean!I36</f>
        <v>#DIV/0!</v>
      </c>
      <c r="J36" s="3">
        <f>100*std!J36/mean!J36</f>
        <v>1.25</v>
      </c>
      <c r="K36" s="3" t="e">
        <f>100*std!K36/mean!K36</f>
        <v>#DIV/0!</v>
      </c>
      <c r="L36" s="3" t="e">
        <f>100*std!L36/mean!L36</f>
        <v>#DIV/0!</v>
      </c>
      <c r="M36" s="3">
        <f>100*std!M36/mean!M36</f>
        <v>2.8037383177570092</v>
      </c>
      <c r="N36" s="3" t="e">
        <f>100*std!N36/mean!N36</f>
        <v>#DIV/0!</v>
      </c>
      <c r="O36" s="3">
        <f>100*std!O36/mean!O36</f>
        <v>1.9689119170984455</v>
      </c>
      <c r="P36" s="3" t="e">
        <f>100*std!P36/mean!P36</f>
        <v>#DIV/0!</v>
      </c>
      <c r="Q36" s="3" t="e">
        <f>100*std!Q36/mean!Q36</f>
        <v>#DIV/0!</v>
      </c>
      <c r="R36" s="3" t="e">
        <f>100*std!R36/mean!R36</f>
        <v>#DIV/0!</v>
      </c>
      <c r="S36" s="3" t="e">
        <f>100*std!S36/mean!S36</f>
        <v>#DIV/0!</v>
      </c>
      <c r="T36" s="3" t="e">
        <f>100*std!T36/mean!T36</f>
        <v>#DIV/0!</v>
      </c>
      <c r="U36" s="3">
        <f>100*std!U36/mean!U36</f>
        <v>1.5931372549019609</v>
      </c>
      <c r="V36" s="3">
        <f>100*std!V36/mean!V36</f>
        <v>3.5714285714285716</v>
      </c>
      <c r="W36" s="3" t="e">
        <f>100*std!W36/mean!W36</f>
        <v>#DIV/0!</v>
      </c>
      <c r="X36" s="3">
        <f>100*std!X36/mean!X36</f>
        <v>2.8333333333333335</v>
      </c>
      <c r="Y36" s="3" t="e">
        <f>100*std!Y36/mean!Y36</f>
        <v>#DIV/0!</v>
      </c>
      <c r="Z36" s="3">
        <f>100*std!Z36/mean!Z36</f>
        <v>2.3109243697478994</v>
      </c>
      <c r="AA36" s="3" t="e">
        <f>100*std!AA36/mean!AA36</f>
        <v>#DIV/0!</v>
      </c>
      <c r="AB36" s="3" t="e">
        <f>100*std!AB36/mean!AB36</f>
        <v>#DIV/0!</v>
      </c>
      <c r="AC36" s="3">
        <f>100*std!AC36/mean!AC36</f>
        <v>5.3191489361702127</v>
      </c>
      <c r="AD36" s="3">
        <f>100*std!AD36/mean!AD36</f>
        <v>7.1428571428571432</v>
      </c>
      <c r="AE36" s="3" t="e">
        <f>100*std!AE36/mean!AE36</f>
        <v>#DIV/0!</v>
      </c>
      <c r="AF36" s="3" t="e">
        <f>100*std!AF36/mean!AF36</f>
        <v>#DIV/0!</v>
      </c>
      <c r="AG36" s="3" t="e">
        <f>100*std!AG36/mean!AG36</f>
        <v>#DIV/0!</v>
      </c>
      <c r="AH36" s="3">
        <f>100*std!AH36/mean!AH36</f>
        <v>2.2222222222222223</v>
      </c>
    </row>
    <row r="37" spans="1:34" x14ac:dyDescent="0.25">
      <c r="A37" s="28" t="s">
        <v>50</v>
      </c>
      <c r="B37" s="3">
        <f>100*std!B37/mean!B37</f>
        <v>11.190878378378379</v>
      </c>
      <c r="C37" s="3">
        <f>100*std!C37/mean!C37</f>
        <v>2.3702031602708806</v>
      </c>
      <c r="D37" s="3" t="e">
        <f>100*std!D37/mean!D37</f>
        <v>#DIV/0!</v>
      </c>
      <c r="E37" s="3">
        <f>100*std!E37/mean!E37</f>
        <v>21.782178217821787</v>
      </c>
      <c r="F37" s="3" t="e">
        <f>100*std!F37/mean!F37</f>
        <v>#DIV/0!</v>
      </c>
      <c r="G37" s="3" t="e">
        <f>100*std!G37/mean!G37</f>
        <v>#DIV/0!</v>
      </c>
      <c r="H37" s="3">
        <f>100*std!H37/mean!H37</f>
        <v>8.2892416225749557</v>
      </c>
      <c r="I37" s="3">
        <f>100*std!I37/mean!I37</f>
        <v>6.9128043990573449</v>
      </c>
      <c r="J37" s="3">
        <f>100*std!J37/mean!J37</f>
        <v>3.4450651769087517</v>
      </c>
      <c r="K37" s="3" t="e">
        <f>100*std!K37/mean!K37</f>
        <v>#DIV/0!</v>
      </c>
      <c r="L37" s="3">
        <f>100*std!L37/mean!L37</f>
        <v>7.5342465753424666</v>
      </c>
      <c r="M37" s="3">
        <f>100*std!M37/mean!M37</f>
        <v>3.8461538461538458</v>
      </c>
      <c r="N37" s="3">
        <f>100*std!N37/mean!N37</f>
        <v>5.4347826086956523</v>
      </c>
      <c r="O37" s="3">
        <f>100*std!O37/mean!O37</f>
        <v>2.7722772277227725</v>
      </c>
      <c r="P37" s="3">
        <f>100*std!P37/mean!P37</f>
        <v>1.3933121019108281</v>
      </c>
      <c r="Q37" s="3" t="e">
        <f>100*std!Q37/mean!Q37</f>
        <v>#DIV/0!</v>
      </c>
      <c r="R37" s="3">
        <f>100*std!R37/mean!R37</f>
        <v>4.180064308681672</v>
      </c>
      <c r="S37" s="3">
        <f>100*std!S37/mean!S37</f>
        <v>7.6419213973799129</v>
      </c>
      <c r="T37" s="3">
        <f>100*std!T37/mean!T37</f>
        <v>4.8511576626240354</v>
      </c>
      <c r="U37" s="3">
        <f>100*std!U37/mean!U37</f>
        <v>2.1390374331550803</v>
      </c>
      <c r="V37" s="3">
        <f>100*std!V37/mean!V37</f>
        <v>6.9811320754716988</v>
      </c>
      <c r="W37" s="3">
        <f>100*std!W37/mean!W37</f>
        <v>10.3125</v>
      </c>
      <c r="X37" s="3">
        <f>100*std!X37/mean!X37</f>
        <v>5.4089709762532978</v>
      </c>
      <c r="Y37" s="3" t="e">
        <f>100*std!Y37/mean!Y37</f>
        <v>#DIV/0!</v>
      </c>
      <c r="Z37" s="3">
        <f>100*std!Z37/mean!Z37</f>
        <v>6.3926940639269416</v>
      </c>
      <c r="AA37" s="3">
        <f>100*std!AA37/mean!AA37</f>
        <v>7.0121951219512191</v>
      </c>
      <c r="AB37" s="3" t="e">
        <f>100*std!AB37/mean!AB37</f>
        <v>#DIV/0!</v>
      </c>
      <c r="AC37" s="3">
        <f>100*std!AC37/mean!AC37</f>
        <v>10.679611650485436</v>
      </c>
      <c r="AD37" s="3">
        <f>100*std!AD37/mean!AD37</f>
        <v>20.88607594936709</v>
      </c>
      <c r="AE37" s="3">
        <f>100*std!AE37/mean!AE37</f>
        <v>6.333333333333333</v>
      </c>
      <c r="AF37" s="3" t="e">
        <f>100*std!AF37/mean!AF37</f>
        <v>#DIV/0!</v>
      </c>
      <c r="AG37" s="3">
        <f>100*std!AG37/mean!AG37</f>
        <v>6.5395095367847409</v>
      </c>
      <c r="AH37" s="3">
        <f>100*std!AH37/mean!AH37</f>
        <v>2.1141649048625792</v>
      </c>
    </row>
    <row r="38" spans="1:34" x14ac:dyDescent="0.25">
      <c r="A38" s="28" t="s">
        <v>59</v>
      </c>
      <c r="B38" s="3" t="e">
        <f>100*std!B38/mean!B38</f>
        <v>#DIV/0!</v>
      </c>
      <c r="C38" s="3" t="e">
        <f>100*std!C38/mean!C38</f>
        <v>#DIV/0!</v>
      </c>
      <c r="D38" s="3" t="e">
        <f>100*std!D38/mean!D38</f>
        <v>#DIV/0!</v>
      </c>
      <c r="E38" s="3" t="e">
        <f>100*std!E38/mean!E38</f>
        <v>#DIV/0!</v>
      </c>
      <c r="F38" s="3" t="e">
        <f>100*std!F38/mean!F38</f>
        <v>#DIV/0!</v>
      </c>
      <c r="G38" s="3" t="e">
        <f>100*std!G38/mean!G38</f>
        <v>#DIV/0!</v>
      </c>
      <c r="H38" s="3" t="e">
        <f>100*std!H38/mean!H38</f>
        <v>#DIV/0!</v>
      </c>
      <c r="I38" s="3">
        <f>100*std!I38/mean!I38</f>
        <v>2671.7557251908397</v>
      </c>
      <c r="J38" s="3">
        <f>100*std!J38/mean!J38</f>
        <v>2.565564424173318</v>
      </c>
      <c r="K38" s="3" t="e">
        <f>100*std!K38/mean!K38</f>
        <v>#DIV/0!</v>
      </c>
      <c r="L38" s="3">
        <f>100*std!L38/mean!L38</f>
        <v>5.5147058823529411</v>
      </c>
      <c r="M38" s="3" t="e">
        <f>100*std!M38/mean!M38</f>
        <v>#DIV/0!</v>
      </c>
      <c r="N38" s="3" t="e">
        <f>100*std!N38/mean!N38</f>
        <v>#DIV/0!</v>
      </c>
      <c r="O38" s="3">
        <f>100*std!O38/mean!O38</f>
        <v>0.68775790921595592</v>
      </c>
      <c r="P38" s="3">
        <f>100*std!P38/mean!P38</f>
        <v>2.8653295128939829</v>
      </c>
      <c r="Q38" s="3" t="e">
        <f>100*std!Q38/mean!Q38</f>
        <v>#DIV/0!</v>
      </c>
      <c r="R38" s="3">
        <f>100*std!R38/mean!R38</f>
        <v>3.871940998994301</v>
      </c>
      <c r="S38" s="3" t="e">
        <f>100*std!S38/mean!S38</f>
        <v>#DIV/0!</v>
      </c>
      <c r="T38" s="3">
        <f>100*std!T38/mean!T38</f>
        <v>5.1777434312210202</v>
      </c>
      <c r="U38" s="3">
        <f>100*std!U38/mean!U38</f>
        <v>2.7027027027027026</v>
      </c>
      <c r="V38" s="3" t="e">
        <f>100*std!V38/mean!V38</f>
        <v>#DIV/0!</v>
      </c>
      <c r="W38" s="3">
        <f>100*std!W38/mean!W38</f>
        <v>4.4854881266490763</v>
      </c>
      <c r="X38" s="3">
        <f>100*std!X38/mean!X38</f>
        <v>12.745098039215687</v>
      </c>
      <c r="Y38" s="3" t="e">
        <f>100*std!Y38/mean!Y38</f>
        <v>#DIV/0!</v>
      </c>
      <c r="Z38" s="3">
        <f>100*std!Z38/mean!Z38</f>
        <v>2.9612756264236904</v>
      </c>
      <c r="AA38" s="3" t="e">
        <f>100*std!AA38/mean!AA38</f>
        <v>#DIV/0!</v>
      </c>
      <c r="AB38" s="3" t="e">
        <f>100*std!AB38/mean!AB38</f>
        <v>#DIV/0!</v>
      </c>
      <c r="AC38" s="3" t="e">
        <f>100*std!AC38/mean!AC38</f>
        <v>#DIV/0!</v>
      </c>
      <c r="AD38" s="3" t="e">
        <f>100*std!AD38/mean!AD38</f>
        <v>#DIV/0!</v>
      </c>
      <c r="AE38" s="3" t="e">
        <f>100*std!AE38/mean!AE38</f>
        <v>#DIV/0!</v>
      </c>
      <c r="AF38" s="3" t="e">
        <f>100*std!AF38/mean!AF38</f>
        <v>#DIV/0!</v>
      </c>
      <c r="AG38" s="3" t="e">
        <f>100*std!AG38/mean!AG38</f>
        <v>#DIV/0!</v>
      </c>
      <c r="AH38" s="3">
        <f>100*std!AH38/mean!AH38</f>
        <v>3.4946236559139785</v>
      </c>
    </row>
  </sheetData>
  <conditionalFormatting sqref="B2:AH38">
    <cfRule type="cellIs" dxfId="0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mg-kg</vt:lpstr>
      <vt:lpstr>mean</vt:lpstr>
      <vt:lpstr>std</vt:lpstr>
      <vt:lpstr>RSD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Oliden</dc:creator>
  <cp:lastModifiedBy>Jose Oliden</cp:lastModifiedBy>
  <dcterms:created xsi:type="dcterms:W3CDTF">2015-06-05T18:19:34Z</dcterms:created>
  <dcterms:modified xsi:type="dcterms:W3CDTF">2025-05-21T14:53:24Z</dcterms:modified>
</cp:coreProperties>
</file>