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Finales\SIM\2022\Ejercicios\"/>
    </mc:Choice>
  </mc:AlternateContent>
  <xr:revisionPtr revIDLastSave="0" documentId="13_ncr:1_{F3FE65BD-1460-46B9-822C-61CAD47C58E2}" xr6:coauthVersionLast="47" xr6:coauthVersionMax="47" xr10:uidLastSave="{00000000-0000-0000-0000-000000000000}"/>
  <bookViews>
    <workbookView xWindow="-120" yWindow="-120" windowWidth="29040" windowHeight="15840" firstSheet="1" activeTab="1" xr2:uid="{28A7684D-1BE0-4EE7-A4B4-7CEEA99A36AE}"/>
  </bookViews>
  <sheets>
    <sheet name="Montecarlo" sheetId="1" r:id="rId1"/>
    <sheet name="Montecarlo 2" sheetId="4" r:id="rId2"/>
    <sheet name="Montecarlo inventario" sheetId="2" r:id="rId3"/>
    <sheet name="Montecarlo inventario 2" sheetId="3" r:id="rId4"/>
    <sheet name="Montecarlo inventario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" l="1"/>
  <c r="G28" i="5"/>
  <c r="H25" i="5" s="1"/>
  <c r="H13" i="5"/>
  <c r="H14" i="5"/>
  <c r="H15" i="5"/>
  <c r="H16" i="5"/>
  <c r="H17" i="5"/>
  <c r="H18" i="5"/>
  <c r="H19" i="5"/>
  <c r="H20" i="5"/>
  <c r="H21" i="5"/>
  <c r="H12" i="5"/>
  <c r="K12" i="5"/>
  <c r="L12" i="5" s="1"/>
  <c r="B7" i="5"/>
  <c r="C5" i="5" s="1"/>
  <c r="H27" i="5" l="1"/>
  <c r="H26" i="5"/>
  <c r="K13" i="5"/>
  <c r="L13" i="5" s="1"/>
  <c r="M12" i="5"/>
  <c r="P12" i="5" s="1"/>
  <c r="Q12" i="5" s="1"/>
  <c r="C4" i="5"/>
  <c r="C2" i="5"/>
  <c r="D2" i="5" s="1"/>
  <c r="C3" i="5"/>
  <c r="D3" i="5" s="1"/>
  <c r="C6" i="5"/>
  <c r="M12" i="4"/>
  <c r="M13" i="4"/>
  <c r="M14" i="4" s="1"/>
  <c r="M15" i="4" s="1"/>
  <c r="M16" i="4" s="1"/>
  <c r="M17" i="4" s="1"/>
  <c r="M18" i="4" s="1"/>
  <c r="M19" i="4" s="1"/>
  <c r="M20" i="4" s="1"/>
  <c r="M11" i="4"/>
  <c r="I20" i="4"/>
  <c r="I19" i="4"/>
  <c r="I18" i="4"/>
  <c r="I17" i="4"/>
  <c r="I16" i="4"/>
  <c r="I14" i="4"/>
  <c r="I15" i="4"/>
  <c r="I13" i="4"/>
  <c r="I12" i="4"/>
  <c r="I11" i="4"/>
  <c r="L2" i="4"/>
  <c r="B4" i="4"/>
  <c r="C3" i="4" s="1"/>
  <c r="N12" i="3"/>
  <c r="M12" i="3"/>
  <c r="J20" i="3"/>
  <c r="L20" i="3" s="1"/>
  <c r="J19" i="3"/>
  <c r="L19" i="3" s="1"/>
  <c r="J18" i="3"/>
  <c r="L18" i="3" s="1"/>
  <c r="J17" i="3"/>
  <c r="L17" i="3" s="1"/>
  <c r="J16" i="3"/>
  <c r="L16" i="3" s="1"/>
  <c r="H16" i="3"/>
  <c r="J14" i="3"/>
  <c r="K14" i="3"/>
  <c r="G14" i="3"/>
  <c r="H15" i="3"/>
  <c r="G16" i="3" s="1"/>
  <c r="L13" i="3"/>
  <c r="J13" i="3"/>
  <c r="H13" i="3"/>
  <c r="G13" i="3"/>
  <c r="F14" i="3"/>
  <c r="F15" i="3"/>
  <c r="F16" i="3"/>
  <c r="F17" i="3"/>
  <c r="F18" i="3"/>
  <c r="F19" i="3"/>
  <c r="F20" i="3"/>
  <c r="F13" i="3"/>
  <c r="C3" i="3"/>
  <c r="C4" i="3"/>
  <c r="C5" i="3"/>
  <c r="C2" i="3"/>
  <c r="B6" i="3"/>
  <c r="D3" i="3"/>
  <c r="D4" i="3" s="1"/>
  <c r="D2" i="3"/>
  <c r="M10" i="2"/>
  <c r="L10" i="2"/>
  <c r="I22" i="2"/>
  <c r="I21" i="2"/>
  <c r="J20" i="2"/>
  <c r="J21" i="2"/>
  <c r="K21" i="2" s="1"/>
  <c r="I20" i="2"/>
  <c r="K20" i="2" s="1"/>
  <c r="I19" i="2"/>
  <c r="I18" i="2"/>
  <c r="J17" i="2"/>
  <c r="I17" i="2"/>
  <c r="J16" i="2"/>
  <c r="K16" i="2" s="1"/>
  <c r="I16" i="2"/>
  <c r="K13" i="2"/>
  <c r="J15" i="2"/>
  <c r="J12" i="2"/>
  <c r="I12" i="2"/>
  <c r="I13" i="2"/>
  <c r="I14" i="2"/>
  <c r="I15" i="2"/>
  <c r="K15" i="2" s="1"/>
  <c r="I11" i="2"/>
  <c r="K11" i="2" s="1"/>
  <c r="K14" i="2"/>
  <c r="K19" i="2"/>
  <c r="C4" i="2"/>
  <c r="C5" i="2"/>
  <c r="C2" i="2"/>
  <c r="H7" i="2"/>
  <c r="I3" i="2" s="1"/>
  <c r="B6" i="2"/>
  <c r="C3" i="2" s="1"/>
  <c r="D3" i="2" s="1"/>
  <c r="D4" i="2" s="1"/>
  <c r="D5" i="2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1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D32" i="1" s="1"/>
  <c r="K19" i="1"/>
  <c r="K18" i="1"/>
  <c r="K17" i="1"/>
  <c r="K16" i="1"/>
  <c r="D28" i="1" s="1"/>
  <c r="K15" i="1"/>
  <c r="K14" i="1"/>
  <c r="K13" i="1"/>
  <c r="D25" i="1" s="1"/>
  <c r="D27" i="1"/>
  <c r="D3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3" i="1"/>
  <c r="H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3" i="1"/>
  <c r="D14" i="1"/>
  <c r="D15" i="1"/>
  <c r="D16" i="1"/>
  <c r="D17" i="1"/>
  <c r="D18" i="1"/>
  <c r="D19" i="1"/>
  <c r="D20" i="1"/>
  <c r="D21" i="1"/>
  <c r="D22" i="1"/>
  <c r="D23" i="1"/>
  <c r="D24" i="1"/>
  <c r="D26" i="1"/>
  <c r="D29" i="1"/>
  <c r="D30" i="1"/>
  <c r="D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3" i="1"/>
  <c r="C13" i="1" s="1"/>
  <c r="M13" i="5" l="1"/>
  <c r="P13" i="5" s="1"/>
  <c r="K14" i="5"/>
  <c r="L14" i="5" s="1"/>
  <c r="D4" i="5"/>
  <c r="D5" i="5" s="1"/>
  <c r="D6" i="5" s="1"/>
  <c r="Q13" i="5"/>
  <c r="L16" i="5"/>
  <c r="M15" i="5"/>
  <c r="L3" i="4"/>
  <c r="C2" i="4"/>
  <c r="G17" i="3"/>
  <c r="H17" i="3" s="1"/>
  <c r="H18" i="3" s="1"/>
  <c r="G19" i="3" s="1"/>
  <c r="H19" i="3" s="1"/>
  <c r="H20" i="3" s="1"/>
  <c r="J15" i="3"/>
  <c r="L15" i="3" s="1"/>
  <c r="L14" i="3"/>
  <c r="D5" i="3"/>
  <c r="K22" i="2"/>
  <c r="K18" i="2"/>
  <c r="K17" i="2"/>
  <c r="K12" i="2"/>
  <c r="I6" i="2"/>
  <c r="I5" i="2"/>
  <c r="I4" i="2"/>
  <c r="J4" i="2" s="1"/>
  <c r="J5" i="2" s="1"/>
  <c r="J6" i="2" s="1"/>
  <c r="I2" i="2"/>
  <c r="J2" i="2" s="1"/>
  <c r="J3" i="2"/>
  <c r="M12" i="1"/>
  <c r="M14" i="5" l="1"/>
  <c r="P14" i="5" s="1"/>
  <c r="K15" i="5"/>
  <c r="O15" i="5" s="1"/>
  <c r="P15" i="5" s="1"/>
  <c r="Q15" i="5" s="1"/>
  <c r="Q14" i="5"/>
  <c r="M16" i="5"/>
  <c r="P16" i="5" s="1"/>
  <c r="Q16" i="5" l="1"/>
</calcChain>
</file>

<file path=xl/sharedStrings.xml><?xml version="1.0" encoding="utf-8"?>
<sst xmlns="http://schemas.openxmlformats.org/spreadsheetml/2006/main" count="144" uniqueCount="74">
  <si>
    <t>Dx</t>
  </si>
  <si>
    <t>Pr</t>
  </si>
  <si>
    <t>Dx2</t>
  </si>
  <si>
    <t>Pr2</t>
  </si>
  <si>
    <t>Sol</t>
  </si>
  <si>
    <t>Lluvia</t>
  </si>
  <si>
    <t>Reloj (dias)</t>
  </si>
  <si>
    <t>RND1</t>
  </si>
  <si>
    <t>Tiempo</t>
  </si>
  <si>
    <t>RND2</t>
  </si>
  <si>
    <t>Pr acc</t>
  </si>
  <si>
    <t>Pr ACC2</t>
  </si>
  <si>
    <t>Demanda(doc)</t>
  </si>
  <si>
    <t>Costo/dia</t>
  </si>
  <si>
    <t>Ganancia/dia</t>
  </si>
  <si>
    <t>Ganancia promedio/dia</t>
  </si>
  <si>
    <t>Compra 9doc/dia</t>
  </si>
  <si>
    <t>Ganancia descuento</t>
  </si>
  <si>
    <t>Ganancia total</t>
  </si>
  <si>
    <t>Demora</t>
  </si>
  <si>
    <t>Veces</t>
  </si>
  <si>
    <t>Acc</t>
  </si>
  <si>
    <t>Demanda</t>
  </si>
  <si>
    <t>Dias</t>
  </si>
  <si>
    <t>Costo Pedido</t>
  </si>
  <si>
    <t>Costo storage</t>
  </si>
  <si>
    <t>Costo perdida</t>
  </si>
  <si>
    <t>Costo total</t>
  </si>
  <si>
    <t>44, 13, 98, 71, 39, 80, 24, 94, 06, 62, 58, 90, 29, 11</t>
  </si>
  <si>
    <t>52, 70, 83, 22, 03, 33, 95, 34, 76, 02, 86, 30</t>
  </si>
  <si>
    <t>RND</t>
  </si>
  <si>
    <t>Demora dias</t>
  </si>
  <si>
    <t>Costo acc</t>
  </si>
  <si>
    <t>Stock restante</t>
  </si>
  <si>
    <t>Stock inicio</t>
  </si>
  <si>
    <t>Promedio costo diario</t>
  </si>
  <si>
    <t>Freq</t>
  </si>
  <si>
    <t>0-200</t>
  </si>
  <si>
    <t>200-400</t>
  </si>
  <si>
    <t>400-600</t>
  </si>
  <si>
    <t>600-800</t>
  </si>
  <si>
    <t>Desde</t>
  </si>
  <si>
    <t>Hasta</t>
  </si>
  <si>
    <t xml:space="preserve">RND </t>
  </si>
  <si>
    <t>Semanas</t>
  </si>
  <si>
    <t>31, 75, 45, 11, 08, 39, 55, 21</t>
  </si>
  <si>
    <t>35, 21, 88, 29, 24, 02, 49, 70</t>
  </si>
  <si>
    <t>Articulos</t>
  </si>
  <si>
    <t>Cantidad</t>
  </si>
  <si>
    <t>Rubro</t>
  </si>
  <si>
    <t>Alimentos</t>
  </si>
  <si>
    <t>Limpieza</t>
  </si>
  <si>
    <t>Perfumeria</t>
  </si>
  <si>
    <t>Clientes</t>
  </si>
  <si>
    <t>Cant Art</t>
  </si>
  <si>
    <t>Art 1</t>
  </si>
  <si>
    <t>Art 2</t>
  </si>
  <si>
    <t>Precio</t>
  </si>
  <si>
    <t>Total L</t>
  </si>
  <si>
    <t>Total A</t>
  </si>
  <si>
    <t>Total P</t>
  </si>
  <si>
    <t>A</t>
  </si>
  <si>
    <t>L</t>
  </si>
  <si>
    <t>P</t>
  </si>
  <si>
    <t>No elegido 1</t>
  </si>
  <si>
    <t>No elegido 2</t>
  </si>
  <si>
    <t>RND U</t>
  </si>
  <si>
    <t>Demora BC</t>
  </si>
  <si>
    <t>Dia</t>
  </si>
  <si>
    <t>Demora AB</t>
  </si>
  <si>
    <t>Freq demora</t>
  </si>
  <si>
    <t>Costo pedido</t>
  </si>
  <si>
    <t>Stock inicial</t>
  </si>
  <si>
    <t>Total demora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</si>
</sst>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CIDFont+F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2</xdr:row>
      <xdr:rowOff>152401</xdr:rowOff>
    </xdr:from>
    <xdr:to>
      <xdr:col>16</xdr:col>
      <xdr:colOff>171450</xdr:colOff>
      <xdr:row>5</xdr:row>
      <xdr:rowOff>19051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DF4ED8-B235-9A05-531C-AC61F5E12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704" r="2967" b="14618"/>
        <a:stretch/>
      </xdr:blipFill>
      <xdr:spPr>
        <a:xfrm>
          <a:off x="3829050" y="533401"/>
          <a:ext cx="8763000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4</xdr:row>
      <xdr:rowOff>47625</xdr:rowOff>
    </xdr:from>
    <xdr:to>
      <xdr:col>10</xdr:col>
      <xdr:colOff>324278</xdr:colOff>
      <xdr:row>8</xdr:row>
      <xdr:rowOff>57258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CFE910-6354-E795-84AA-A1256C17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809625"/>
          <a:ext cx="3067478" cy="7716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2A812-CDD1-4690-9020-AF8F76CD932B}" name="Tabla1" displayName="Tabla1" ref="A1:F8" totalsRowShown="0">
  <autoFilter ref="A1:F8" xr:uid="{5692A812-CDD1-4690-9020-AF8F76CD932B}"/>
  <tableColumns count="6">
    <tableColumn id="1" xr3:uid="{769D469C-0FCC-4D61-B55A-4BF2CF168D6B}" name="Dx"/>
    <tableColumn id="2" xr3:uid="{D167D2D5-6121-41F3-97DA-75315D07148A}" name="Pr"/>
    <tableColumn id="8" xr3:uid="{CDB2ECC6-C8E5-4E95-B179-AB2E0893BE6F}" name="Pr acc"/>
    <tableColumn id="3" xr3:uid="{0892C5E7-5E45-4F70-B240-B02693D8F810}" name="Dx2"/>
    <tableColumn id="4" xr3:uid="{CDF71652-73D8-4E08-B785-3DA3AA1CA508}" name="Pr2"/>
    <tableColumn id="6" xr3:uid="{F27858E1-841D-4EA0-AAEA-608A79BF6F7E}" name="Pr ACC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0597C3-8DB6-4A69-985D-2B074AA05772}" name="Tabla11" displayName="Tabla11" ref="J1:L4" totalsRowShown="0">
  <autoFilter ref="J1:L4" xr:uid="{B60597C3-8DB6-4A69-985D-2B074AA05772}"/>
  <tableColumns count="3">
    <tableColumn id="1" xr3:uid="{36FC4F0F-C71F-409E-B736-B54A67DC260D}" name="Demora BC"/>
    <tableColumn id="2" xr3:uid="{BE5640FF-B20D-4F81-B4CF-11E7B54106B5}" name="Pr"/>
    <tableColumn id="3" xr3:uid="{5645F190-D16A-4693-9CB7-63CE8DCB929B}" name="Acc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94C776-4AD3-4306-A2FE-C483C0862C49}" name="Tabla12" displayName="Tabla12" ref="F24:I28" totalsRowShown="0">
  <autoFilter ref="F24:I28" xr:uid="{4294C776-4AD3-4306-A2FE-C483C0862C49}"/>
  <tableColumns count="4">
    <tableColumn id="1" xr3:uid="{2B2162BE-8C5D-42EB-B1E9-0919C91439C3}" name="Dias"/>
    <tableColumn id="2" xr3:uid="{070730FE-B728-41A2-9A28-17ACA7A129E1}" name="Freq demora"/>
    <tableColumn id="3" xr3:uid="{EC970789-5240-4BA8-BA70-7294252B3C64}" name="Pr"/>
    <tableColumn id="4" xr3:uid="{079A2072-CF05-4EE3-B32D-2183D5EFDB6E}" name="Ac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44DD9E-B7C9-49B2-BC10-54A324F04B80}" name="Tabla5" displayName="Tabla5" ref="A1:D4" totalsRowShown="0">
  <autoFilter ref="A1:D4" xr:uid="{F944DD9E-B7C9-49B2-BC10-54A324F04B80}"/>
  <tableColumns count="4">
    <tableColumn id="1" xr3:uid="{76875D13-7150-4381-B0D2-93FD157CA3EC}" name="Articulos"/>
    <tableColumn id="2" xr3:uid="{1D2BE698-E62C-4449-B13E-BC6DC8775788}" name="Cantidad"/>
    <tableColumn id="3" xr3:uid="{B9EEA65B-BABE-43D4-8AB1-BA781A6763FF}" name="Pr"/>
    <tableColumn id="4" xr3:uid="{6821F4F0-077C-4485-859D-DB78640A5A08}" name="Ac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5BEFCD-7C7A-4AC3-9317-D138EA4AF2ED}" name="Tabla6" displayName="Tabla6" ref="F1:H5" totalsRowShown="0">
  <autoFilter ref="F1:H5" xr:uid="{925BEFCD-7C7A-4AC3-9317-D138EA4AF2ED}"/>
  <tableColumns count="3">
    <tableColumn id="1" xr3:uid="{73BC3C16-947D-436F-A9DD-7BE2ED3CD003}" name="Rubro"/>
    <tableColumn id="2" xr3:uid="{3163BD56-2383-4237-BFFB-B13AB8F52066}" name="Pr"/>
    <tableColumn id="3" xr3:uid="{9AB2C5F5-FF72-4892-B0E1-6EB38674F844}" name="Ac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D5DDD6-8BFC-4C7D-85B6-E42737FC93A7}" name="Tabla7" displayName="Tabla7" ref="J1:L5" totalsRowShown="0">
  <autoFilter ref="J1:L5" xr:uid="{79D5DDD6-8BFC-4C7D-85B6-E42737FC93A7}"/>
  <tableColumns count="3">
    <tableColumn id="1" xr3:uid="{01A3018F-9D5C-4C2D-A437-058E6AEA66AF}" name="Rubro"/>
    <tableColumn id="2" xr3:uid="{5CF38F16-0EDA-4395-8EF1-408EC470F739}" name="Pr"/>
    <tableColumn id="3" xr3:uid="{C2544C08-664B-4B04-94F7-62AFA9B88172}" name="Ac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5DBA7-FB35-4F09-B9C5-2A41E5F43E14}" name="Tabla2" displayName="Tabla2" ref="A1:D6" totalsRowShown="0">
  <autoFilter ref="A1:D6" xr:uid="{9645DBA7-FB35-4F09-B9C5-2A41E5F43E14}"/>
  <tableColumns count="4">
    <tableColumn id="1" xr3:uid="{644CFACB-C357-4864-8772-1F93570C945B}" name="Demora"/>
    <tableColumn id="2" xr3:uid="{FCE78BF2-7647-40FC-A7F3-280162D0D08A}" name="Veces"/>
    <tableColumn id="3" xr3:uid="{55317FAC-8611-4B56-B927-74723BE4DEDF}" name="Pr" dataDxfId="5">
      <calculatedColumnFormula>Tabla2[[#This Row],[Demora]]/Tabla2[[#This Row],[Veces]]</calculatedColumnFormula>
    </tableColumn>
    <tableColumn id="4" xr3:uid="{51EB7792-935E-4D66-815C-7125BEFF30FF}" name="Acc" dataDxfId="4">
      <calculatedColumnFormula>0.125+0.125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3BB2C6-4F3A-4F0C-80C2-6B5F02066C36}" name="Tabla24" displayName="Tabla24" ref="G1:J7" totalsRowCount="1">
  <autoFilter ref="G1:J6" xr:uid="{123BB2C6-4F3A-4F0C-80C2-6B5F02066C36}"/>
  <tableColumns count="4">
    <tableColumn id="1" xr3:uid="{24A06903-AB24-4F4F-96FE-2FC47E2514BF}" name="Demanda"/>
    <tableColumn id="2" xr3:uid="{908B0BDA-D9A6-4573-B46F-016A4A04E67A}" name="Dias" totalsRowFunction="sum"/>
    <tableColumn id="3" xr3:uid="{A88ECF8A-AA6F-4C85-9621-631729889888}" name="Pr" dataDxfId="3" totalsRowDxfId="2">
      <calculatedColumnFormula>Tabla24[[#This Row],[Dias]]/Tabla24[[#Totals],[Dias]]</calculatedColumnFormula>
    </tableColumn>
    <tableColumn id="4" xr3:uid="{1ADC5A23-0AD7-43D6-AF8D-EB6464F93B5E}" name="Acc" dataDxfId="1" totalsRowDxfId="0">
      <calculatedColumnFormula>0.125+0.125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95718F-1CA7-4A1F-A7D3-731A21CFA779}" name="Tabla4" displayName="Tabla4" ref="A1:D7" totalsRowShown="0">
  <autoFilter ref="A1:D7" xr:uid="{EF95718F-1CA7-4A1F-A7D3-731A21CFA779}"/>
  <tableColumns count="4">
    <tableColumn id="1" xr3:uid="{51A6D6A0-7CD3-4FA9-AD4F-A787086A9897}" name="Demanda"/>
    <tableColumn id="2" xr3:uid="{CE2FA8A4-3C64-48B4-9B01-F4E978B2161F}" name="Freq"/>
    <tableColumn id="3" xr3:uid="{8D9E079D-4CC3-473C-9291-17CC0EE3BD9E}" name="Pr"/>
    <tableColumn id="4" xr3:uid="{1CC02193-5844-4953-97FB-8719BCA118CD}" name="Ac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7A7B61-142B-456F-8DA2-91DDA73D342C}" name="Tabla8" displayName="Tabla8" ref="A1:D7" totalsRowShown="0">
  <autoFilter ref="A1:D7" xr:uid="{8B7A7B61-142B-456F-8DA2-91DDA73D342C}"/>
  <tableColumns count="4">
    <tableColumn id="1" xr3:uid="{DD724CBB-7833-4179-9A8E-EF424BA9EFBD}" name="Demanda"/>
    <tableColumn id="2" xr3:uid="{629CD611-D2BE-40C5-B03D-949B72E9B5F8}" name="Freq"/>
    <tableColumn id="3" xr3:uid="{72B7B2E4-84A0-4818-AF59-1C4B04FD96FF}" name="Pr"/>
    <tableColumn id="4" xr3:uid="{DE64338E-063B-4ACB-939F-537EB1BED6FA}" name="Acc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8EDD4F-3722-44C4-A858-73730495F18A}" name="Tabla9" displayName="Tabla9" ref="F1:H4" totalsRowShown="0">
  <autoFilter ref="F1:H4" xr:uid="{518EDD4F-3722-44C4-A858-73730495F18A}"/>
  <tableColumns count="3">
    <tableColumn id="1" xr3:uid="{7E92FF07-4FD7-4F25-A845-2069CAC77C40}" name="Demora"/>
    <tableColumn id="2" xr3:uid="{DF665703-3BDE-4B1C-960E-A9F19F0EE48A}" name="Pr"/>
    <tableColumn id="3" xr3:uid="{352AA01C-2463-45ED-A28B-0C3CD7453FAA}" name="Ac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BFED-5EDD-4F7B-98D3-133E5BDA7C96}">
  <dimension ref="A1:M32"/>
  <sheetViews>
    <sheetView workbookViewId="0">
      <selection activeCell="C17" sqref="C17"/>
    </sheetView>
  </sheetViews>
  <sheetFormatPr baseColWidth="10" defaultRowHeight="15"/>
  <cols>
    <col min="1" max="4" width="12.28515625" customWidth="1"/>
    <col min="5" max="5" width="13.5703125" customWidth="1"/>
    <col min="7" max="7" width="13.28515625" customWidth="1"/>
    <col min="8" max="8" width="14.140625" customWidth="1"/>
    <col min="9" max="9" width="11.7109375" bestFit="1" customWidth="1"/>
    <col min="10" max="10" width="14.42578125" customWidth="1"/>
  </cols>
  <sheetData>
    <row r="1" spans="1:1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11</v>
      </c>
    </row>
    <row r="2" spans="1:13">
      <c r="A2">
        <v>3</v>
      </c>
      <c r="B2">
        <v>0.05</v>
      </c>
      <c r="C2">
        <v>0.05</v>
      </c>
      <c r="D2">
        <v>6</v>
      </c>
      <c r="E2">
        <v>0.1</v>
      </c>
      <c r="F2">
        <v>0.1</v>
      </c>
    </row>
    <row r="3" spans="1:13">
      <c r="A3">
        <v>4</v>
      </c>
      <c r="B3">
        <v>0.15</v>
      </c>
      <c r="C3">
        <v>0.2</v>
      </c>
      <c r="D3">
        <v>7</v>
      </c>
      <c r="E3">
        <v>0.2</v>
      </c>
      <c r="F3">
        <v>0.3</v>
      </c>
    </row>
    <row r="4" spans="1:13">
      <c r="A4">
        <v>5</v>
      </c>
      <c r="B4">
        <v>0.4</v>
      </c>
      <c r="C4">
        <v>0.6</v>
      </c>
      <c r="D4">
        <v>8</v>
      </c>
      <c r="E4">
        <v>0.45</v>
      </c>
      <c r="F4">
        <v>0.75</v>
      </c>
    </row>
    <row r="5" spans="1:13">
      <c r="A5">
        <v>6</v>
      </c>
      <c r="B5">
        <v>0.25</v>
      </c>
      <c r="C5">
        <v>0.85</v>
      </c>
      <c r="D5">
        <v>9</v>
      </c>
      <c r="E5">
        <v>0.25</v>
      </c>
      <c r="F5">
        <v>1</v>
      </c>
    </row>
    <row r="6" spans="1:13">
      <c r="A6">
        <v>7</v>
      </c>
      <c r="B6">
        <v>0.15</v>
      </c>
      <c r="C6">
        <v>1</v>
      </c>
    </row>
    <row r="7" spans="1:13">
      <c r="A7" t="s">
        <v>4</v>
      </c>
      <c r="B7">
        <v>0.75</v>
      </c>
    </row>
    <row r="8" spans="1:13">
      <c r="A8" t="s">
        <v>5</v>
      </c>
      <c r="B8">
        <v>0.25</v>
      </c>
    </row>
    <row r="11" spans="1:13" ht="45">
      <c r="A11" t="s">
        <v>6</v>
      </c>
      <c r="B11" t="s">
        <v>7</v>
      </c>
      <c r="C11" t="s">
        <v>8</v>
      </c>
      <c r="D11" t="s">
        <v>9</v>
      </c>
      <c r="E11" t="s">
        <v>12</v>
      </c>
      <c r="F11" t="s">
        <v>13</v>
      </c>
      <c r="G11" t="s">
        <v>14</v>
      </c>
      <c r="H11" s="1" t="s">
        <v>15</v>
      </c>
      <c r="I11" s="1" t="s">
        <v>16</v>
      </c>
      <c r="J11" t="s">
        <v>14</v>
      </c>
      <c r="K11" s="1" t="s">
        <v>17</v>
      </c>
      <c r="L11" s="1" t="s">
        <v>18</v>
      </c>
      <c r="M11" s="1" t="s">
        <v>15</v>
      </c>
    </row>
    <row r="12" spans="1:13">
      <c r="A12">
        <v>0</v>
      </c>
      <c r="H12">
        <f>SUM(G13:G32)/20</f>
        <v>29.4</v>
      </c>
      <c r="M12">
        <f>L32/20</f>
        <v>31.379999999999995</v>
      </c>
    </row>
    <row r="13" spans="1:13">
      <c r="A13">
        <v>1</v>
      </c>
      <c r="B13">
        <f t="shared" ref="B13:B20" si="0">T1/100</f>
        <v>0</v>
      </c>
      <c r="C13" t="str">
        <f t="shared" ref="C13:C32" si="1">IF(B13&lt;$B$7,$A$7,$A$8)</f>
        <v>Sol</v>
      </c>
      <c r="D13">
        <f t="shared" ref="D13:D20" si="2">M1/100</f>
        <v>0</v>
      </c>
      <c r="E13">
        <v>8</v>
      </c>
      <c r="F13">
        <f>8*E13</f>
        <v>64</v>
      </c>
      <c r="G13">
        <f>(12*E13)-F13</f>
        <v>32</v>
      </c>
      <c r="I13">
        <f>9*8</f>
        <v>72</v>
      </c>
      <c r="J13">
        <v>32</v>
      </c>
      <c r="K13">
        <f>(9-E13)*1.2</f>
        <v>1.2</v>
      </c>
      <c r="L13">
        <f>K13+J13+L12</f>
        <v>33.200000000000003</v>
      </c>
    </row>
    <row r="14" spans="1:13">
      <c r="A14">
        <v>2</v>
      </c>
      <c r="B14">
        <f t="shared" si="0"/>
        <v>0</v>
      </c>
      <c r="C14" t="str">
        <f t="shared" si="1"/>
        <v>Sol</v>
      </c>
      <c r="D14">
        <f t="shared" si="2"/>
        <v>0</v>
      </c>
      <c r="E14">
        <v>8</v>
      </c>
      <c r="F14">
        <f t="shared" ref="F14:F32" si="3">8*E14</f>
        <v>64</v>
      </c>
      <c r="G14">
        <f t="shared" ref="G14:G32" si="4">(12*E14)-F14</f>
        <v>32</v>
      </c>
      <c r="I14">
        <f t="shared" ref="I14:I32" si="5">9*8</f>
        <v>72</v>
      </c>
      <c r="J14">
        <v>32</v>
      </c>
      <c r="K14">
        <f t="shared" ref="K14:K32" si="6">(9-E14)*1.2</f>
        <v>1.2</v>
      </c>
      <c r="L14">
        <f t="shared" ref="L14:L32" si="7">K14+J14+L13</f>
        <v>66.400000000000006</v>
      </c>
    </row>
    <row r="15" spans="1:13">
      <c r="A15">
        <v>3</v>
      </c>
      <c r="B15">
        <f t="shared" si="0"/>
        <v>0</v>
      </c>
      <c r="C15" t="str">
        <f t="shared" si="1"/>
        <v>Sol</v>
      </c>
      <c r="D15">
        <f t="shared" si="2"/>
        <v>0</v>
      </c>
      <c r="E15">
        <v>9</v>
      </c>
      <c r="F15">
        <f t="shared" si="3"/>
        <v>72</v>
      </c>
      <c r="G15">
        <f t="shared" si="4"/>
        <v>36</v>
      </c>
      <c r="I15">
        <f t="shared" si="5"/>
        <v>72</v>
      </c>
      <c r="J15">
        <v>36</v>
      </c>
      <c r="K15">
        <f t="shared" si="6"/>
        <v>0</v>
      </c>
      <c r="L15">
        <f t="shared" si="7"/>
        <v>102.4</v>
      </c>
    </row>
    <row r="16" spans="1:13">
      <c r="A16">
        <v>4</v>
      </c>
      <c r="B16">
        <f t="shared" si="0"/>
        <v>0</v>
      </c>
      <c r="C16" t="str">
        <f t="shared" si="1"/>
        <v>Sol</v>
      </c>
      <c r="D16">
        <f t="shared" si="2"/>
        <v>0</v>
      </c>
      <c r="E16">
        <v>6</v>
      </c>
      <c r="F16">
        <f t="shared" si="3"/>
        <v>48</v>
      </c>
      <c r="G16">
        <f t="shared" si="4"/>
        <v>24</v>
      </c>
      <c r="I16">
        <f t="shared" si="5"/>
        <v>72</v>
      </c>
      <c r="J16">
        <v>24</v>
      </c>
      <c r="K16">
        <f t="shared" si="6"/>
        <v>3.5999999999999996</v>
      </c>
      <c r="L16">
        <f t="shared" si="7"/>
        <v>130</v>
      </c>
    </row>
    <row r="17" spans="1:12">
      <c r="A17">
        <v>5</v>
      </c>
      <c r="B17">
        <f t="shared" si="0"/>
        <v>0</v>
      </c>
      <c r="C17" t="str">
        <f t="shared" si="1"/>
        <v>Sol</v>
      </c>
      <c r="D17">
        <f t="shared" si="2"/>
        <v>0</v>
      </c>
      <c r="E17">
        <v>9</v>
      </c>
      <c r="F17">
        <f t="shared" si="3"/>
        <v>72</v>
      </c>
      <c r="G17">
        <f t="shared" si="4"/>
        <v>36</v>
      </c>
      <c r="I17">
        <f t="shared" si="5"/>
        <v>72</v>
      </c>
      <c r="J17">
        <v>36</v>
      </c>
      <c r="K17">
        <f t="shared" si="6"/>
        <v>0</v>
      </c>
      <c r="L17">
        <f t="shared" si="7"/>
        <v>166</v>
      </c>
    </row>
    <row r="18" spans="1:12">
      <c r="A18">
        <v>6</v>
      </c>
      <c r="B18">
        <f t="shared" si="0"/>
        <v>0</v>
      </c>
      <c r="C18" t="str">
        <f t="shared" si="1"/>
        <v>Sol</v>
      </c>
      <c r="D18">
        <f t="shared" si="2"/>
        <v>0</v>
      </c>
      <c r="E18">
        <v>7</v>
      </c>
      <c r="F18">
        <f t="shared" si="3"/>
        <v>56</v>
      </c>
      <c r="G18">
        <f t="shared" si="4"/>
        <v>28</v>
      </c>
      <c r="I18">
        <f t="shared" si="5"/>
        <v>72</v>
      </c>
      <c r="J18">
        <v>28</v>
      </c>
      <c r="K18">
        <f t="shared" si="6"/>
        <v>2.4</v>
      </c>
      <c r="L18">
        <f t="shared" si="7"/>
        <v>196.4</v>
      </c>
    </row>
    <row r="19" spans="1:12">
      <c r="A19">
        <v>7</v>
      </c>
      <c r="B19">
        <f t="shared" si="0"/>
        <v>0</v>
      </c>
      <c r="C19" t="str">
        <f t="shared" si="1"/>
        <v>Sol</v>
      </c>
      <c r="D19">
        <f t="shared" si="2"/>
        <v>0</v>
      </c>
      <c r="E19">
        <v>7</v>
      </c>
      <c r="F19">
        <f t="shared" si="3"/>
        <v>56</v>
      </c>
      <c r="G19">
        <f t="shared" si="4"/>
        <v>28</v>
      </c>
      <c r="I19">
        <f t="shared" si="5"/>
        <v>72</v>
      </c>
      <c r="J19">
        <v>28</v>
      </c>
      <c r="K19">
        <f t="shared" si="6"/>
        <v>2.4</v>
      </c>
      <c r="L19">
        <f t="shared" si="7"/>
        <v>226.8</v>
      </c>
    </row>
    <row r="20" spans="1:12">
      <c r="A20">
        <v>8</v>
      </c>
      <c r="B20">
        <f t="shared" si="0"/>
        <v>0</v>
      </c>
      <c r="C20" t="str">
        <f t="shared" si="1"/>
        <v>Sol</v>
      </c>
      <c r="D20">
        <f t="shared" si="2"/>
        <v>0</v>
      </c>
      <c r="E20">
        <v>7</v>
      </c>
      <c r="F20">
        <f t="shared" si="3"/>
        <v>56</v>
      </c>
      <c r="G20">
        <f t="shared" si="4"/>
        <v>28</v>
      </c>
      <c r="I20">
        <f t="shared" si="5"/>
        <v>72</v>
      </c>
      <c r="J20">
        <v>28</v>
      </c>
      <c r="K20">
        <f t="shared" si="6"/>
        <v>2.4</v>
      </c>
      <c r="L20">
        <f t="shared" si="7"/>
        <v>257.2</v>
      </c>
    </row>
    <row r="21" spans="1:12">
      <c r="A21">
        <v>9</v>
      </c>
      <c r="B21">
        <f t="shared" ref="B21:B32" si="8">R9/100</f>
        <v>0</v>
      </c>
      <c r="C21" t="str">
        <f t="shared" si="1"/>
        <v>Sol</v>
      </c>
      <c r="D21">
        <f t="shared" ref="D21:D32" si="9">K9/100</f>
        <v>0</v>
      </c>
      <c r="E21">
        <v>5</v>
      </c>
      <c r="F21">
        <f t="shared" si="3"/>
        <v>40</v>
      </c>
      <c r="G21">
        <f t="shared" si="4"/>
        <v>20</v>
      </c>
      <c r="I21">
        <f t="shared" si="5"/>
        <v>72</v>
      </c>
      <c r="J21">
        <v>20</v>
      </c>
      <c r="K21">
        <f t="shared" si="6"/>
        <v>4.8</v>
      </c>
      <c r="L21">
        <f t="shared" si="7"/>
        <v>282</v>
      </c>
    </row>
    <row r="22" spans="1:12">
      <c r="A22">
        <v>10</v>
      </c>
      <c r="B22">
        <f t="shared" si="8"/>
        <v>0</v>
      </c>
      <c r="C22" t="str">
        <f t="shared" si="1"/>
        <v>Sol</v>
      </c>
      <c r="D22">
        <f t="shared" si="9"/>
        <v>0</v>
      </c>
      <c r="E22">
        <v>7</v>
      </c>
      <c r="F22">
        <f t="shared" si="3"/>
        <v>56</v>
      </c>
      <c r="G22">
        <f t="shared" si="4"/>
        <v>28</v>
      </c>
      <c r="I22">
        <f t="shared" si="5"/>
        <v>72</v>
      </c>
      <c r="J22">
        <v>28</v>
      </c>
      <c r="K22">
        <f t="shared" si="6"/>
        <v>2.4</v>
      </c>
      <c r="L22">
        <f t="shared" si="7"/>
        <v>312.39999999999998</v>
      </c>
    </row>
    <row r="23" spans="1:12">
      <c r="A23">
        <v>11</v>
      </c>
      <c r="B23">
        <f t="shared" si="8"/>
        <v>0</v>
      </c>
      <c r="C23" t="str">
        <f t="shared" si="1"/>
        <v>Sol</v>
      </c>
      <c r="D23" t="e">
        <f t="shared" si="9"/>
        <v>#VALUE!</v>
      </c>
      <c r="E23">
        <v>8</v>
      </c>
      <c r="F23">
        <f t="shared" si="3"/>
        <v>64</v>
      </c>
      <c r="G23">
        <f t="shared" si="4"/>
        <v>32</v>
      </c>
      <c r="I23">
        <f t="shared" si="5"/>
        <v>72</v>
      </c>
      <c r="J23">
        <v>32</v>
      </c>
      <c r="K23">
        <f t="shared" si="6"/>
        <v>1.2</v>
      </c>
      <c r="L23">
        <f t="shared" si="7"/>
        <v>345.59999999999997</v>
      </c>
    </row>
    <row r="24" spans="1:12">
      <c r="A24">
        <v>12</v>
      </c>
      <c r="B24">
        <f t="shared" si="8"/>
        <v>0</v>
      </c>
      <c r="C24" t="str">
        <f t="shared" si="1"/>
        <v>Sol</v>
      </c>
      <c r="D24">
        <f t="shared" si="9"/>
        <v>0</v>
      </c>
      <c r="E24">
        <v>9</v>
      </c>
      <c r="F24">
        <f t="shared" si="3"/>
        <v>72</v>
      </c>
      <c r="G24">
        <f t="shared" si="4"/>
        <v>36</v>
      </c>
      <c r="I24">
        <f t="shared" si="5"/>
        <v>72</v>
      </c>
      <c r="J24">
        <v>36</v>
      </c>
      <c r="K24">
        <f t="shared" si="6"/>
        <v>0</v>
      </c>
      <c r="L24">
        <f t="shared" si="7"/>
        <v>381.59999999999997</v>
      </c>
    </row>
    <row r="25" spans="1:12">
      <c r="A25">
        <v>13</v>
      </c>
      <c r="B25">
        <f t="shared" si="8"/>
        <v>0</v>
      </c>
      <c r="C25" t="str">
        <f t="shared" si="1"/>
        <v>Sol</v>
      </c>
      <c r="D25">
        <f t="shared" si="9"/>
        <v>1.2E-2</v>
      </c>
      <c r="E25">
        <v>8</v>
      </c>
      <c r="F25">
        <f t="shared" si="3"/>
        <v>64</v>
      </c>
      <c r="G25">
        <f t="shared" si="4"/>
        <v>32</v>
      </c>
      <c r="I25">
        <f t="shared" si="5"/>
        <v>72</v>
      </c>
      <c r="J25">
        <v>32</v>
      </c>
      <c r="K25">
        <f t="shared" si="6"/>
        <v>1.2</v>
      </c>
      <c r="L25">
        <f t="shared" si="7"/>
        <v>414.79999999999995</v>
      </c>
    </row>
    <row r="26" spans="1:12">
      <c r="A26">
        <v>14</v>
      </c>
      <c r="B26">
        <f t="shared" si="8"/>
        <v>0</v>
      </c>
      <c r="C26" t="str">
        <f t="shared" si="1"/>
        <v>Sol</v>
      </c>
      <c r="D26">
        <f t="shared" si="9"/>
        <v>1.2E-2</v>
      </c>
      <c r="E26">
        <v>7</v>
      </c>
      <c r="F26">
        <f t="shared" si="3"/>
        <v>56</v>
      </c>
      <c r="G26">
        <f t="shared" si="4"/>
        <v>28</v>
      </c>
      <c r="I26">
        <f t="shared" si="5"/>
        <v>72</v>
      </c>
      <c r="J26">
        <v>28</v>
      </c>
      <c r="K26">
        <f t="shared" si="6"/>
        <v>2.4</v>
      </c>
      <c r="L26">
        <f t="shared" si="7"/>
        <v>445.19999999999993</v>
      </c>
    </row>
    <row r="27" spans="1:12">
      <c r="A27">
        <v>15</v>
      </c>
      <c r="B27">
        <f t="shared" si="8"/>
        <v>0</v>
      </c>
      <c r="C27" t="str">
        <f t="shared" si="1"/>
        <v>Sol</v>
      </c>
      <c r="D27">
        <f t="shared" si="9"/>
        <v>0</v>
      </c>
      <c r="E27">
        <v>9</v>
      </c>
      <c r="F27">
        <f t="shared" si="3"/>
        <v>72</v>
      </c>
      <c r="G27">
        <f t="shared" si="4"/>
        <v>36</v>
      </c>
      <c r="I27">
        <f t="shared" si="5"/>
        <v>72</v>
      </c>
      <c r="J27">
        <v>36</v>
      </c>
      <c r="K27">
        <f t="shared" si="6"/>
        <v>0</v>
      </c>
      <c r="L27">
        <f t="shared" si="7"/>
        <v>481.19999999999993</v>
      </c>
    </row>
    <row r="28" spans="1:12">
      <c r="A28">
        <v>16</v>
      </c>
      <c r="B28">
        <f t="shared" si="8"/>
        <v>0</v>
      </c>
      <c r="C28" t="str">
        <f t="shared" si="1"/>
        <v>Sol</v>
      </c>
      <c r="D28">
        <f t="shared" si="9"/>
        <v>3.5999999999999997E-2</v>
      </c>
      <c r="E28">
        <v>9</v>
      </c>
      <c r="F28">
        <f t="shared" si="3"/>
        <v>72</v>
      </c>
      <c r="G28">
        <f t="shared" si="4"/>
        <v>36</v>
      </c>
      <c r="I28">
        <f t="shared" si="5"/>
        <v>72</v>
      </c>
      <c r="J28">
        <v>36</v>
      </c>
      <c r="K28">
        <f t="shared" si="6"/>
        <v>0</v>
      </c>
      <c r="L28">
        <f t="shared" si="7"/>
        <v>517.19999999999993</v>
      </c>
    </row>
    <row r="29" spans="1:12">
      <c r="A29">
        <v>17</v>
      </c>
      <c r="B29">
        <f t="shared" si="8"/>
        <v>0</v>
      </c>
      <c r="C29" t="str">
        <f t="shared" si="1"/>
        <v>Sol</v>
      </c>
      <c r="D29">
        <f t="shared" si="9"/>
        <v>0</v>
      </c>
      <c r="E29">
        <v>8</v>
      </c>
      <c r="F29">
        <f t="shared" si="3"/>
        <v>64</v>
      </c>
      <c r="G29">
        <f t="shared" si="4"/>
        <v>32</v>
      </c>
      <c r="I29">
        <f t="shared" si="5"/>
        <v>72</v>
      </c>
      <c r="J29">
        <v>32</v>
      </c>
      <c r="K29">
        <f t="shared" si="6"/>
        <v>1.2</v>
      </c>
      <c r="L29">
        <f t="shared" si="7"/>
        <v>550.4</v>
      </c>
    </row>
    <row r="30" spans="1:12">
      <c r="A30">
        <v>18</v>
      </c>
      <c r="B30">
        <f t="shared" si="8"/>
        <v>0</v>
      </c>
      <c r="C30" t="str">
        <f t="shared" si="1"/>
        <v>Sol</v>
      </c>
      <c r="D30">
        <f t="shared" si="9"/>
        <v>2.4E-2</v>
      </c>
      <c r="E30">
        <v>7</v>
      </c>
      <c r="F30">
        <f t="shared" si="3"/>
        <v>56</v>
      </c>
      <c r="G30">
        <f t="shared" si="4"/>
        <v>28</v>
      </c>
      <c r="I30">
        <f t="shared" si="5"/>
        <v>72</v>
      </c>
      <c r="J30">
        <v>28</v>
      </c>
      <c r="K30">
        <f t="shared" si="6"/>
        <v>2.4</v>
      </c>
      <c r="L30">
        <f t="shared" si="7"/>
        <v>580.79999999999995</v>
      </c>
    </row>
    <row r="31" spans="1:12">
      <c r="A31">
        <v>19</v>
      </c>
      <c r="B31">
        <f t="shared" si="8"/>
        <v>0</v>
      </c>
      <c r="C31" t="str">
        <f t="shared" si="1"/>
        <v>Sol</v>
      </c>
      <c r="D31">
        <f t="shared" si="9"/>
        <v>2.4E-2</v>
      </c>
      <c r="E31">
        <v>4</v>
      </c>
      <c r="F31">
        <f t="shared" si="3"/>
        <v>32</v>
      </c>
      <c r="G31">
        <f t="shared" si="4"/>
        <v>16</v>
      </c>
      <c r="I31">
        <f t="shared" si="5"/>
        <v>72</v>
      </c>
      <c r="J31">
        <v>16</v>
      </c>
      <c r="K31">
        <f t="shared" si="6"/>
        <v>6</v>
      </c>
      <c r="L31">
        <f t="shared" si="7"/>
        <v>602.79999999999995</v>
      </c>
    </row>
    <row r="32" spans="1:12">
      <c r="A32">
        <v>20</v>
      </c>
      <c r="B32">
        <f t="shared" si="8"/>
        <v>0</v>
      </c>
      <c r="C32" t="str">
        <f t="shared" si="1"/>
        <v>Sol</v>
      </c>
      <c r="D32">
        <f t="shared" si="9"/>
        <v>2.4E-2</v>
      </c>
      <c r="E32">
        <v>5</v>
      </c>
      <c r="F32">
        <f t="shared" si="3"/>
        <v>40</v>
      </c>
      <c r="G32">
        <f t="shared" si="4"/>
        <v>20</v>
      </c>
      <c r="I32">
        <f t="shared" si="5"/>
        <v>72</v>
      </c>
      <c r="J32">
        <v>20</v>
      </c>
      <c r="K32">
        <f t="shared" si="6"/>
        <v>4.8</v>
      </c>
      <c r="L32">
        <f t="shared" si="7"/>
        <v>627.59999999999991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EBAB-9E1C-4472-889D-4CD1C31A5C25}">
  <dimension ref="A1:M20"/>
  <sheetViews>
    <sheetView tabSelected="1" workbookViewId="0">
      <selection activeCell="P15" sqref="P15"/>
    </sheetView>
  </sheetViews>
  <sheetFormatPr baseColWidth="10" defaultRowHeight="15"/>
  <cols>
    <col min="1" max="4" width="12.28515625" customWidth="1"/>
    <col min="6" max="8" width="12.28515625" customWidth="1"/>
    <col min="10" max="12" width="12.28515625" customWidth="1"/>
  </cols>
  <sheetData>
    <row r="1" spans="1:13">
      <c r="A1" t="s">
        <v>47</v>
      </c>
      <c r="B1" t="s">
        <v>48</v>
      </c>
      <c r="C1" t="s">
        <v>1</v>
      </c>
      <c r="D1" t="s">
        <v>21</v>
      </c>
      <c r="F1" t="s">
        <v>49</v>
      </c>
      <c r="G1" t="s">
        <v>1</v>
      </c>
      <c r="H1" t="s">
        <v>21</v>
      </c>
      <c r="J1" t="s">
        <v>49</v>
      </c>
      <c r="K1" t="s">
        <v>1</v>
      </c>
      <c r="L1" t="s">
        <v>21</v>
      </c>
    </row>
    <row r="2" spans="1:13">
      <c r="A2">
        <v>1</v>
      </c>
      <c r="B2">
        <v>45</v>
      </c>
      <c r="C2">
        <f>Tabla5[[#This Row],[Cantidad]]/$B$4</f>
        <v>0.45</v>
      </c>
      <c r="D2">
        <v>0.45</v>
      </c>
      <c r="F2" t="s">
        <v>50</v>
      </c>
      <c r="G2">
        <v>0.5</v>
      </c>
      <c r="H2">
        <v>0.5</v>
      </c>
      <c r="J2" t="s">
        <v>64</v>
      </c>
      <c r="K2" s="2">
        <v>0.5</v>
      </c>
      <c r="L2" s="2">
        <f>Tabla7[[#This Row],[Pr]]</f>
        <v>0.5</v>
      </c>
    </row>
    <row r="3" spans="1:13">
      <c r="A3">
        <v>2</v>
      </c>
      <c r="B3">
        <v>55</v>
      </c>
      <c r="C3">
        <f>Tabla5[[#This Row],[Cantidad]]/$B$4</f>
        <v>0.55000000000000004</v>
      </c>
      <c r="D3">
        <v>1</v>
      </c>
      <c r="F3" t="s">
        <v>51</v>
      </c>
      <c r="G3">
        <v>0.25</v>
      </c>
      <c r="H3">
        <v>0.75</v>
      </c>
      <c r="J3" t="s">
        <v>65</v>
      </c>
      <c r="K3" s="2">
        <v>0.5</v>
      </c>
      <c r="L3" s="2">
        <f>Tabla7[[#This Row],[Pr]]+L2</f>
        <v>1</v>
      </c>
    </row>
    <row r="4" spans="1:13">
      <c r="B4">
        <f>SUBTOTAL(109,B2:B3)</f>
        <v>100</v>
      </c>
      <c r="F4" t="s">
        <v>52</v>
      </c>
      <c r="G4">
        <v>0.25</v>
      </c>
      <c r="H4">
        <v>1</v>
      </c>
      <c r="K4" s="2"/>
      <c r="L4" s="2"/>
    </row>
    <row r="9" spans="1:13">
      <c r="A9" t="s">
        <v>53</v>
      </c>
      <c r="B9" t="s">
        <v>30</v>
      </c>
      <c r="C9" t="s">
        <v>54</v>
      </c>
      <c r="D9" t="s">
        <v>30</v>
      </c>
      <c r="E9" t="s">
        <v>55</v>
      </c>
      <c r="F9" t="s">
        <v>30</v>
      </c>
      <c r="G9" t="s">
        <v>56</v>
      </c>
      <c r="H9" t="s">
        <v>66</v>
      </c>
      <c r="I9" t="s">
        <v>57</v>
      </c>
      <c r="J9" t="s">
        <v>58</v>
      </c>
      <c r="K9" t="s">
        <v>59</v>
      </c>
      <c r="L9" t="s">
        <v>60</v>
      </c>
      <c r="M9" t="s">
        <v>18</v>
      </c>
    </row>
    <row r="10" spans="1:13">
      <c r="A10">
        <v>0</v>
      </c>
      <c r="J10">
        <v>0</v>
      </c>
      <c r="K10">
        <v>0</v>
      </c>
      <c r="L10">
        <v>0</v>
      </c>
      <c r="M10">
        <v>0</v>
      </c>
    </row>
    <row r="11" spans="1:13">
      <c r="A11">
        <v>1</v>
      </c>
      <c r="B11" s="2">
        <v>8.0335348875644419E-2</v>
      </c>
      <c r="C11">
        <v>1</v>
      </c>
      <c r="D11" s="2">
        <v>0.48442986391393328</v>
      </c>
      <c r="E11" t="s">
        <v>61</v>
      </c>
      <c r="F11" s="2"/>
      <c r="H11" s="2">
        <v>0.58958087901727618</v>
      </c>
      <c r="I11">
        <f>((85-15)*H11)+15</f>
        <v>56.270661531209335</v>
      </c>
      <c r="J11">
        <v>0</v>
      </c>
      <c r="K11">
        <v>1</v>
      </c>
      <c r="L11">
        <v>0</v>
      </c>
      <c r="M11">
        <f>I11+M10</f>
        <v>56.270661531209335</v>
      </c>
    </row>
    <row r="12" spans="1:13">
      <c r="A12">
        <v>2</v>
      </c>
      <c r="B12" s="2">
        <v>0.75794102707604061</v>
      </c>
      <c r="C12">
        <v>2</v>
      </c>
      <c r="D12" s="2">
        <v>0.81025881159151958</v>
      </c>
      <c r="E12" t="s">
        <v>63</v>
      </c>
      <c r="F12" s="2">
        <v>0.35691418694861177</v>
      </c>
      <c r="G12" t="s">
        <v>61</v>
      </c>
      <c r="H12" s="2">
        <v>0.76504059964441262</v>
      </c>
      <c r="I12">
        <f>((85-15)*H12)+15 + 55</f>
        <v>123.55284197510889</v>
      </c>
      <c r="J12">
        <v>0</v>
      </c>
      <c r="K12">
        <v>2</v>
      </c>
      <c r="L12">
        <v>1</v>
      </c>
      <c r="M12">
        <f t="shared" ref="M12:M20" si="0">I12+M11</f>
        <v>179.82350350631822</v>
      </c>
    </row>
    <row r="13" spans="1:13">
      <c r="A13">
        <v>3</v>
      </c>
      <c r="B13" s="2">
        <v>0.90971128361751752</v>
      </c>
      <c r="C13">
        <v>2</v>
      </c>
      <c r="D13" s="2">
        <v>0.29952572623196072</v>
      </c>
      <c r="E13" t="s">
        <v>61</v>
      </c>
      <c r="F13" s="2">
        <v>0.77226646211266903</v>
      </c>
      <c r="G13" t="s">
        <v>63</v>
      </c>
      <c r="H13" s="2">
        <v>0.14530219678554435</v>
      </c>
      <c r="I13">
        <f>((85-15)*H13)+15 + 55</f>
        <v>80.171153774988113</v>
      </c>
      <c r="J13">
        <v>0</v>
      </c>
      <c r="K13">
        <v>3</v>
      </c>
      <c r="L13">
        <v>2</v>
      </c>
      <c r="M13">
        <f t="shared" si="0"/>
        <v>259.99465728130633</v>
      </c>
    </row>
    <row r="14" spans="1:13">
      <c r="A14">
        <v>4</v>
      </c>
      <c r="B14" s="2">
        <v>0.58821466568204817</v>
      </c>
      <c r="C14">
        <v>2</v>
      </c>
      <c r="D14" s="2">
        <v>0.34361360339127356</v>
      </c>
      <c r="E14" t="s">
        <v>61</v>
      </c>
      <c r="F14" s="2">
        <v>0.9006804068710712</v>
      </c>
      <c r="G14" t="s">
        <v>63</v>
      </c>
      <c r="H14" s="2">
        <v>0.98725232386250406</v>
      </c>
      <c r="I14">
        <f>((85-15)*H14)+15 + 55</f>
        <v>139.1076626703753</v>
      </c>
      <c r="J14">
        <v>0</v>
      </c>
      <c r="K14">
        <v>4</v>
      </c>
      <c r="L14">
        <v>3</v>
      </c>
      <c r="M14">
        <f t="shared" si="0"/>
        <v>399.10231995168164</v>
      </c>
    </row>
    <row r="15" spans="1:13">
      <c r="A15">
        <v>5</v>
      </c>
      <c r="B15" s="2">
        <v>0.47855146705007889</v>
      </c>
      <c r="C15">
        <v>2</v>
      </c>
      <c r="D15" s="2">
        <v>0.43888808967213389</v>
      </c>
      <c r="E15" t="s">
        <v>61</v>
      </c>
      <c r="F15" s="2">
        <v>0.58374091182612164</v>
      </c>
      <c r="G15" t="s">
        <v>63</v>
      </c>
      <c r="H15" s="2">
        <v>2.8826559465302548E-3</v>
      </c>
      <c r="I15">
        <f>((85-15)*H15)+15 + 55</f>
        <v>70.201785916257123</v>
      </c>
      <c r="J15">
        <v>0</v>
      </c>
      <c r="K15">
        <v>5</v>
      </c>
      <c r="L15">
        <v>4</v>
      </c>
      <c r="M15">
        <f t="shared" si="0"/>
        <v>469.30410586793874</v>
      </c>
    </row>
    <row r="16" spans="1:13">
      <c r="A16">
        <v>6</v>
      </c>
      <c r="B16" s="2">
        <v>0.84724005684955228</v>
      </c>
      <c r="C16">
        <v>2</v>
      </c>
      <c r="D16" s="2">
        <v>0.48724031344404573</v>
      </c>
      <c r="E16" t="s">
        <v>61</v>
      </c>
      <c r="F16" s="2">
        <v>0.14994361639123555</v>
      </c>
      <c r="G16" t="s">
        <v>62</v>
      </c>
      <c r="H16" s="2">
        <v>0.21265302333379066</v>
      </c>
      <c r="I16">
        <f>((85-15)*H16)+15 + 35</f>
        <v>64.885711633365347</v>
      </c>
      <c r="J16">
        <v>1</v>
      </c>
      <c r="K16">
        <v>6</v>
      </c>
      <c r="L16">
        <v>4</v>
      </c>
      <c r="M16">
        <f t="shared" si="0"/>
        <v>534.18981750130411</v>
      </c>
    </row>
    <row r="17" spans="1:13">
      <c r="A17">
        <v>7</v>
      </c>
      <c r="B17" s="2">
        <v>0.79541691897184508</v>
      </c>
      <c r="C17">
        <v>2</v>
      </c>
      <c r="D17" s="2">
        <v>0.54785844477883594</v>
      </c>
      <c r="E17" t="s">
        <v>62</v>
      </c>
      <c r="F17" s="2">
        <v>0.86267408176053217</v>
      </c>
      <c r="G17" t="s">
        <v>63</v>
      </c>
      <c r="H17" s="2">
        <v>0.2110503945356329</v>
      </c>
      <c r="I17">
        <f>55+35</f>
        <v>90</v>
      </c>
      <c r="J17">
        <v>2</v>
      </c>
      <c r="K17">
        <v>6</v>
      </c>
      <c r="L17">
        <v>5</v>
      </c>
      <c r="M17">
        <f t="shared" si="0"/>
        <v>624.18981750130411</v>
      </c>
    </row>
    <row r="18" spans="1:13">
      <c r="A18">
        <v>8</v>
      </c>
      <c r="B18" s="2">
        <v>5.4115591360233473E-2</v>
      </c>
      <c r="C18">
        <v>1</v>
      </c>
      <c r="D18" s="2">
        <v>0.82120571570022083</v>
      </c>
      <c r="E18" t="s">
        <v>63</v>
      </c>
      <c r="F18" s="2"/>
      <c r="H18" s="2">
        <v>0.79061130446442995</v>
      </c>
      <c r="I18">
        <f>55</f>
        <v>55</v>
      </c>
      <c r="J18">
        <v>2</v>
      </c>
      <c r="K18">
        <v>6</v>
      </c>
      <c r="L18">
        <v>6</v>
      </c>
      <c r="M18">
        <f t="shared" si="0"/>
        <v>679.18981750130411</v>
      </c>
    </row>
    <row r="19" spans="1:13">
      <c r="A19">
        <v>9</v>
      </c>
      <c r="B19" s="2">
        <v>0.8683000192718775</v>
      </c>
      <c r="C19">
        <v>2</v>
      </c>
      <c r="D19" s="2">
        <v>0.52582760164243869</v>
      </c>
      <c r="E19" t="s">
        <v>62</v>
      </c>
      <c r="F19" s="2">
        <v>0.74486208636659934</v>
      </c>
      <c r="G19" t="s">
        <v>63</v>
      </c>
      <c r="H19" s="2">
        <v>0.85656208806785006</v>
      </c>
      <c r="I19">
        <f>35+55</f>
        <v>90</v>
      </c>
      <c r="J19">
        <v>3</v>
      </c>
      <c r="K19">
        <v>6</v>
      </c>
      <c r="L19">
        <v>7</v>
      </c>
      <c r="M19">
        <f t="shared" si="0"/>
        <v>769.18981750130411</v>
      </c>
    </row>
    <row r="20" spans="1:13">
      <c r="A20">
        <v>10</v>
      </c>
      <c r="B20" s="2">
        <v>0.23605731712924849</v>
      </c>
      <c r="C20">
        <v>1</v>
      </c>
      <c r="D20" s="2">
        <v>1.88231329182591E-2</v>
      </c>
      <c r="E20" t="s">
        <v>61</v>
      </c>
      <c r="F20" s="2"/>
      <c r="H20" s="2">
        <v>0.39144684590585099</v>
      </c>
      <c r="I20">
        <f>((85-15)*H20)+15</f>
        <v>42.401279213409566</v>
      </c>
      <c r="J20">
        <v>3</v>
      </c>
      <c r="K20">
        <v>7</v>
      </c>
      <c r="L20">
        <v>7</v>
      </c>
      <c r="M20">
        <f t="shared" si="0"/>
        <v>811.59109671471367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9338-5968-4F89-8A11-8EDB819D4400}">
  <dimension ref="A1:R22"/>
  <sheetViews>
    <sheetView workbookViewId="0">
      <selection activeCell="A9" sqref="A9:N9"/>
    </sheetView>
  </sheetViews>
  <sheetFormatPr baseColWidth="10" defaultRowHeight="15"/>
  <cols>
    <col min="1" max="5" width="12.28515625" customWidth="1"/>
    <col min="6" max="6" width="6.28515625" customWidth="1"/>
    <col min="7" max="7" width="12.28515625" customWidth="1"/>
    <col min="8" max="8" width="13.42578125" customWidth="1"/>
    <col min="9" max="9" width="13.85546875" customWidth="1"/>
    <col min="10" max="10" width="13" customWidth="1"/>
  </cols>
  <sheetData>
    <row r="1" spans="1:18">
      <c r="A1" t="s">
        <v>19</v>
      </c>
      <c r="B1" t="s">
        <v>20</v>
      </c>
      <c r="C1" t="s">
        <v>1</v>
      </c>
      <c r="D1" t="s">
        <v>21</v>
      </c>
      <c r="G1" t="s">
        <v>22</v>
      </c>
      <c r="H1" t="s">
        <v>23</v>
      </c>
      <c r="I1" t="s">
        <v>1</v>
      </c>
      <c r="J1" t="s">
        <v>21</v>
      </c>
    </row>
    <row r="2" spans="1:18">
      <c r="A2">
        <v>1</v>
      </c>
      <c r="B2">
        <v>8</v>
      </c>
      <c r="C2">
        <f>Tabla2[[#This Row],[Veces]]/$B$6</f>
        <v>0.2</v>
      </c>
      <c r="D2">
        <v>0.2</v>
      </c>
      <c r="G2">
        <v>5</v>
      </c>
      <c r="H2">
        <v>6</v>
      </c>
      <c r="I2" s="2">
        <f>Tabla24[[#This Row],[Dias]]/Tabla24[[#Totals],[Dias]]</f>
        <v>0.06</v>
      </c>
      <c r="J2" s="2">
        <f>Tabla24[[#This Row],[Pr]]</f>
        <v>0.06</v>
      </c>
      <c r="L2" s="3" t="s">
        <v>28</v>
      </c>
    </row>
    <row r="3" spans="1:18">
      <c r="A3">
        <v>2</v>
      </c>
      <c r="B3">
        <v>16</v>
      </c>
      <c r="C3">
        <f>Tabla2[[#This Row],[Veces]]/$B$6</f>
        <v>0.4</v>
      </c>
      <c r="D3">
        <f>Tabla2[[#This Row],[Pr]]+D2</f>
        <v>0.60000000000000009</v>
      </c>
      <c r="G3">
        <v>4</v>
      </c>
      <c r="H3">
        <v>18</v>
      </c>
      <c r="I3" s="2">
        <f>Tabla24[[#This Row],[Dias]]/Tabla24[[#Totals],[Dias]]</f>
        <v>0.18</v>
      </c>
      <c r="J3" s="2">
        <f>Tabla24[[#This Row],[Pr]]+J2</f>
        <v>0.24</v>
      </c>
      <c r="L3" s="3" t="s">
        <v>29</v>
      </c>
    </row>
    <row r="4" spans="1:18">
      <c r="A4">
        <v>3</v>
      </c>
      <c r="B4">
        <v>12</v>
      </c>
      <c r="C4">
        <f>Tabla2[[#This Row],[Veces]]/$B$6</f>
        <v>0.3</v>
      </c>
      <c r="D4">
        <f>Tabla2[[#This Row],[Pr]]+D3</f>
        <v>0.90000000000000013</v>
      </c>
      <c r="G4">
        <v>3</v>
      </c>
      <c r="H4">
        <v>40</v>
      </c>
      <c r="I4" s="2">
        <f>Tabla24[[#This Row],[Dias]]/Tabla24[[#Totals],[Dias]]</f>
        <v>0.4</v>
      </c>
      <c r="J4" s="2">
        <f>Tabla24[[#This Row],[Pr]]+J3</f>
        <v>0.64</v>
      </c>
    </row>
    <row r="5" spans="1:18">
      <c r="A5">
        <v>4</v>
      </c>
      <c r="B5">
        <v>4</v>
      </c>
      <c r="C5">
        <f>Tabla2[[#This Row],[Veces]]/$B$6</f>
        <v>0.1</v>
      </c>
      <c r="D5">
        <f>Tabla2[[#This Row],[Pr]]+D4</f>
        <v>1.0000000000000002</v>
      </c>
      <c r="G5">
        <v>2</v>
      </c>
      <c r="H5">
        <v>24</v>
      </c>
      <c r="I5" s="2">
        <f>Tabla24[[#This Row],[Dias]]/Tabla24[[#Totals],[Dias]]</f>
        <v>0.24</v>
      </c>
      <c r="J5" s="2">
        <f>Tabla24[[#This Row],[Pr]]+J4</f>
        <v>0.88</v>
      </c>
      <c r="R5">
        <v>0.7</v>
      </c>
    </row>
    <row r="6" spans="1:18">
      <c r="B6">
        <f>SUBTOTAL(109,B2:B5)</f>
        <v>40</v>
      </c>
      <c r="G6">
        <v>1</v>
      </c>
      <c r="H6">
        <v>12</v>
      </c>
      <c r="I6" s="2">
        <f>Tabla24[[#This Row],[Dias]]/Tabla24[[#Totals],[Dias]]</f>
        <v>0.12</v>
      </c>
      <c r="J6" s="2">
        <f>Tabla24[[#This Row],[Pr]]+J5</f>
        <v>1</v>
      </c>
      <c r="R6">
        <v>0.83</v>
      </c>
    </row>
    <row r="7" spans="1:18">
      <c r="H7">
        <f>SUBTOTAL(109,Tabla24[Dias])</f>
        <v>100</v>
      </c>
      <c r="I7" s="2"/>
      <c r="J7" s="2"/>
      <c r="R7">
        <v>0.22</v>
      </c>
    </row>
    <row r="8" spans="1:18">
      <c r="R8">
        <v>0.03</v>
      </c>
    </row>
    <row r="9" spans="1:18">
      <c r="A9" t="s">
        <v>23</v>
      </c>
      <c r="B9" t="s">
        <v>30</v>
      </c>
      <c r="C9" t="s">
        <v>22</v>
      </c>
      <c r="D9" t="s">
        <v>34</v>
      </c>
      <c r="E9" t="s">
        <v>33</v>
      </c>
      <c r="F9" t="s">
        <v>30</v>
      </c>
      <c r="G9" t="s">
        <v>31</v>
      </c>
      <c r="H9" t="s">
        <v>24</v>
      </c>
      <c r="I9" t="s">
        <v>25</v>
      </c>
      <c r="J9" t="s">
        <v>26</v>
      </c>
      <c r="K9" t="s">
        <v>27</v>
      </c>
      <c r="L9" t="s">
        <v>32</v>
      </c>
      <c r="M9" t="s">
        <v>35</v>
      </c>
      <c r="R9">
        <v>0.33</v>
      </c>
    </row>
    <row r="10" spans="1:18">
      <c r="A10">
        <v>0</v>
      </c>
      <c r="D10">
        <v>4</v>
      </c>
      <c r="L10">
        <f>SUM(K11:K22)</f>
        <v>12600</v>
      </c>
      <c r="M10">
        <f>L10/12</f>
        <v>1050</v>
      </c>
      <c r="R10">
        <v>0.95</v>
      </c>
    </row>
    <row r="11" spans="1:18">
      <c r="A11">
        <v>1</v>
      </c>
      <c r="B11">
        <v>0.44</v>
      </c>
      <c r="C11">
        <v>3</v>
      </c>
      <c r="D11">
        <v>4</v>
      </c>
      <c r="E11">
        <v>1</v>
      </c>
      <c r="F11">
        <v>0.52</v>
      </c>
      <c r="G11">
        <v>2</v>
      </c>
      <c r="H11">
        <v>1000</v>
      </c>
      <c r="I11">
        <f>E11*220</f>
        <v>220</v>
      </c>
      <c r="J11">
        <v>0</v>
      </c>
      <c r="K11">
        <f>SUM(H11:J11)</f>
        <v>1220</v>
      </c>
      <c r="R11">
        <v>0.34</v>
      </c>
    </row>
    <row r="12" spans="1:18">
      <c r="A12">
        <v>2</v>
      </c>
      <c r="B12">
        <v>0.13</v>
      </c>
      <c r="C12">
        <v>4</v>
      </c>
      <c r="D12">
        <v>1</v>
      </c>
      <c r="E12">
        <v>0</v>
      </c>
      <c r="G12">
        <v>1</v>
      </c>
      <c r="H12">
        <v>0</v>
      </c>
      <c r="I12">
        <f t="shared" ref="I12:I22" si="0">E12*220</f>
        <v>0</v>
      </c>
      <c r="J12">
        <f>(C12-D12)*400</f>
        <v>1200</v>
      </c>
      <c r="K12">
        <f t="shared" ref="K12:K22" si="1">SUM(H12:J12)</f>
        <v>1200</v>
      </c>
      <c r="R12">
        <v>0.76</v>
      </c>
    </row>
    <row r="13" spans="1:18">
      <c r="A13">
        <v>3</v>
      </c>
      <c r="B13">
        <v>0.98</v>
      </c>
      <c r="C13">
        <v>1</v>
      </c>
      <c r="D13">
        <v>6</v>
      </c>
      <c r="E13">
        <v>5</v>
      </c>
      <c r="H13">
        <v>0</v>
      </c>
      <c r="I13">
        <f t="shared" si="0"/>
        <v>1100</v>
      </c>
      <c r="J13">
        <v>0</v>
      </c>
      <c r="K13">
        <f t="shared" si="1"/>
        <v>1100</v>
      </c>
      <c r="R13">
        <v>0.02</v>
      </c>
    </row>
    <row r="14" spans="1:18">
      <c r="A14">
        <v>4</v>
      </c>
      <c r="B14">
        <v>0.71</v>
      </c>
      <c r="C14">
        <v>2</v>
      </c>
      <c r="D14">
        <v>5</v>
      </c>
      <c r="E14">
        <v>3</v>
      </c>
      <c r="H14">
        <v>0</v>
      </c>
      <c r="I14">
        <f t="shared" si="0"/>
        <v>660</v>
      </c>
      <c r="J14">
        <v>0</v>
      </c>
      <c r="K14">
        <f t="shared" si="1"/>
        <v>660</v>
      </c>
      <c r="R14">
        <v>0.86</v>
      </c>
    </row>
    <row r="15" spans="1:18">
      <c r="A15">
        <v>5</v>
      </c>
      <c r="B15">
        <v>0.39</v>
      </c>
      <c r="C15">
        <v>3</v>
      </c>
      <c r="D15">
        <v>3</v>
      </c>
      <c r="E15">
        <v>0</v>
      </c>
      <c r="F15">
        <v>0.7</v>
      </c>
      <c r="G15">
        <v>3</v>
      </c>
      <c r="H15">
        <v>1000</v>
      </c>
      <c r="I15">
        <f t="shared" si="0"/>
        <v>0</v>
      </c>
      <c r="J15">
        <f t="shared" ref="J15:J21" si="2">(C15-D15)*400</f>
        <v>0</v>
      </c>
      <c r="K15">
        <f t="shared" si="1"/>
        <v>1000</v>
      </c>
      <c r="R15">
        <v>0.3</v>
      </c>
    </row>
    <row r="16" spans="1:18">
      <c r="A16">
        <v>6</v>
      </c>
      <c r="B16">
        <v>0.8</v>
      </c>
      <c r="C16">
        <v>2</v>
      </c>
      <c r="D16">
        <v>0</v>
      </c>
      <c r="E16">
        <v>0</v>
      </c>
      <c r="G16">
        <v>2</v>
      </c>
      <c r="H16">
        <v>0</v>
      </c>
      <c r="I16">
        <f t="shared" si="0"/>
        <v>0</v>
      </c>
      <c r="J16">
        <f t="shared" si="2"/>
        <v>800</v>
      </c>
      <c r="K16">
        <f t="shared" si="1"/>
        <v>800</v>
      </c>
    </row>
    <row r="17" spans="1:11">
      <c r="A17">
        <v>7</v>
      </c>
      <c r="B17">
        <v>0.24</v>
      </c>
      <c r="C17">
        <v>3</v>
      </c>
      <c r="D17">
        <v>0</v>
      </c>
      <c r="E17">
        <v>0</v>
      </c>
      <c r="G17">
        <v>1</v>
      </c>
      <c r="H17">
        <v>0</v>
      </c>
      <c r="I17">
        <f t="shared" si="0"/>
        <v>0</v>
      </c>
      <c r="J17">
        <f t="shared" si="2"/>
        <v>1200</v>
      </c>
      <c r="K17">
        <f t="shared" si="1"/>
        <v>1200</v>
      </c>
    </row>
    <row r="18" spans="1:11">
      <c r="A18">
        <v>8</v>
      </c>
      <c r="B18">
        <v>0.94</v>
      </c>
      <c r="C18">
        <v>1</v>
      </c>
      <c r="D18">
        <v>6</v>
      </c>
      <c r="E18">
        <v>5</v>
      </c>
      <c r="H18">
        <v>0</v>
      </c>
      <c r="I18">
        <f t="shared" si="0"/>
        <v>1100</v>
      </c>
      <c r="J18">
        <v>0</v>
      </c>
      <c r="K18">
        <f t="shared" si="1"/>
        <v>1100</v>
      </c>
    </row>
    <row r="19" spans="1:11">
      <c r="A19">
        <v>9</v>
      </c>
      <c r="B19">
        <v>0.06</v>
      </c>
      <c r="C19">
        <v>4</v>
      </c>
      <c r="D19">
        <v>5</v>
      </c>
      <c r="E19">
        <v>1</v>
      </c>
      <c r="F19">
        <v>0.83</v>
      </c>
      <c r="G19">
        <v>3</v>
      </c>
      <c r="H19">
        <v>1000</v>
      </c>
      <c r="I19">
        <f t="shared" si="0"/>
        <v>220</v>
      </c>
      <c r="J19">
        <v>0</v>
      </c>
      <c r="K19">
        <f t="shared" si="1"/>
        <v>1220</v>
      </c>
    </row>
    <row r="20" spans="1:11">
      <c r="A20">
        <v>10</v>
      </c>
      <c r="B20">
        <v>0.62</v>
      </c>
      <c r="C20">
        <v>3</v>
      </c>
      <c r="D20">
        <v>1</v>
      </c>
      <c r="E20">
        <v>0</v>
      </c>
      <c r="G20">
        <v>2</v>
      </c>
      <c r="H20">
        <v>0</v>
      </c>
      <c r="I20">
        <f t="shared" si="0"/>
        <v>0</v>
      </c>
      <c r="J20">
        <f t="shared" si="2"/>
        <v>800</v>
      </c>
      <c r="K20">
        <f t="shared" si="1"/>
        <v>800</v>
      </c>
    </row>
    <row r="21" spans="1:11">
      <c r="A21">
        <v>11</v>
      </c>
      <c r="B21">
        <v>0.57999999999999996</v>
      </c>
      <c r="C21">
        <v>3</v>
      </c>
      <c r="D21">
        <v>0</v>
      </c>
      <c r="E21">
        <v>0</v>
      </c>
      <c r="G21">
        <v>1</v>
      </c>
      <c r="H21">
        <v>0</v>
      </c>
      <c r="I21">
        <f t="shared" si="0"/>
        <v>0</v>
      </c>
      <c r="J21">
        <f t="shared" si="2"/>
        <v>1200</v>
      </c>
      <c r="K21">
        <f t="shared" si="1"/>
        <v>1200</v>
      </c>
    </row>
    <row r="22" spans="1:11">
      <c r="A22">
        <v>12</v>
      </c>
      <c r="B22">
        <v>0.9</v>
      </c>
      <c r="C22">
        <v>1</v>
      </c>
      <c r="D22">
        <v>6</v>
      </c>
      <c r="E22">
        <v>5</v>
      </c>
      <c r="H22">
        <v>0</v>
      </c>
      <c r="I22">
        <f t="shared" si="0"/>
        <v>1100</v>
      </c>
      <c r="J22">
        <v>0</v>
      </c>
      <c r="K22">
        <f t="shared" si="1"/>
        <v>1100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93BA-F2A1-493F-A9C0-A13E32DDFB3E}">
  <dimension ref="A1:N20"/>
  <sheetViews>
    <sheetView workbookViewId="0">
      <selection activeCell="N13" sqref="N13"/>
    </sheetView>
  </sheetViews>
  <sheetFormatPr baseColWidth="10" defaultRowHeight="15"/>
  <cols>
    <col min="1" max="4" width="12.28515625" customWidth="1"/>
  </cols>
  <sheetData>
    <row r="1" spans="1:14">
      <c r="A1" t="s">
        <v>22</v>
      </c>
      <c r="B1" t="s">
        <v>36</v>
      </c>
      <c r="C1" t="s">
        <v>1</v>
      </c>
      <c r="D1" t="s">
        <v>21</v>
      </c>
      <c r="K1" s="3" t="s">
        <v>45</v>
      </c>
    </row>
    <row r="2" spans="1:14">
      <c r="A2" t="s">
        <v>37</v>
      </c>
      <c r="B2">
        <v>1</v>
      </c>
      <c r="C2">
        <f>Tabla4[[#This Row],[Freq]]/$B$6</f>
        <v>0.1</v>
      </c>
      <c r="D2">
        <f>Tabla4[[#This Row],[Pr]]</f>
        <v>0.1</v>
      </c>
      <c r="K2" s="3" t="s">
        <v>46</v>
      </c>
    </row>
    <row r="3" spans="1:14">
      <c r="A3" t="s">
        <v>38</v>
      </c>
      <c r="B3">
        <v>2</v>
      </c>
      <c r="C3">
        <f>Tabla4[[#This Row],[Freq]]/$B$6</f>
        <v>0.2</v>
      </c>
      <c r="D3">
        <f>Tabla4[[#This Row],[Pr]]+D2</f>
        <v>0.30000000000000004</v>
      </c>
    </row>
    <row r="4" spans="1:14">
      <c r="A4" t="s">
        <v>39</v>
      </c>
      <c r="B4">
        <v>4</v>
      </c>
      <c r="C4">
        <f>Tabla4[[#This Row],[Freq]]/$B$6</f>
        <v>0.4</v>
      </c>
      <c r="D4">
        <f>Tabla4[[#This Row],[Pr]]+D3</f>
        <v>0.70000000000000007</v>
      </c>
    </row>
    <row r="5" spans="1:14">
      <c r="A5" t="s">
        <v>40</v>
      </c>
      <c r="B5">
        <v>3</v>
      </c>
      <c r="C5">
        <f>Tabla4[[#This Row],[Freq]]/$B$6</f>
        <v>0.3</v>
      </c>
      <c r="D5">
        <f>Tabla4[[#This Row],[Pr]]+D4</f>
        <v>1</v>
      </c>
    </row>
    <row r="6" spans="1:14">
      <c r="B6">
        <f>SUBTOTAL(109,B2:B5)</f>
        <v>10</v>
      </c>
    </row>
    <row r="11" spans="1:14">
      <c r="A11" t="s">
        <v>44</v>
      </c>
      <c r="B11" t="s">
        <v>30</v>
      </c>
      <c r="C11" t="s">
        <v>41</v>
      </c>
      <c r="D11" t="s">
        <v>42</v>
      </c>
      <c r="E11" t="s">
        <v>43</v>
      </c>
      <c r="F11" t="s">
        <v>22</v>
      </c>
      <c r="G11" t="s">
        <v>34</v>
      </c>
      <c r="H11" t="s">
        <v>33</v>
      </c>
      <c r="I11" t="s">
        <v>24</v>
      </c>
      <c r="J11" t="s">
        <v>25</v>
      </c>
      <c r="K11" t="s">
        <v>26</v>
      </c>
      <c r="L11" t="s">
        <v>27</v>
      </c>
      <c r="M11" t="s">
        <v>32</v>
      </c>
      <c r="N11" t="s">
        <v>35</v>
      </c>
    </row>
    <row r="12" spans="1:14">
      <c r="A12">
        <v>0</v>
      </c>
      <c r="G12">
        <v>700</v>
      </c>
      <c r="H12">
        <v>700</v>
      </c>
      <c r="M12">
        <f>SUM(L13:L20)</f>
        <v>3189.2</v>
      </c>
      <c r="N12">
        <f>M12/8</f>
        <v>398.65</v>
      </c>
    </row>
    <row r="13" spans="1:14">
      <c r="A13">
        <v>1</v>
      </c>
      <c r="B13">
        <v>0.31</v>
      </c>
      <c r="C13">
        <v>400</v>
      </c>
      <c r="D13">
        <v>600</v>
      </c>
      <c r="E13">
        <v>0.35</v>
      </c>
      <c r="F13">
        <f>((D13-C13)*E13)+C13</f>
        <v>470</v>
      </c>
      <c r="G13">
        <f>H12</f>
        <v>700</v>
      </c>
      <c r="H13">
        <f>G13-F13</f>
        <v>230</v>
      </c>
      <c r="I13">
        <v>0</v>
      </c>
      <c r="J13">
        <f>H13*0.3</f>
        <v>69</v>
      </c>
      <c r="K13">
        <v>0</v>
      </c>
      <c r="L13">
        <f>SUM(I13:K13)</f>
        <v>69</v>
      </c>
    </row>
    <row r="14" spans="1:14">
      <c r="A14">
        <v>2</v>
      </c>
      <c r="B14">
        <v>0.75</v>
      </c>
      <c r="C14">
        <v>600</v>
      </c>
      <c r="D14">
        <v>800</v>
      </c>
      <c r="E14">
        <v>0.21</v>
      </c>
      <c r="F14">
        <f t="shared" ref="F14:F20" si="0">((D14-C14)*E14)+C14</f>
        <v>642</v>
      </c>
      <c r="G14">
        <f t="shared" ref="G14:G19" si="1">H13</f>
        <v>230</v>
      </c>
      <c r="H14">
        <v>0</v>
      </c>
      <c r="I14">
        <v>800</v>
      </c>
      <c r="J14">
        <f t="shared" ref="J14:J20" si="2">H14*0.3</f>
        <v>0</v>
      </c>
      <c r="K14">
        <f>(F14-G14)*0.5</f>
        <v>206</v>
      </c>
      <c r="L14">
        <f t="shared" ref="L14:L20" si="3">SUM(I14:K14)</f>
        <v>1006</v>
      </c>
    </row>
    <row r="15" spans="1:14">
      <c r="A15">
        <v>3</v>
      </c>
      <c r="B15">
        <v>0.45</v>
      </c>
      <c r="C15">
        <v>400</v>
      </c>
      <c r="D15">
        <v>600</v>
      </c>
      <c r="E15">
        <v>0.88</v>
      </c>
      <c r="F15">
        <f t="shared" si="0"/>
        <v>576</v>
      </c>
      <c r="G15">
        <v>1000</v>
      </c>
      <c r="H15">
        <f t="shared" ref="H15:H20" si="4">G15-F15</f>
        <v>424</v>
      </c>
      <c r="I15">
        <v>0</v>
      </c>
      <c r="J15">
        <f t="shared" si="2"/>
        <v>127.19999999999999</v>
      </c>
      <c r="K15">
        <v>0</v>
      </c>
      <c r="L15">
        <f t="shared" si="3"/>
        <v>127.19999999999999</v>
      </c>
    </row>
    <row r="16" spans="1:14">
      <c r="A16">
        <v>4</v>
      </c>
      <c r="B16">
        <v>0.11</v>
      </c>
      <c r="C16">
        <v>200</v>
      </c>
      <c r="D16">
        <v>400</v>
      </c>
      <c r="E16">
        <v>0.28999999999999998</v>
      </c>
      <c r="F16">
        <f t="shared" si="0"/>
        <v>258</v>
      </c>
      <c r="G16">
        <f t="shared" si="1"/>
        <v>424</v>
      </c>
      <c r="H16">
        <f t="shared" si="4"/>
        <v>166</v>
      </c>
      <c r="I16">
        <v>0</v>
      </c>
      <c r="J16">
        <f t="shared" si="2"/>
        <v>49.8</v>
      </c>
      <c r="K16">
        <v>0</v>
      </c>
      <c r="L16">
        <f t="shared" si="3"/>
        <v>49.8</v>
      </c>
    </row>
    <row r="17" spans="1:12">
      <c r="A17">
        <v>5</v>
      </c>
      <c r="B17">
        <v>0.08</v>
      </c>
      <c r="C17">
        <v>0</v>
      </c>
      <c r="D17">
        <v>200</v>
      </c>
      <c r="E17">
        <v>0.24</v>
      </c>
      <c r="F17">
        <f t="shared" si="0"/>
        <v>48</v>
      </c>
      <c r="G17">
        <f t="shared" si="1"/>
        <v>166</v>
      </c>
      <c r="H17">
        <f t="shared" si="4"/>
        <v>118</v>
      </c>
      <c r="I17">
        <v>800</v>
      </c>
      <c r="J17">
        <f t="shared" si="2"/>
        <v>35.4</v>
      </c>
      <c r="K17">
        <v>0</v>
      </c>
      <c r="L17">
        <f t="shared" si="3"/>
        <v>835.4</v>
      </c>
    </row>
    <row r="18" spans="1:12">
      <c r="A18">
        <v>6</v>
      </c>
      <c r="B18">
        <v>0.39</v>
      </c>
      <c r="C18">
        <v>400</v>
      </c>
      <c r="D18">
        <v>600</v>
      </c>
      <c r="E18">
        <v>0.02</v>
      </c>
      <c r="F18">
        <f t="shared" si="0"/>
        <v>404</v>
      </c>
      <c r="G18">
        <v>918</v>
      </c>
      <c r="H18">
        <f t="shared" si="4"/>
        <v>514</v>
      </c>
      <c r="I18">
        <v>0</v>
      </c>
      <c r="J18">
        <f t="shared" si="2"/>
        <v>154.19999999999999</v>
      </c>
      <c r="K18">
        <v>0</v>
      </c>
      <c r="L18">
        <f t="shared" si="3"/>
        <v>154.19999999999999</v>
      </c>
    </row>
    <row r="19" spans="1:12">
      <c r="A19">
        <v>7</v>
      </c>
      <c r="B19">
        <v>0.55000000000000004</v>
      </c>
      <c r="C19">
        <v>400</v>
      </c>
      <c r="D19">
        <v>600</v>
      </c>
      <c r="E19">
        <v>0.49</v>
      </c>
      <c r="F19">
        <f t="shared" si="0"/>
        <v>498</v>
      </c>
      <c r="G19">
        <f t="shared" si="1"/>
        <v>514</v>
      </c>
      <c r="H19">
        <f t="shared" si="4"/>
        <v>16</v>
      </c>
      <c r="I19">
        <v>800</v>
      </c>
      <c r="J19">
        <f t="shared" si="2"/>
        <v>4.8</v>
      </c>
      <c r="K19">
        <v>0</v>
      </c>
      <c r="L19">
        <f t="shared" si="3"/>
        <v>804.8</v>
      </c>
    </row>
    <row r="20" spans="1:12">
      <c r="A20">
        <v>8</v>
      </c>
      <c r="B20">
        <v>0.21</v>
      </c>
      <c r="C20">
        <v>200</v>
      </c>
      <c r="D20">
        <v>400</v>
      </c>
      <c r="E20">
        <v>0.7</v>
      </c>
      <c r="F20">
        <f t="shared" si="0"/>
        <v>340</v>
      </c>
      <c r="G20">
        <v>816</v>
      </c>
      <c r="H20">
        <f t="shared" si="4"/>
        <v>476</v>
      </c>
      <c r="I20">
        <v>0</v>
      </c>
      <c r="J20">
        <f t="shared" si="2"/>
        <v>142.79999999999998</v>
      </c>
      <c r="K20">
        <v>0</v>
      </c>
      <c r="L20">
        <f t="shared" si="3"/>
        <v>142.79999999999998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8E80-CFB8-49D7-B6DF-36D934016BBA}">
  <dimension ref="A1:Q28"/>
  <sheetViews>
    <sheetView workbookViewId="0">
      <selection activeCell="O15" sqref="O15"/>
    </sheetView>
  </sheetViews>
  <sheetFormatPr baseColWidth="10" defaultRowHeight="15"/>
  <cols>
    <col min="1" max="4" width="12.28515625" customWidth="1"/>
    <col min="6" max="8" width="12.28515625" customWidth="1"/>
    <col min="10" max="12" width="12.28515625" customWidth="1"/>
  </cols>
  <sheetData>
    <row r="1" spans="1:17">
      <c r="A1" t="s">
        <v>22</v>
      </c>
      <c r="B1" t="s">
        <v>36</v>
      </c>
      <c r="C1" t="s">
        <v>1</v>
      </c>
      <c r="D1" t="s">
        <v>21</v>
      </c>
      <c r="F1" t="s">
        <v>19</v>
      </c>
      <c r="G1" t="s">
        <v>1</v>
      </c>
      <c r="H1" t="s">
        <v>21</v>
      </c>
      <c r="J1" t="s">
        <v>67</v>
      </c>
      <c r="K1" t="s">
        <v>1</v>
      </c>
      <c r="L1" t="s">
        <v>21</v>
      </c>
    </row>
    <row r="2" spans="1:17">
      <c r="A2">
        <v>1</v>
      </c>
      <c r="B2">
        <v>1</v>
      </c>
      <c r="C2">
        <f>Tabla8[[#This Row],[Freq]]/$B$7</f>
        <v>0.05</v>
      </c>
      <c r="D2">
        <f>Tabla8[[#This Row],[Pr]]</f>
        <v>0.05</v>
      </c>
      <c r="F2">
        <v>1</v>
      </c>
      <c r="G2">
        <v>0.7</v>
      </c>
      <c r="H2">
        <v>0.7</v>
      </c>
      <c r="J2">
        <v>1</v>
      </c>
      <c r="K2">
        <v>0.85</v>
      </c>
      <c r="L2">
        <v>0.85</v>
      </c>
    </row>
    <row r="3" spans="1:17">
      <c r="A3">
        <v>2</v>
      </c>
      <c r="B3">
        <v>4</v>
      </c>
      <c r="C3">
        <f>Tabla8[[#This Row],[Freq]]/$B$7</f>
        <v>0.2</v>
      </c>
      <c r="D3">
        <f>Tabla8[[#This Row],[Pr]]+D2</f>
        <v>0.25</v>
      </c>
      <c r="F3">
        <v>2</v>
      </c>
      <c r="G3">
        <v>0.3</v>
      </c>
      <c r="H3">
        <v>1</v>
      </c>
      <c r="J3">
        <v>2</v>
      </c>
      <c r="K3">
        <v>0.15</v>
      </c>
      <c r="L3">
        <v>1</v>
      </c>
    </row>
    <row r="4" spans="1:17">
      <c r="A4">
        <v>3</v>
      </c>
      <c r="B4">
        <v>5</v>
      </c>
      <c r="C4">
        <f>Tabla8[[#This Row],[Freq]]/$B$7</f>
        <v>0.25</v>
      </c>
      <c r="D4">
        <f>Tabla8[[#This Row],[Pr]]+D3</f>
        <v>0.5</v>
      </c>
    </row>
    <row r="5" spans="1:17">
      <c r="A5">
        <v>4</v>
      </c>
      <c r="B5">
        <v>6</v>
      </c>
      <c r="C5">
        <f>Tabla8[[#This Row],[Freq]]/$B$7</f>
        <v>0.3</v>
      </c>
      <c r="D5">
        <f>Tabla8[[#This Row],[Pr]]+D4</f>
        <v>0.8</v>
      </c>
    </row>
    <row r="6" spans="1:17">
      <c r="A6">
        <v>5</v>
      </c>
      <c r="B6">
        <v>4</v>
      </c>
      <c r="C6">
        <f>Tabla8[[#This Row],[Freq]]/$B$7</f>
        <v>0.2</v>
      </c>
      <c r="D6">
        <f>Tabla8[[#This Row],[Pr]]+D5</f>
        <v>1</v>
      </c>
    </row>
    <row r="7" spans="1:17">
      <c r="B7">
        <f>SUBTOTAL(109,B2:B6)</f>
        <v>20</v>
      </c>
    </row>
    <row r="10" spans="1:17">
      <c r="A10" t="s">
        <v>68</v>
      </c>
      <c r="B10" t="s">
        <v>30</v>
      </c>
      <c r="C10" t="s">
        <v>22</v>
      </c>
      <c r="D10" t="s">
        <v>30</v>
      </c>
      <c r="E10" t="s">
        <v>69</v>
      </c>
      <c r="F10" t="s">
        <v>30</v>
      </c>
      <c r="G10" t="s">
        <v>67</v>
      </c>
      <c r="H10" t="s">
        <v>73</v>
      </c>
      <c r="I10" t="s">
        <v>30</v>
      </c>
      <c r="J10" t="s">
        <v>19</v>
      </c>
      <c r="K10" t="s">
        <v>72</v>
      </c>
      <c r="L10" t="s">
        <v>33</v>
      </c>
      <c r="M10" t="s">
        <v>25</v>
      </c>
      <c r="N10" t="s">
        <v>71</v>
      </c>
      <c r="O10" t="s">
        <v>26</v>
      </c>
      <c r="P10" t="s">
        <v>27</v>
      </c>
      <c r="Q10" t="s">
        <v>32</v>
      </c>
    </row>
    <row r="11" spans="1:17">
      <c r="A11">
        <v>0</v>
      </c>
      <c r="L11">
        <v>10</v>
      </c>
    </row>
    <row r="12" spans="1:17">
      <c r="A12">
        <v>1</v>
      </c>
      <c r="B12" s="2">
        <v>0.12</v>
      </c>
      <c r="C12" s="2">
        <v>2</v>
      </c>
      <c r="D12" s="2">
        <v>0.67</v>
      </c>
      <c r="E12" s="4">
        <v>1</v>
      </c>
      <c r="F12" s="2">
        <v>0.48</v>
      </c>
      <c r="G12" s="4">
        <v>1</v>
      </c>
      <c r="H12" s="2">
        <f>E12+G12</f>
        <v>2</v>
      </c>
      <c r="J12" s="2"/>
      <c r="K12">
        <f>L11</f>
        <v>10</v>
      </c>
      <c r="L12" s="2">
        <f>K12-C12</f>
        <v>8</v>
      </c>
      <c r="M12" s="2">
        <f>L12*250</f>
        <v>2000</v>
      </c>
      <c r="N12">
        <v>0</v>
      </c>
      <c r="O12" s="2">
        <v>0</v>
      </c>
      <c r="P12" s="2">
        <f>SUM(M12:O12)</f>
        <v>2000</v>
      </c>
      <c r="Q12" s="2">
        <f>P12+Q11</f>
        <v>2000</v>
      </c>
    </row>
    <row r="13" spans="1:17">
      <c r="A13">
        <v>2</v>
      </c>
      <c r="B13" s="2">
        <v>0.86</v>
      </c>
      <c r="C13" s="2">
        <v>5</v>
      </c>
      <c r="D13" s="2">
        <v>0.89</v>
      </c>
      <c r="E13" s="4">
        <v>2</v>
      </c>
      <c r="F13" s="2">
        <v>0.84</v>
      </c>
      <c r="G13" s="4">
        <v>1</v>
      </c>
      <c r="H13" s="2">
        <f t="shared" ref="H13:H21" si="0">E13+G13</f>
        <v>3</v>
      </c>
      <c r="I13" s="4">
        <v>0.75</v>
      </c>
      <c r="J13" s="2">
        <v>3</v>
      </c>
      <c r="K13">
        <f t="shared" ref="K13:K21" si="1">L12</f>
        <v>8</v>
      </c>
      <c r="L13" s="2">
        <f>K13-C13</f>
        <v>3</v>
      </c>
      <c r="M13" s="2">
        <f t="shared" ref="M13:M21" si="2">L13*250</f>
        <v>750</v>
      </c>
      <c r="N13">
        <v>4500</v>
      </c>
      <c r="O13">
        <v>0</v>
      </c>
      <c r="P13" s="2">
        <f t="shared" ref="P13:P21" si="3">SUM(M13:O13)</f>
        <v>5250</v>
      </c>
      <c r="Q13" s="2">
        <f t="shared" ref="Q13:Q21" si="4">P13+Q12</f>
        <v>7250</v>
      </c>
    </row>
    <row r="14" spans="1:17">
      <c r="A14">
        <v>3</v>
      </c>
      <c r="B14" s="2">
        <v>0.25</v>
      </c>
      <c r="C14" s="2">
        <v>3</v>
      </c>
      <c r="D14" s="2">
        <v>0.51</v>
      </c>
      <c r="E14" s="4">
        <v>1</v>
      </c>
      <c r="F14" s="2">
        <v>0.18</v>
      </c>
      <c r="G14" s="4">
        <v>1</v>
      </c>
      <c r="H14" s="2">
        <f t="shared" si="0"/>
        <v>2</v>
      </c>
      <c r="J14" s="2"/>
      <c r="K14" s="2">
        <f>L13</f>
        <v>3</v>
      </c>
      <c r="L14" s="2">
        <f>K14-C14</f>
        <v>0</v>
      </c>
      <c r="M14" s="2">
        <f t="shared" si="2"/>
        <v>0</v>
      </c>
      <c r="N14">
        <v>0</v>
      </c>
      <c r="O14">
        <v>0</v>
      </c>
      <c r="P14" s="2">
        <f t="shared" si="3"/>
        <v>0</v>
      </c>
      <c r="Q14" s="2">
        <f t="shared" si="4"/>
        <v>7250</v>
      </c>
    </row>
    <row r="15" spans="1:17">
      <c r="A15">
        <v>4</v>
      </c>
      <c r="B15" s="2">
        <v>0.67</v>
      </c>
      <c r="C15" s="2">
        <v>4</v>
      </c>
      <c r="D15" s="2">
        <v>0.26</v>
      </c>
      <c r="E15" s="4">
        <v>1</v>
      </c>
      <c r="F15" s="2">
        <v>0.6</v>
      </c>
      <c r="G15" s="4">
        <v>1</v>
      </c>
      <c r="H15" s="2">
        <f t="shared" si="0"/>
        <v>2</v>
      </c>
      <c r="J15" s="2"/>
      <c r="K15">
        <f t="shared" si="1"/>
        <v>0</v>
      </c>
      <c r="L15" s="2">
        <v>0</v>
      </c>
      <c r="M15" s="2">
        <f t="shared" si="2"/>
        <v>0</v>
      </c>
      <c r="N15">
        <v>0</v>
      </c>
      <c r="O15">
        <f>(C15-K15)*450</f>
        <v>1800</v>
      </c>
      <c r="P15" s="2">
        <f t="shared" si="3"/>
        <v>1800</v>
      </c>
      <c r="Q15" s="2">
        <f t="shared" si="4"/>
        <v>9050</v>
      </c>
    </row>
    <row r="16" spans="1:17">
      <c r="A16">
        <v>5</v>
      </c>
      <c r="B16" s="2">
        <v>0.17</v>
      </c>
      <c r="C16" s="2">
        <v>2</v>
      </c>
      <c r="D16" s="2">
        <v>0.37</v>
      </c>
      <c r="E16" s="4">
        <v>1</v>
      </c>
      <c r="F16" s="2">
        <v>0.11</v>
      </c>
      <c r="G16" s="4">
        <v>1</v>
      </c>
      <c r="H16" s="2">
        <f t="shared" si="0"/>
        <v>2</v>
      </c>
      <c r="J16" s="2"/>
      <c r="K16">
        <v>8</v>
      </c>
      <c r="L16" s="2">
        <f>K16-C16</f>
        <v>6</v>
      </c>
      <c r="M16" s="2">
        <f t="shared" si="2"/>
        <v>1500</v>
      </c>
      <c r="N16">
        <v>0</v>
      </c>
      <c r="O16">
        <v>0</v>
      </c>
      <c r="P16" s="2">
        <f t="shared" si="3"/>
        <v>1500</v>
      </c>
      <c r="Q16" s="2">
        <f t="shared" si="4"/>
        <v>10550</v>
      </c>
    </row>
    <row r="17" spans="1:17">
      <c r="A17">
        <v>6</v>
      </c>
      <c r="B17" s="2"/>
      <c r="C17" s="2"/>
      <c r="D17" s="2">
        <v>0.88</v>
      </c>
      <c r="E17" s="4">
        <v>2</v>
      </c>
      <c r="F17" s="2">
        <v>0.99</v>
      </c>
      <c r="G17" s="4">
        <v>2</v>
      </c>
      <c r="H17" s="2">
        <f t="shared" si="0"/>
        <v>4</v>
      </c>
      <c r="L17" s="2"/>
      <c r="M17" s="2"/>
      <c r="P17" s="2"/>
      <c r="Q17" s="2"/>
    </row>
    <row r="18" spans="1:17">
      <c r="A18">
        <v>7</v>
      </c>
      <c r="B18" s="2"/>
      <c r="C18" s="2"/>
      <c r="D18" s="2">
        <v>0.75</v>
      </c>
      <c r="E18" s="4">
        <v>2</v>
      </c>
      <c r="F18" s="2">
        <v>0.93</v>
      </c>
      <c r="G18" s="4">
        <v>2</v>
      </c>
      <c r="H18" s="2">
        <f t="shared" si="0"/>
        <v>4</v>
      </c>
      <c r="L18" s="2"/>
      <c r="M18" s="2"/>
      <c r="P18" s="2"/>
      <c r="Q18" s="2"/>
    </row>
    <row r="19" spans="1:17">
      <c r="A19">
        <v>8</v>
      </c>
      <c r="B19" s="2"/>
      <c r="C19" s="2"/>
      <c r="D19" s="2">
        <v>0.2</v>
      </c>
      <c r="E19" s="4">
        <v>1</v>
      </c>
      <c r="F19" s="2">
        <v>0.13</v>
      </c>
      <c r="G19" s="4">
        <v>1</v>
      </c>
      <c r="H19" s="2">
        <f t="shared" si="0"/>
        <v>2</v>
      </c>
      <c r="L19" s="2"/>
      <c r="M19" s="2"/>
      <c r="P19" s="2"/>
      <c r="Q19" s="2"/>
    </row>
    <row r="20" spans="1:17">
      <c r="A20">
        <v>9</v>
      </c>
      <c r="B20" s="2"/>
      <c r="C20" s="2"/>
      <c r="D20" s="2">
        <v>0.69</v>
      </c>
      <c r="E20" s="4">
        <v>1</v>
      </c>
      <c r="F20" s="2">
        <v>0.15</v>
      </c>
      <c r="G20" s="4">
        <v>1</v>
      </c>
      <c r="H20" s="2">
        <f t="shared" si="0"/>
        <v>2</v>
      </c>
      <c r="L20" s="2"/>
      <c r="M20" s="2"/>
      <c r="P20" s="2"/>
      <c r="Q20" s="2"/>
    </row>
    <row r="21" spans="1:17">
      <c r="A21">
        <v>10</v>
      </c>
      <c r="B21" s="2"/>
      <c r="C21" s="2"/>
      <c r="D21" s="2">
        <v>0.7</v>
      </c>
      <c r="E21" s="4">
        <v>2</v>
      </c>
      <c r="F21" s="2">
        <v>0.02</v>
      </c>
      <c r="G21" s="4">
        <v>1</v>
      </c>
      <c r="H21" s="2">
        <f t="shared" si="0"/>
        <v>3</v>
      </c>
      <c r="L21" s="2"/>
      <c r="M21" s="2"/>
      <c r="P21" s="2"/>
      <c r="Q21" s="2"/>
    </row>
    <row r="23" spans="1:17">
      <c r="P23" s="4">
        <v>0.75</v>
      </c>
    </row>
    <row r="24" spans="1:17">
      <c r="F24" t="s">
        <v>23</v>
      </c>
      <c r="G24" t="s">
        <v>70</v>
      </c>
      <c r="H24" t="s">
        <v>1</v>
      </c>
      <c r="I24" t="s">
        <v>21</v>
      </c>
      <c r="P24" s="4">
        <v>0.66</v>
      </c>
    </row>
    <row r="25" spans="1:17">
      <c r="F25">
        <v>2</v>
      </c>
      <c r="G25">
        <v>6</v>
      </c>
      <c r="H25">
        <f>Tabla12[[#This Row],[Freq demora]]/$G$28</f>
        <v>0.6</v>
      </c>
      <c r="I25">
        <f>Tabla12[[#This Row],[Pr]]</f>
        <v>0.6</v>
      </c>
      <c r="P25" s="4">
        <v>0.54</v>
      </c>
    </row>
    <row r="26" spans="1:17">
      <c r="F26">
        <v>3</v>
      </c>
      <c r="G26">
        <v>2</v>
      </c>
      <c r="H26">
        <f>Tabla12[[#This Row],[Freq demora]]/$G$28</f>
        <v>0.2</v>
      </c>
      <c r="I26">
        <v>0.8</v>
      </c>
      <c r="P26" s="4">
        <v>0.81</v>
      </c>
    </row>
    <row r="27" spans="1:17">
      <c r="F27">
        <v>4</v>
      </c>
      <c r="G27">
        <v>2</v>
      </c>
      <c r="H27">
        <f>Tabla12[[#This Row],[Freq demora]]/$G$28</f>
        <v>0.2</v>
      </c>
      <c r="I27">
        <v>1</v>
      </c>
      <c r="P27" s="4">
        <v>0.42</v>
      </c>
    </row>
    <row r="28" spans="1:17">
      <c r="G28">
        <f>SUBTOTAL(109,G25:G27)</f>
        <v>10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Montecarlo</vt:lpstr>
      <vt:lpstr>Montecarlo 2</vt:lpstr>
      <vt:lpstr>Montecarlo inventario</vt:lpstr>
      <vt:lpstr>Montecarlo inventario 2</vt:lpstr>
      <vt:lpstr>Montecarlo inventario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Anibal Pintos</dc:creator>
  <cp:lastModifiedBy>Jose Anibal Pintos</cp:lastModifiedBy>
  <dcterms:created xsi:type="dcterms:W3CDTF">2024-04-14T17:59:43Z</dcterms:created>
  <dcterms:modified xsi:type="dcterms:W3CDTF">2024-04-15T17:05:07Z</dcterms:modified>
</cp:coreProperties>
</file>