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5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6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7.xml" ContentType="application/vnd.openxmlformats-officedocument.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rawings/drawing8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CTIC-CURSOS PIT\Material\Análisis de Datos\Material de Clase\Sesión 02\Sesión 02\"/>
    </mc:Choice>
  </mc:AlternateContent>
  <xr:revisionPtr revIDLastSave="0" documentId="8_{588119F5-3A3B-45E2-ACAB-70971709A99B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3.0" sheetId="6" r:id="rId1"/>
    <sheet name="3.1" sheetId="23" r:id="rId2"/>
    <sheet name="3.2" sheetId="22" r:id="rId3"/>
    <sheet name="3.3" sheetId="10" r:id="rId4"/>
    <sheet name="3.4" sheetId="14" r:id="rId5"/>
    <sheet name="3.5" sheetId="15" r:id="rId6"/>
    <sheet name="3.6" sheetId="16" r:id="rId7"/>
    <sheet name="3.7" sheetId="18" r:id="rId8"/>
    <sheet name="3.8" sheetId="17" r:id="rId9"/>
    <sheet name="Datos" sheetId="19" r:id="rId10"/>
    <sheet name="Empresas" sheetId="20" r:id="rId11"/>
    <sheet name="3.9" sheetId="21" r:id="rId12"/>
  </sheets>
  <externalReferences>
    <externalReference r:id="rId13"/>
  </externalReferences>
  <definedNames>
    <definedName name="aa" hidden="1">1</definedName>
    <definedName name="anscount" hidden="1">1</definedName>
    <definedName name="CATE">Datos!$H$3:$L$4</definedName>
    <definedName name="EMPRESA">Empresas!$A$1:$F$17</definedName>
    <definedName name="Empresas">[1]Empresas!$A$2:$F$17</definedName>
    <definedName name="limcount" hidden="1">1</definedName>
    <definedName name="PRODUCTO">Datos!$B$3:$F$29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21" l="1"/>
  <c r="I18" i="21" s="1"/>
  <c r="C15" i="21"/>
  <c r="C14" i="21"/>
  <c r="F18" i="21"/>
  <c r="E19" i="21"/>
  <c r="E18" i="21"/>
  <c r="D18" i="21"/>
  <c r="C18" i="21"/>
  <c r="I19" i="21"/>
  <c r="I20" i="21"/>
  <c r="I22" i="21"/>
  <c r="I23" i="21"/>
  <c r="I24" i="21"/>
  <c r="G19" i="21"/>
  <c r="G20" i="21"/>
  <c r="G22" i="21"/>
  <c r="G23" i="21"/>
  <c r="G24" i="21"/>
  <c r="F19" i="21"/>
  <c r="F20" i="21"/>
  <c r="F21" i="21"/>
  <c r="I21" i="21" s="1"/>
  <c r="F22" i="21"/>
  <c r="F23" i="21"/>
  <c r="F24" i="21"/>
  <c r="E20" i="21"/>
  <c r="E21" i="21"/>
  <c r="E22" i="21"/>
  <c r="E23" i="21"/>
  <c r="E24" i="21"/>
  <c r="D19" i="21"/>
  <c r="D20" i="21"/>
  <c r="D21" i="21"/>
  <c r="G21" i="21" s="1"/>
  <c r="D22" i="21"/>
  <c r="D23" i="21"/>
  <c r="D24" i="21"/>
  <c r="C19" i="21"/>
  <c r="C20" i="21"/>
  <c r="C21" i="21"/>
  <c r="C22" i="21"/>
  <c r="C23" i="21"/>
  <c r="C24" i="21"/>
  <c r="I14" i="21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G11" i="16"/>
  <c r="F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10" i="14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4" i="10"/>
  <c r="E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4" i="10"/>
  <c r="E32" i="22"/>
  <c r="E33" i="22"/>
  <c r="H35" i="22"/>
  <c r="D35" i="22"/>
  <c r="B35" i="22"/>
  <c r="I20" i="22"/>
  <c r="I23" i="22"/>
  <c r="I26" i="22"/>
  <c r="C26" i="22"/>
  <c r="C15" i="22"/>
  <c r="G17" i="22"/>
  <c r="B4" i="22"/>
  <c r="B6" i="22"/>
  <c r="E3" i="22" s="1"/>
  <c r="D24" i="23"/>
  <c r="D22" i="23"/>
  <c r="D20" i="23"/>
  <c r="D18" i="23"/>
  <c r="D16" i="23"/>
  <c r="D14" i="23"/>
  <c r="D12" i="23"/>
  <c r="G4" i="6"/>
  <c r="G5" i="6"/>
  <c r="G6" i="6"/>
  <c r="G3" i="6"/>
  <c r="F3" i="6"/>
  <c r="F4" i="6"/>
  <c r="F5" i="6"/>
  <c r="F6" i="6"/>
  <c r="E3" i="6"/>
  <c r="E4" i="6"/>
  <c r="E5" i="6"/>
  <c r="E6" i="6"/>
  <c r="I25" i="21" l="1"/>
  <c r="I26" i="21"/>
  <c r="I27" i="21" s="1"/>
  <c r="E6" i="22"/>
  <c r="E4" i="22"/>
  <c r="E34" i="22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M1" i="10" l="1"/>
  <c r="R4" i="10" s="1"/>
  <c r="R5" i="10" l="1"/>
  <c r="R25" i="10"/>
  <c r="R6" i="10"/>
  <c r="R26" i="10"/>
  <c r="R7" i="10"/>
  <c r="R27" i="10"/>
  <c r="R20" i="10"/>
  <c r="R24" i="10"/>
  <c r="R8" i="10"/>
  <c r="R28" i="10"/>
  <c r="R9" i="10"/>
  <c r="R10" i="10"/>
  <c r="R11" i="10"/>
  <c r="R12" i="10"/>
  <c r="R13" i="10"/>
  <c r="R23" i="10"/>
  <c r="R14" i="10"/>
  <c r="R15" i="10"/>
  <c r="R16" i="10"/>
  <c r="R22" i="10"/>
  <c r="R17" i="10"/>
  <c r="R18" i="10"/>
  <c r="R19" i="10"/>
  <c r="R21" i="10"/>
  <c r="Q4" i="10"/>
  <c r="P4" i="10"/>
  <c r="P5" i="10"/>
  <c r="P25" i="10"/>
  <c r="P15" i="10"/>
  <c r="P17" i="10"/>
  <c r="P22" i="10"/>
  <c r="P6" i="10"/>
  <c r="P26" i="10"/>
  <c r="P7" i="10"/>
  <c r="P27" i="10"/>
  <c r="P8" i="10"/>
  <c r="P28" i="10"/>
  <c r="P9" i="10"/>
  <c r="P20" i="10"/>
  <c r="P10" i="10"/>
  <c r="P11" i="10"/>
  <c r="P16" i="10"/>
  <c r="P12" i="10"/>
  <c r="P19" i="10"/>
  <c r="P13" i="10"/>
  <c r="P14" i="10"/>
  <c r="P18" i="10"/>
  <c r="P23" i="10"/>
  <c r="P21" i="10"/>
  <c r="P24" i="10"/>
  <c r="Q5" i="10"/>
  <c r="Q25" i="10"/>
  <c r="Q19" i="10"/>
  <c r="Q6" i="10"/>
  <c r="Q26" i="10"/>
  <c r="Q7" i="10"/>
  <c r="Q27" i="10"/>
  <c r="Q8" i="10"/>
  <c r="Q28" i="10"/>
  <c r="Q20" i="10"/>
  <c r="Q9" i="10"/>
  <c r="Q24" i="10"/>
  <c r="Q10" i="10"/>
  <c r="Q21" i="10"/>
  <c r="Q23" i="10"/>
  <c r="Q11" i="10"/>
  <c r="Q12" i="10"/>
  <c r="Q13" i="10"/>
  <c r="Q14" i="10"/>
  <c r="Q15" i="10"/>
  <c r="Q16" i="10"/>
  <c r="Q17" i="10"/>
  <c r="Q18" i="10"/>
  <c r="Q22" i="10"/>
  <c r="O5" i="10"/>
  <c r="O25" i="10"/>
  <c r="O6" i="10"/>
  <c r="O26" i="10"/>
  <c r="O7" i="10"/>
  <c r="O27" i="10"/>
  <c r="O20" i="10"/>
  <c r="O8" i="10"/>
  <c r="O28" i="10"/>
  <c r="O9" i="10"/>
  <c r="O21" i="10"/>
  <c r="O10" i="10"/>
  <c r="O11" i="10"/>
  <c r="O12" i="10"/>
  <c r="O13" i="10"/>
  <c r="O14" i="10"/>
  <c r="O15" i="10"/>
  <c r="O23" i="10"/>
  <c r="O16" i="10"/>
  <c r="O17" i="10"/>
  <c r="O24" i="10"/>
  <c r="O18" i="10"/>
  <c r="O22" i="10"/>
  <c r="O19" i="10"/>
  <c r="N4" i="10"/>
  <c r="O4" i="10"/>
  <c r="N5" i="10"/>
  <c r="N25" i="10"/>
  <c r="N6" i="10"/>
  <c r="N26" i="10"/>
  <c r="N17" i="10"/>
  <c r="N22" i="10"/>
  <c r="N7" i="10"/>
  <c r="N27" i="10"/>
  <c r="N8" i="10"/>
  <c r="N28" i="10"/>
  <c r="N19" i="10"/>
  <c r="N21" i="10"/>
  <c r="N9" i="10"/>
  <c r="N10" i="10"/>
  <c r="N20" i="10"/>
  <c r="N11" i="10"/>
  <c r="N12" i="10"/>
  <c r="N24" i="10"/>
  <c r="N13" i="10"/>
  <c r="N14" i="10"/>
  <c r="N15" i="10"/>
  <c r="N16" i="10"/>
  <c r="N18" i="10"/>
  <c r="N23" i="10"/>
</calcChain>
</file>

<file path=xl/sharedStrings.xml><?xml version="1.0" encoding="utf-8"?>
<sst xmlns="http://schemas.openxmlformats.org/spreadsheetml/2006/main" count="1254" uniqueCount="607">
  <si>
    <t>Té Dharamsala</t>
  </si>
  <si>
    <t>Cerveza tibetana Barley</t>
  </si>
  <si>
    <t>Especias Cajun del chef Anton</t>
  </si>
  <si>
    <t>Mezcla Gumbo del chef Anton</t>
  </si>
  <si>
    <t>Mermelada de grosellas de la abuela</t>
  </si>
  <si>
    <t>Salsa de arándanos Northwoods</t>
  </si>
  <si>
    <t>Buey Mishi Kobe</t>
  </si>
  <si>
    <t>Queso Cabrales</t>
  </si>
  <si>
    <t>DNI</t>
  </si>
  <si>
    <t>Cliente</t>
  </si>
  <si>
    <t>Importe</t>
  </si>
  <si>
    <t>País Destinatario</t>
  </si>
  <si>
    <t>Brasil</t>
  </si>
  <si>
    <t>Argentina</t>
  </si>
  <si>
    <t>Reino Unido</t>
  </si>
  <si>
    <t>España</t>
  </si>
  <si>
    <t>Cod Venta</t>
  </si>
  <si>
    <t>Fecha Venta</t>
  </si>
  <si>
    <t>Ciudad Destinatario</t>
  </si>
  <si>
    <t>Nombre Producto</t>
  </si>
  <si>
    <t>Precio Unidad</t>
  </si>
  <si>
    <t>Cantidad</t>
  </si>
  <si>
    <t>Resende</t>
  </si>
  <si>
    <t>Río de Janeiro</t>
  </si>
  <si>
    <t>Sirope de arce</t>
  </si>
  <si>
    <t>Buenos Aires</t>
  </si>
  <si>
    <t>Cerveza Klosterbier Rhönbräu</t>
  </si>
  <si>
    <t>Córdova</t>
  </si>
  <si>
    <t>Café de Malasia</t>
  </si>
  <si>
    <t>Vino Côte de Blaye</t>
  </si>
  <si>
    <t>Mermelada de Sir Rodney's</t>
  </si>
  <si>
    <t>Sao Paulo</t>
  </si>
  <si>
    <t>Licor verde Chartreuse</t>
  </si>
  <si>
    <t>Camembert Pierrot</t>
  </si>
  <si>
    <t>Barras de pan de Escocia</t>
  </si>
  <si>
    <t>Cowes</t>
  </si>
  <si>
    <t>Salchicha Thüringer</t>
  </si>
  <si>
    <t>Cerveza Outback</t>
  </si>
  <si>
    <t>Queso Mozzarella Giovanni</t>
  </si>
  <si>
    <t>London</t>
  </si>
  <si>
    <t>Chocolate blanco</t>
  </si>
  <si>
    <t>Raclet de queso Courdavault</t>
  </si>
  <si>
    <t>Crema de chocolate y nueces NuNuCa</t>
  </si>
  <si>
    <t>Colchester</t>
  </si>
  <si>
    <t>Cerveza Laughing Lumberjack</t>
  </si>
  <si>
    <t>Cerveza negra Steeleye</t>
  </si>
  <si>
    <t>Regaliz</t>
  </si>
  <si>
    <t>Ositos de goma Gumbär</t>
  </si>
  <si>
    <t>Paté chino</t>
  </si>
  <si>
    <t>Sevilla</t>
  </si>
  <si>
    <t>Salsa de pimiento picante de Luisiana</t>
  </si>
  <si>
    <t>Tarta de azúcar</t>
  </si>
  <si>
    <t>Postre de merengue Pavlova</t>
  </si>
  <si>
    <t>Salsa verde original Frankfurter</t>
  </si>
  <si>
    <t>Queso gorgonzola Telino</t>
  </si>
  <si>
    <t>Barcelona</t>
  </si>
  <si>
    <t>Queso de cabra</t>
  </si>
  <si>
    <t>Cordero Alice Springs</t>
  </si>
  <si>
    <t>Queso Mascarpone Fabioli</t>
  </si>
  <si>
    <t>Crema de queso Fløtemys</t>
  </si>
  <si>
    <t>Madrid</t>
  </si>
  <si>
    <t>Refresco Guaraná Fantástica</t>
  </si>
  <si>
    <t>Licor Cloudberry</t>
  </si>
  <si>
    <t>Galletas Zaanse</t>
  </si>
  <si>
    <t>Empanada de carne</t>
  </si>
  <si>
    <t>Chop de Cerveza Sasquatch</t>
  </si>
  <si>
    <t>Vendedor</t>
  </si>
  <si>
    <t>Aguedo Cruz, Gerald Nolasco</t>
  </si>
  <si>
    <t>Arevalo Mori, Carlos Alberto</t>
  </si>
  <si>
    <t>Bendezu Flores , Yesica Beatriz</t>
  </si>
  <si>
    <t>Torres Flores, Marco Antonio</t>
  </si>
  <si>
    <t>Ruiz Perez, Maria Rosa</t>
  </si>
  <si>
    <t>Morales Salas, Juan Manuel</t>
  </si>
  <si>
    <t>Mendoza Peña, Ricardo Manuel</t>
  </si>
  <si>
    <t>Peña Sanchez, Karla Rosa</t>
  </si>
  <si>
    <t>Lopez Salazar, Julio Raul</t>
  </si>
  <si>
    <t>Quiroz Mendoza, Sara</t>
  </si>
  <si>
    <t>Lavarte Nuñez, Ricardo</t>
  </si>
  <si>
    <t>Lopez Juarez, Guisella</t>
  </si>
  <si>
    <t>Liñan Quiroz, Luis Miguel</t>
  </si>
  <si>
    <t>Bernuy Caceres, Paul Michel</t>
  </si>
  <si>
    <t>Brañez Mendoza, Blanca Vanessa</t>
  </si>
  <si>
    <t>Ramirez Rodriguez, Jessica Ines</t>
  </si>
  <si>
    <t>Casiano Estrada, Victor</t>
  </si>
  <si>
    <t>Castanogla Barriga, Giuesppe</t>
  </si>
  <si>
    <t>Galvez de la Barra, Eduardo Aurelio</t>
  </si>
  <si>
    <t>Gonzales Caceres, Bruno Antonio</t>
  </si>
  <si>
    <t>Inga Lopez, Jose Luis</t>
  </si>
  <si>
    <t>Jimenez Cruz, Roxana</t>
  </si>
  <si>
    <t>La Madrid Carmen, Miriam Rosalin</t>
  </si>
  <si>
    <t>Loayza Huapaya, Luis Angel</t>
  </si>
  <si>
    <t>Magallanes Aburto, Rosa Fabiola</t>
  </si>
  <si>
    <t>Medina Molina, Noemi Mariela</t>
  </si>
  <si>
    <t>Niquen Salinas, Mario Alexis</t>
  </si>
  <si>
    <t>Prieto Marcos, Luis Angel</t>
  </si>
  <si>
    <t>Quintanilla Quintanilla, Aurora Zoila</t>
  </si>
  <si>
    <t>Quintana suarez, Robinson Martín</t>
  </si>
  <si>
    <t>Reyes Quispe, Liliana Matilde</t>
  </si>
  <si>
    <t>Riofrio Suyon, Jorge Jhon</t>
  </si>
  <si>
    <t>Rivera Osorio, Edith</t>
  </si>
  <si>
    <t>Rodriguez Chavez, Gustavo Ricardo</t>
  </si>
  <si>
    <t>Rodriguez Garcia, Jhoni Glicerio</t>
  </si>
  <si>
    <t>Sanchez Alvarado, Richard Chirstian</t>
  </si>
  <si>
    <t>Sulca Montenegro, Nmaria Esperanza</t>
  </si>
  <si>
    <t>Mendoza Quiroz, Liuis Miguel</t>
  </si>
  <si>
    <t>Salazar Rios, Karla Rosa</t>
  </si>
  <si>
    <t>Grados Cabrera, Victoria</t>
  </si>
  <si>
    <t>Cataño Romero, Antonio</t>
  </si>
  <si>
    <t>CodEmpleado</t>
  </si>
  <si>
    <t>Curso:</t>
  </si>
  <si>
    <t>EXCEL VRTUAL - JPC</t>
  </si>
  <si>
    <t>Código</t>
  </si>
  <si>
    <t>Dato Ap.</t>
  </si>
  <si>
    <t>Dato Nom.</t>
  </si>
  <si>
    <t>Apellidos</t>
  </si>
  <si>
    <t>Nombres</t>
  </si>
  <si>
    <t>Fecha Ingreso</t>
  </si>
  <si>
    <t>Área</t>
  </si>
  <si>
    <t>altamirano teodoro</t>
  </si>
  <si>
    <t>jessica edith</t>
  </si>
  <si>
    <t>B</t>
  </si>
  <si>
    <t>alvarez figueroa</t>
  </si>
  <si>
    <t>bertha</t>
  </si>
  <si>
    <t>D</t>
  </si>
  <si>
    <t>cubas cieza</t>
  </si>
  <si>
    <t>onilda</t>
  </si>
  <si>
    <t>C</t>
  </si>
  <si>
    <t>cueva de la cruz</t>
  </si>
  <si>
    <t>ana</t>
  </si>
  <si>
    <t>A</t>
  </si>
  <si>
    <t>espinoza arroé</t>
  </si>
  <si>
    <t>kelly</t>
  </si>
  <si>
    <t>fiestas trujillo</t>
  </si>
  <si>
    <t>iris sharon</t>
  </si>
  <si>
    <t>galvez canchalla</t>
  </si>
  <si>
    <t>rocio gisella</t>
  </si>
  <si>
    <t>huamanchumo castro</t>
  </si>
  <si>
    <t>walter guillermo</t>
  </si>
  <si>
    <t>jacinto aviles</t>
  </si>
  <si>
    <t>raul</t>
  </si>
  <si>
    <t>lovera sandoval</t>
  </si>
  <si>
    <t>lorena</t>
  </si>
  <si>
    <t>manya panta</t>
  </si>
  <si>
    <t>franz omar</t>
  </si>
  <si>
    <t>medina salgado</t>
  </si>
  <si>
    <t>liliana vanessa</t>
  </si>
  <si>
    <t>miranda corrales nieves</t>
  </si>
  <si>
    <t>claudia patricia</t>
  </si>
  <si>
    <t>miranda fernandez</t>
  </si>
  <si>
    <t>roberto carlos</t>
  </si>
  <si>
    <t>murrieta bardales</t>
  </si>
  <si>
    <t>emily victoria</t>
  </si>
  <si>
    <t>olivares cusicahua</t>
  </si>
  <si>
    <t>jhonatan</t>
  </si>
  <si>
    <t>ortiz vergara</t>
  </si>
  <si>
    <t>fiorella</t>
  </si>
  <si>
    <t>perez de la puente</t>
  </si>
  <si>
    <t>oscar</t>
  </si>
  <si>
    <t>pomachagua sotomayor</t>
  </si>
  <si>
    <t>walter miguel</t>
  </si>
  <si>
    <t>romero guillen</t>
  </si>
  <si>
    <t>ivana daniele</t>
  </si>
  <si>
    <t>torres loyola</t>
  </si>
  <si>
    <t>christian daniel</t>
  </si>
  <si>
    <t>uturi arroyo</t>
  </si>
  <si>
    <t>martha inés</t>
  </si>
  <si>
    <t>vallejos lozada</t>
  </si>
  <si>
    <t>miguel ángel</t>
  </si>
  <si>
    <t>villegas tamayo</t>
  </si>
  <si>
    <t>milagros</t>
  </si>
  <si>
    <t>wong bobadilla</t>
  </si>
  <si>
    <t>waldy elena</t>
  </si>
  <si>
    <t>K00-AAD</t>
  </si>
  <si>
    <t>ALVAREZ FIGUEROA</t>
  </si>
  <si>
    <t>Bertha</t>
  </si>
  <si>
    <t>K00-CAC</t>
  </si>
  <si>
    <t>CUBAS CIEZA</t>
  </si>
  <si>
    <t>Onilda</t>
  </si>
  <si>
    <t>K00-CAA</t>
  </si>
  <si>
    <t>CUEVA DE LA CRUZ</t>
  </si>
  <si>
    <t>Ana</t>
  </si>
  <si>
    <t>K00-EYC</t>
  </si>
  <si>
    <t>ESPINOZA ARROÉ</t>
  </si>
  <si>
    <t>Kelly</t>
  </si>
  <si>
    <t>K00-FNC</t>
  </si>
  <si>
    <t>FIESTAS TRUJILLO</t>
  </si>
  <si>
    <t>Iris Sharon</t>
  </si>
  <si>
    <t>K00-GAB</t>
  </si>
  <si>
    <t>GALVEZ CANCHALLA</t>
  </si>
  <si>
    <t>Rocio Gisella</t>
  </si>
  <si>
    <t>K00-HOD</t>
  </si>
  <si>
    <t>HUAMANCHUMO CASTRO</t>
  </si>
  <si>
    <t>Walter Guillermo</t>
  </si>
  <si>
    <t>K00-JLC</t>
  </si>
  <si>
    <t>JACINTO AVILES</t>
  </si>
  <si>
    <t>Raul</t>
  </si>
  <si>
    <t>K00-LAB</t>
  </si>
  <si>
    <t>LOVERA SANDOVAL</t>
  </si>
  <si>
    <t>Lorena</t>
  </si>
  <si>
    <t>K00-MRA</t>
  </si>
  <si>
    <t>MANYA PANTA</t>
  </si>
  <si>
    <t>Franz Omar</t>
  </si>
  <si>
    <t>K00-MAB</t>
  </si>
  <si>
    <t>MEDINA SALGADO</t>
  </si>
  <si>
    <t>Liliana Vanessa</t>
  </si>
  <si>
    <t>K00-MAC</t>
  </si>
  <si>
    <t>MIRANDA CORRALES NIEVES</t>
  </si>
  <si>
    <t>Claudia Patricia</t>
  </si>
  <si>
    <t>K00-MSA</t>
  </si>
  <si>
    <t>MIRANDA FERNANDEZ</t>
  </si>
  <si>
    <t>Roberto Carlos</t>
  </si>
  <si>
    <t>MURRIETA BARDALES</t>
  </si>
  <si>
    <t>Emily Victoria</t>
  </si>
  <si>
    <t>K00-ONC</t>
  </si>
  <si>
    <t>OLIVARES CUSICAHUA</t>
  </si>
  <si>
    <t>Jhonatan</t>
  </si>
  <si>
    <t>K00-OAA</t>
  </si>
  <si>
    <t>ORTIZ VERGARA</t>
  </si>
  <si>
    <t>Fiorella</t>
  </si>
  <si>
    <t>K00-PRC</t>
  </si>
  <si>
    <t>PEREZ DE LA PUENTE</t>
  </si>
  <si>
    <t>Oscar</t>
  </si>
  <si>
    <t>K00-PLB</t>
  </si>
  <si>
    <t>POMACHAGUA SOTOMAYOR</t>
  </si>
  <si>
    <t>Walter Miguel</t>
  </si>
  <si>
    <t>K00-REB</t>
  </si>
  <si>
    <t>ROMERO GUILLEN</t>
  </si>
  <si>
    <t>Ivana Daniele</t>
  </si>
  <si>
    <t>K00-TLC</t>
  </si>
  <si>
    <t>TORRES LOYOLA</t>
  </si>
  <si>
    <t>Christian Daniel</t>
  </si>
  <si>
    <t>K00-USA</t>
  </si>
  <si>
    <t>UTURI ARROYO</t>
  </si>
  <si>
    <t>Martha Inés</t>
  </si>
  <si>
    <t>K00-VLD</t>
  </si>
  <si>
    <t>VALLEJOS LOZADA</t>
  </si>
  <si>
    <t>Miguel Ángel</t>
  </si>
  <si>
    <t>K00-VSB</t>
  </si>
  <si>
    <t>VILLEGAS TAMAYO</t>
  </si>
  <si>
    <t>Milagros</t>
  </si>
  <si>
    <t>K00-WAA</t>
  </si>
  <si>
    <t>WONG BOBADILLA</t>
  </si>
  <si>
    <t>Waldy Elena</t>
  </si>
  <si>
    <t>Fecha</t>
  </si>
  <si>
    <t>Meses</t>
  </si>
  <si>
    <t>Lima</t>
  </si>
  <si>
    <t>Empleado</t>
  </si>
  <si>
    <t>Años</t>
  </si>
  <si>
    <t>Años Servicio</t>
  </si>
  <si>
    <t>Sueldo Base</t>
  </si>
  <si>
    <t>Ventas</t>
  </si>
  <si>
    <t>Comisión</t>
  </si>
  <si>
    <t>Bonificación</t>
  </si>
  <si>
    <t>TABLA DE COMISIONES</t>
  </si>
  <si>
    <t>Valor Ventas.</t>
  </si>
  <si>
    <t>TABLA DE BONIFICACIONES</t>
  </si>
  <si>
    <t>E00352</t>
  </si>
  <si>
    <t>E00228</t>
  </si>
  <si>
    <t>E00338</t>
  </si>
  <si>
    <t>E00445</t>
  </si>
  <si>
    <t>E00313</t>
  </si>
  <si>
    <t>E00498</t>
  </si>
  <si>
    <t>E00345</t>
  </si>
  <si>
    <t>E00457</t>
  </si>
  <si>
    <t>E00123</t>
  </si>
  <si>
    <t>E00125</t>
  </si>
  <si>
    <t>E00141</t>
  </si>
  <si>
    <t>E00320</t>
  </si>
  <si>
    <t>E00404</t>
  </si>
  <si>
    <t>E00197</t>
  </si>
  <si>
    <t>E00371</t>
  </si>
  <si>
    <t>E00295</t>
  </si>
  <si>
    <t>E00244</t>
  </si>
  <si>
    <t>E00497</t>
  </si>
  <si>
    <t>E00036</t>
  </si>
  <si>
    <t>E00189</t>
  </si>
  <si>
    <t>E00097</t>
  </si>
  <si>
    <t>E00165</t>
  </si>
  <si>
    <t>E00307</t>
  </si>
  <si>
    <t>E00083</t>
  </si>
  <si>
    <t>FUNCIONES CON CRITERIO</t>
  </si>
  <si>
    <t>CONTAR.SI</t>
  </si>
  <si>
    <t>SUMAR.SI</t>
  </si>
  <si>
    <t>PROMEDIO.SI</t>
  </si>
  <si>
    <t>CONTAR</t>
  </si>
  <si>
    <t>SUMA IMPORTE</t>
  </si>
  <si>
    <t>PROMEDIO IMPORTE</t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</si>
  <si>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essica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dith</t>
    </r>
  </si>
  <si>
    <r>
      <rPr>
        <b/>
        <sz val="11"/>
        <color rgb="FF0070C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LTAMIRANO TEODORO</t>
    </r>
  </si>
  <si>
    <r>
      <rPr>
        <b/>
        <sz val="11"/>
        <color rgb="FFC00000"/>
        <rFont val="Calibri"/>
        <family val="2"/>
        <scheme val="minor"/>
      </rPr>
      <t>K00-</t>
    </r>
    <r>
      <rPr>
        <b/>
        <sz val="11"/>
        <color rgb="FF0070C0"/>
        <rFont val="Calibri"/>
        <family val="2"/>
        <scheme val="minor"/>
      </rPr>
      <t>A</t>
    </r>
    <r>
      <rPr>
        <b/>
        <sz val="11"/>
        <color rgb="FF002060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B</t>
    </r>
  </si>
  <si>
    <r>
      <t>Jessica Edit</t>
    </r>
    <r>
      <rPr>
        <b/>
        <sz val="11"/>
        <color rgb="FF002060"/>
        <rFont val="Calibri"/>
        <family val="2"/>
        <scheme val="minor"/>
      </rPr>
      <t>h</t>
    </r>
  </si>
  <si>
    <t>Inicial 2do Nomb.</t>
  </si>
  <si>
    <t>Año</t>
  </si>
  <si>
    <t>Mes N</t>
  </si>
  <si>
    <t>Dia N</t>
  </si>
  <si>
    <t>Mes Texto</t>
  </si>
  <si>
    <t>Dia Semana</t>
  </si>
  <si>
    <t>Dias Transc.</t>
  </si>
  <si>
    <t>Meses Transc.</t>
  </si>
  <si>
    <t>Años Transc.</t>
  </si>
  <si>
    <t>Meses Sin Años</t>
  </si>
  <si>
    <t>Dias</t>
  </si>
  <si>
    <t>Y</t>
  </si>
  <si>
    <t>M</t>
  </si>
  <si>
    <t>YM</t>
  </si>
  <si>
    <t>MD</t>
  </si>
  <si>
    <r>
      <t xml:space="preserve">Número de </t>
    </r>
    <r>
      <rPr>
        <b/>
        <sz val="11"/>
        <color rgb="FFC00000"/>
        <rFont val="Calibri"/>
        <family val="2"/>
        <scheme val="minor"/>
      </rPr>
      <t>días</t>
    </r>
    <r>
      <rPr>
        <sz val="11"/>
        <color theme="1"/>
        <rFont val="Calibri"/>
        <family val="2"/>
        <scheme val="minor"/>
      </rPr>
      <t xml:space="preserve"> entre dos fechas</t>
    </r>
  </si>
  <si>
    <r>
      <t xml:space="preserve">Número de </t>
    </r>
    <r>
      <rPr>
        <b/>
        <sz val="11"/>
        <color rgb="FFC00000"/>
        <rFont val="Calibri"/>
        <family val="2"/>
        <scheme val="minor"/>
      </rPr>
      <t>meses</t>
    </r>
    <r>
      <rPr>
        <sz val="11"/>
        <color theme="1"/>
        <rFont val="Calibri"/>
        <family val="2"/>
        <scheme val="minor"/>
      </rPr>
      <t xml:space="preserve"> entre dos fechas</t>
    </r>
  </si>
  <si>
    <r>
      <t xml:space="preserve">Número de </t>
    </r>
    <r>
      <rPr>
        <b/>
        <sz val="11"/>
        <color rgb="FFC00000"/>
        <rFont val="Calibri"/>
        <family val="2"/>
        <scheme val="minor"/>
      </rPr>
      <t>años</t>
    </r>
    <r>
      <rPr>
        <sz val="11"/>
        <color theme="1"/>
        <rFont val="Calibri"/>
        <family val="2"/>
        <scheme val="minor"/>
      </rPr>
      <t xml:space="preserve"> entre dos fechas</t>
    </r>
  </si>
  <si>
    <r>
      <t xml:space="preserve">Número de </t>
    </r>
    <r>
      <rPr>
        <b/>
        <sz val="11"/>
        <color rgb="FFC00000"/>
        <rFont val="Calibri"/>
        <family val="2"/>
        <scheme val="minor"/>
      </rPr>
      <t>meses</t>
    </r>
    <r>
      <rPr>
        <sz val="11"/>
        <color theme="1"/>
        <rFont val="Calibri"/>
        <family val="2"/>
        <scheme val="minor"/>
      </rPr>
      <t xml:space="preserve"> entre dos fechas,</t>
    </r>
    <r>
      <rPr>
        <b/>
        <sz val="11"/>
        <color rgb="FFC00000"/>
        <rFont val="Calibri"/>
        <family val="2"/>
        <scheme val="minor"/>
      </rPr>
      <t xml:space="preserve"> sin considerar años</t>
    </r>
  </si>
  <si>
    <r>
      <t xml:space="preserve">Número de </t>
    </r>
    <r>
      <rPr>
        <b/>
        <sz val="11"/>
        <color rgb="FFC00000"/>
        <rFont val="Calibri"/>
        <family val="2"/>
        <scheme val="minor"/>
      </rPr>
      <t>dias</t>
    </r>
    <r>
      <rPr>
        <sz val="11"/>
        <color theme="1"/>
        <rFont val="Calibri"/>
        <family val="2"/>
        <scheme val="minor"/>
      </rPr>
      <t xml:space="preserve"> entre dos fechas,</t>
    </r>
    <r>
      <rPr>
        <b/>
        <sz val="11"/>
        <color rgb="FFC00000"/>
        <rFont val="Calibri"/>
        <family val="2"/>
        <scheme val="minor"/>
      </rPr>
      <t xml:space="preserve"> sin considerar meses</t>
    </r>
  </si>
  <si>
    <t>Marketing</t>
  </si>
  <si>
    <t>Sotelo Godoy, Sandra Eulalia</t>
  </si>
  <si>
    <t>Producción</t>
  </si>
  <si>
    <t>Cámero Kuroki, Aida Rosa</t>
  </si>
  <si>
    <t>RRHH</t>
  </si>
  <si>
    <t>Cámero Kuroki, Fanny Julissa</t>
  </si>
  <si>
    <t>López Carranza, María Fernanda</t>
  </si>
  <si>
    <t xml:space="preserve">Nacarino Gónzales, Yenni </t>
  </si>
  <si>
    <t xml:space="preserve">Galindo Ranilla, Lourdes </t>
  </si>
  <si>
    <t xml:space="preserve">Galindo Ranilla, Milagros </t>
  </si>
  <si>
    <t>Paredes Villarreal, Darlín Milagros</t>
  </si>
  <si>
    <t>Torres Alarcón, Karina Alejandra</t>
  </si>
  <si>
    <t>De Souza Ferreyra Seminario, Blanca Deborah</t>
  </si>
  <si>
    <t xml:space="preserve">Aldana Gonzáles, Rocio </t>
  </si>
  <si>
    <t>Gil, Liz Karen</t>
  </si>
  <si>
    <t>Pujaico Gutierrez, Jessica Karina</t>
  </si>
  <si>
    <t>Alban Cuestas, Gina Cecilia</t>
  </si>
  <si>
    <t xml:space="preserve">Barrientos Bórquez, Gabriela </t>
  </si>
  <si>
    <t xml:space="preserve">Aguilar Casas, Samuel </t>
  </si>
  <si>
    <t xml:space="preserve">Zuschrott García, Valery </t>
  </si>
  <si>
    <t xml:space="preserve">Chau Dimitriades, Jorge </t>
  </si>
  <si>
    <t>Lambruschini Tarazona, Erika Sarita</t>
  </si>
  <si>
    <t>Ordinola Delgado, Lidia Socorro</t>
  </si>
  <si>
    <t>Vilca Vásquez, Jessica Kiara</t>
  </si>
  <si>
    <t>Hurtado Morales, Reyna</t>
  </si>
  <si>
    <t>Woll Pizarro, Ursula Kay</t>
  </si>
  <si>
    <t>Cámero Kuroki, Patricia Lourdes</t>
  </si>
  <si>
    <t>IMPUESTO RENTA</t>
  </si>
  <si>
    <t>Sueldo</t>
  </si>
  <si>
    <t>Área del empleado</t>
  </si>
  <si>
    <t>Callao</t>
  </si>
  <si>
    <t>Av. Javier Prado Este 301 San Isidro</t>
  </si>
  <si>
    <t>Av. La Marina 175 San Miguel</t>
  </si>
  <si>
    <t>Huancayo</t>
  </si>
  <si>
    <t>Av. Cámero Kuroki 236 Ingenio</t>
  </si>
  <si>
    <t>Av. Salaverry 718 San Isidro</t>
  </si>
  <si>
    <t>Av. Vilca Vásquez 457 Ingenio</t>
  </si>
  <si>
    <t>Av. Pedro de Osma 297 Barranco</t>
  </si>
  <si>
    <t>Av. Salaverry 923 San Isidro</t>
  </si>
  <si>
    <t>Av. Guardia Civil 772 San Luis</t>
  </si>
  <si>
    <t>Av. Santa Cruz 209 Miraflores</t>
  </si>
  <si>
    <t>Av. La Marina 629 San Miguel</t>
  </si>
  <si>
    <t>Av. Guardia Civil 741 San Luis</t>
  </si>
  <si>
    <t>Av. Cámero Kuroki 243 Ingenio</t>
  </si>
  <si>
    <t>Av. Guardia Civil 362 San Luis</t>
  </si>
  <si>
    <t>Av. Salaverry 808 San Isidro</t>
  </si>
  <si>
    <t>Av. La Marina 620 San Miguel</t>
  </si>
  <si>
    <t>Av. La Marina 574 San Miguel</t>
  </si>
  <si>
    <t>Av. Vilca Vásquez 304 Ingenio</t>
  </si>
  <si>
    <t>Av. La Marina 198 San Miguel</t>
  </si>
  <si>
    <t>Av. Salaverry 124 San Isidro</t>
  </si>
  <si>
    <t>Av. Pedro de Osma 739 Barranco</t>
  </si>
  <si>
    <t>Av. Woll Pizarro 598, Ingenio</t>
  </si>
  <si>
    <t>Av. Santa Cruz 302 Miraflores</t>
  </si>
  <si>
    <t>Av. Santa Cruz 426 Miraflores</t>
  </si>
  <si>
    <t>Cargo transporte</t>
  </si>
  <si>
    <t>Importe venta</t>
  </si>
  <si>
    <t>Kilos</t>
  </si>
  <si>
    <t>Ciudad</t>
  </si>
  <si>
    <t>Dirección</t>
  </si>
  <si>
    <t>Lima Sur</t>
  </si>
  <si>
    <t>Lima Norte</t>
  </si>
  <si>
    <t>Lima Centro</t>
  </si>
  <si>
    <t>BONIFICACIÓN (Forma 2)</t>
  </si>
  <si>
    <t>BONIFICACIÓN (Forma 1)</t>
  </si>
  <si>
    <t>Volumen de ventas</t>
  </si>
  <si>
    <t>Código vendedor</t>
  </si>
  <si>
    <t>Gil López, Liz Karen</t>
  </si>
  <si>
    <t>Vilca Vásquez, Jessica</t>
  </si>
  <si>
    <t>FEC_INGRESO</t>
  </si>
  <si>
    <t>Fecha de reunión</t>
  </si>
  <si>
    <t>Fechas de la reunión por Área</t>
  </si>
  <si>
    <t>Hurtado Morales, Soy La Reyna</t>
  </si>
  <si>
    <t>COD</t>
  </si>
  <si>
    <t>PRODUCTO</t>
  </si>
  <si>
    <t>CATEGORÍA</t>
  </si>
  <si>
    <t>DESCRIPCION</t>
  </si>
  <si>
    <t>PRECIO</t>
  </si>
  <si>
    <t>Categoría</t>
  </si>
  <si>
    <t>PL-100</t>
  </si>
  <si>
    <t>PLACA PRINCIPAL</t>
  </si>
  <si>
    <t>PENTIUM IV 2.4 GHZ - 512 MB INTEL</t>
  </si>
  <si>
    <t>% Descuento</t>
  </si>
  <si>
    <t>PL-101</t>
  </si>
  <si>
    <t>PENTIUM IV 2.7 GHZ - 512 MB CELERON</t>
  </si>
  <si>
    <t>PL-102</t>
  </si>
  <si>
    <t>PENTIUM IV 3 GHZ - 1 GB INTEL</t>
  </si>
  <si>
    <t>PL-103</t>
  </si>
  <si>
    <t>PENTIUM IV 3 GHZ - 2 GB INTEL</t>
  </si>
  <si>
    <t>UD-200</t>
  </si>
  <si>
    <t>UNIDAD DE DISCO</t>
  </si>
  <si>
    <t>UNID. LECTORA DVD CREATIVE LAB.</t>
  </si>
  <si>
    <t>UD-201</t>
  </si>
  <si>
    <t>DISCO EXTRAIBLE 1 GB KINGSTON</t>
  </si>
  <si>
    <t>UD-202</t>
  </si>
  <si>
    <t>DISCO EXTRAIBLE 2 GB KINGSTON</t>
  </si>
  <si>
    <t>DD-300</t>
  </si>
  <si>
    <t>DISCO EXTRAIBLE 1 GB IMATION</t>
  </si>
  <si>
    <t>DD-301</t>
  </si>
  <si>
    <t>DISCO EXTRAIBLE 2 GB IMATION</t>
  </si>
  <si>
    <t>DD-302</t>
  </si>
  <si>
    <t>DISCO DURO</t>
  </si>
  <si>
    <t>20 GB, QUANTUM (IDE)</t>
  </si>
  <si>
    <t>DD-303</t>
  </si>
  <si>
    <t>80 GB, QUANTUM (SCSI)</t>
  </si>
  <si>
    <t>DD-304</t>
  </si>
  <si>
    <t>120 GB SEAGATE (SCSI)</t>
  </si>
  <si>
    <t>MO-500</t>
  </si>
  <si>
    <t>MONITOR</t>
  </si>
  <si>
    <t>VGA COLOR .28mm 15" DELL</t>
  </si>
  <si>
    <t>MO-501</t>
  </si>
  <si>
    <t>VGA COLOR .28mm 17" DELL</t>
  </si>
  <si>
    <t>MO-502</t>
  </si>
  <si>
    <t>LCD 15" SAMSUNG</t>
  </si>
  <si>
    <t>MO-503</t>
  </si>
  <si>
    <t>LCD 17" SAMSUNG</t>
  </si>
  <si>
    <t>TV-400</t>
  </si>
  <si>
    <t>TARJETA DE VIDEO</t>
  </si>
  <si>
    <t xml:space="preserve">VGA 128 MB </t>
  </si>
  <si>
    <t>TV-401</t>
  </si>
  <si>
    <t xml:space="preserve">VGA 256 MB </t>
  </si>
  <si>
    <t>TV-402</t>
  </si>
  <si>
    <t xml:space="preserve">VGA 512 MB </t>
  </si>
  <si>
    <t>CA-600</t>
  </si>
  <si>
    <t>CASE</t>
  </si>
  <si>
    <t xml:space="preserve">DESK TOP </t>
  </si>
  <si>
    <t>CA-601</t>
  </si>
  <si>
    <t>MINITOWER</t>
  </si>
  <si>
    <t>CA-602</t>
  </si>
  <si>
    <t>TOWER</t>
  </si>
  <si>
    <t>VA-700</t>
  </si>
  <si>
    <t>VARIOS</t>
  </si>
  <si>
    <t>TARJETA / MODEM</t>
  </si>
  <si>
    <t>VA-701</t>
  </si>
  <si>
    <t>TARJETA RED</t>
  </si>
  <si>
    <t>VA-702</t>
  </si>
  <si>
    <t>TECLADO SIMPLE</t>
  </si>
  <si>
    <t>VA-703</t>
  </si>
  <si>
    <t xml:space="preserve">MOUSE w/PAD </t>
  </si>
  <si>
    <t>CODIGO</t>
  </si>
  <si>
    <t>CONTACTO</t>
  </si>
  <si>
    <t>EMPRESA</t>
  </si>
  <si>
    <t>DIRECCION</t>
  </si>
  <si>
    <t>DISTRITO</t>
  </si>
  <si>
    <t>TELEFONO</t>
  </si>
  <si>
    <t>EMP-01</t>
  </si>
  <si>
    <t>Ing. Hugo Pérez</t>
  </si>
  <si>
    <t>SEGRES SYSTEC S.A.</t>
  </si>
  <si>
    <t>Av. MARISCAL MILLER No 1862</t>
  </si>
  <si>
    <t>LINCE</t>
  </si>
  <si>
    <t>EMP-02</t>
  </si>
  <si>
    <t>Dra. Elizabeth Hermoza</t>
  </si>
  <si>
    <t>CARDIOMEDIC S.A.</t>
  </si>
  <si>
    <t>Jr. WASHINGTON No 1491</t>
  </si>
  <si>
    <t>LIMA CERCADO</t>
  </si>
  <si>
    <t>EMP-03</t>
  </si>
  <si>
    <t>Lic. Juan E. Robles</t>
  </si>
  <si>
    <t>CETCO S.A.</t>
  </si>
  <si>
    <t>Jr. JOSE DE LA TORRE UGARTE No 166</t>
  </si>
  <si>
    <t>EMP-04</t>
  </si>
  <si>
    <t>Ing. Jhonatan León</t>
  </si>
  <si>
    <t>CIA. INMOBILIARIA AGREM S.A.</t>
  </si>
  <si>
    <t>Av. ARENALES 1648</t>
  </si>
  <si>
    <t>EMP-05</t>
  </si>
  <si>
    <t>Dra. Margarita Flores</t>
  </si>
  <si>
    <t>CLINICA INTERNACIONAL</t>
  </si>
  <si>
    <t>Jr. WASHINGTON No 1463</t>
  </si>
  <si>
    <t>EMP-06</t>
  </si>
  <si>
    <t>Sr. Carlos Vásquez</t>
  </si>
  <si>
    <t>CLUB LAWN TENNIS</t>
  </si>
  <si>
    <t>Av. REPUBLICA DE CHILE No 276</t>
  </si>
  <si>
    <t>JESUS MARIA</t>
  </si>
  <si>
    <t>EMP-07</t>
  </si>
  <si>
    <t>Ing. José Rey</t>
  </si>
  <si>
    <t>CORPORACION TEXTIL S.A.</t>
  </si>
  <si>
    <t>Calle CARLOS ALAYZA Y ROEL No 2555</t>
  </si>
  <si>
    <t>EMP-08</t>
  </si>
  <si>
    <t>Lic. Miguel Avila</t>
  </si>
  <si>
    <t>FARMINDUSTRIA S.A.</t>
  </si>
  <si>
    <t>Av. MARISCAL MILLER No 2151</t>
  </si>
  <si>
    <t>EMP-09</t>
  </si>
  <si>
    <t>Sr. Oscar Cáceres</t>
  </si>
  <si>
    <t>INMOBILIARIA EMPORIUM S.A.C.</t>
  </si>
  <si>
    <t>Jr. NAZCA 672 URB SANTA BEATRIZ</t>
  </si>
  <si>
    <t>EMP-10</t>
  </si>
  <si>
    <t>Ing. César Ramos</t>
  </si>
  <si>
    <t>MEDIA NETWORKS PERU S.A.C.</t>
  </si>
  <si>
    <t>Av. NAZCA No 698-704-712</t>
  </si>
  <si>
    <t>EMP-11</t>
  </si>
  <si>
    <t>Lic. David Sáenz</t>
  </si>
  <si>
    <t>PRAXIS COMERCIAL  S.A.</t>
  </si>
  <si>
    <t>Av. JOSE GALVEZ 1844</t>
  </si>
  <si>
    <t>EMP-12</t>
  </si>
  <si>
    <t>Dr. Jorge Torres</t>
  </si>
  <si>
    <t>RENIEC</t>
  </si>
  <si>
    <t>Calle TALARA 136</t>
  </si>
  <si>
    <t>EMP-13</t>
  </si>
  <si>
    <t>Sr. Saul Porras</t>
  </si>
  <si>
    <t>REPSOL COMERCIAL S.A.C.</t>
  </si>
  <si>
    <t>Calle MANUEL DEL PINO No 175</t>
  </si>
  <si>
    <t>EMP-14</t>
  </si>
  <si>
    <t>Sr. Raúl Huertas</t>
  </si>
  <si>
    <t>RESOMEDIC SAC</t>
  </si>
  <si>
    <t>Av. PETIT THOUARS 195 URB STA BEATRIZ</t>
  </si>
  <si>
    <t>EMP-15</t>
  </si>
  <si>
    <t>Dra. Patricia Cámero</t>
  </si>
  <si>
    <t>CLUB PILATES PATRICIA CÁMERO</t>
  </si>
  <si>
    <t>Av. Los Ruiseñores No 350</t>
  </si>
  <si>
    <t>San Isidro</t>
  </si>
  <si>
    <t>EMP-16</t>
  </si>
  <si>
    <t>Lic. Angel Bueno</t>
  </si>
  <si>
    <t>SENAMHI</t>
  </si>
  <si>
    <t>Jr. CAHUIDE 785</t>
  </si>
  <si>
    <t>HARDWARE SUPPORT S.A.</t>
  </si>
  <si>
    <t>Av. Salaverry 2255 San Isidro</t>
  </si>
  <si>
    <t>Teléfono: 4192900</t>
  </si>
  <si>
    <t>Código:</t>
  </si>
  <si>
    <t>Proforma N°</t>
  </si>
  <si>
    <t>Empresa:</t>
  </si>
  <si>
    <t>Fecha:</t>
  </si>
  <si>
    <t>Dirección:</t>
  </si>
  <si>
    <t>DESCRIPCIÓN</t>
  </si>
  <si>
    <t>DESCTO.</t>
  </si>
  <si>
    <t>CANT.</t>
  </si>
  <si>
    <t>IMPORTE</t>
  </si>
  <si>
    <t>SUBTOTAL</t>
  </si>
  <si>
    <t>GRACIAS POR SU COMPRA</t>
  </si>
  <si>
    <t>IGV</t>
  </si>
  <si>
    <t>TOTAL</t>
  </si>
  <si>
    <t>PLAZOS PARA PAGAR UNA MULTA</t>
  </si>
  <si>
    <t>¿Qué hora de cuándo es?</t>
  </si>
  <si>
    <t>Fecha actual:</t>
  </si>
  <si>
    <t>Sólo Hora:</t>
  </si>
  <si>
    <t>Hora actual:</t>
  </si>
  <si>
    <t>Sólo minutos:</t>
  </si>
  <si>
    <t>Sólo segundo:</t>
  </si>
  <si>
    <t>Último día para pagar una multa: 90 días hábiles después de su recepción</t>
  </si>
  <si>
    <t>Fecha recepción de multa:</t>
  </si>
  <si>
    <t>Nº días plazo para pagar</t>
  </si>
  <si>
    <t>Último día para pagar</t>
  </si>
  <si>
    <t>Días feriados</t>
  </si>
  <si>
    <t>Jueves Santo</t>
  </si>
  <si>
    <t>Viernes Santo</t>
  </si>
  <si>
    <t>San Pedro y San Pablo</t>
  </si>
  <si>
    <t>Día del Maestro</t>
  </si>
  <si>
    <t>N° días útiles, excluya en el resultado los feriados.</t>
  </si>
  <si>
    <t>Día de la Independencia (1er día)</t>
  </si>
  <si>
    <t>Día de la Independencia (2º día)</t>
  </si>
  <si>
    <t>Santa Rosa de Lima</t>
  </si>
  <si>
    <t>N° de días considerando 30 días por mes.</t>
  </si>
  <si>
    <t>Día de Todos los Santos</t>
  </si>
  <si>
    <t>Último día para pagar considerando días útiles más feriados</t>
  </si>
  <si>
    <t>N° de días reales</t>
  </si>
  <si>
    <t>¿Qué día de la semana es el que se debe pagar entonces?</t>
  </si>
  <si>
    <t>N° día semana</t>
  </si>
  <si>
    <t>Día en letras</t>
  </si>
  <si>
    <t>El pago se hará hasta el día</t>
  </si>
  <si>
    <t xml:space="preserve">   del mes</t>
  </si>
  <si>
    <t>del año</t>
  </si>
  <si>
    <t>Cambia los apellidos a mayúsculas:</t>
  </si>
  <si>
    <t>Cambia los nombres con iníciales en mayúsculas:</t>
  </si>
  <si>
    <t>Une los apellidos seguidos de una coma y luego los nombres:</t>
  </si>
  <si>
    <t>Universidad:</t>
  </si>
  <si>
    <t>Nombre postulante:</t>
  </si>
  <si>
    <t>johnny mARTIN</t>
  </si>
  <si>
    <t>pacheco contreras</t>
  </si>
  <si>
    <t>Extrae el texto UNIVERSIDAD de la celda B8</t>
  </si>
  <si>
    <t>Cambia a minúsculas el nombre de la UNIVERSIDAD</t>
  </si>
  <si>
    <t>Extrae INGENIERÍA de la celda B8:</t>
  </si>
  <si>
    <t>Extrae el texto NACIONAL de la celda B8:</t>
  </si>
  <si>
    <t>Apellidos postulante:</t>
  </si>
  <si>
    <r>
      <t xml:space="preserve"> =CONTAR.SI( </t>
    </r>
    <r>
      <rPr>
        <b/>
        <sz val="18"/>
        <color rgb="FFFF0000"/>
        <rFont val="Calibri"/>
        <family val="2"/>
        <scheme val="minor"/>
      </rPr>
      <t>Rango_Criterio</t>
    </r>
    <r>
      <rPr>
        <b/>
        <sz val="18"/>
        <color theme="1"/>
        <rFont val="Calibri"/>
        <family val="2"/>
        <scheme val="minor"/>
      </rPr>
      <t xml:space="preserve"> , </t>
    </r>
    <r>
      <rPr>
        <b/>
        <sz val="18"/>
        <color rgb="FF00B050"/>
        <rFont val="Calibri"/>
        <family val="2"/>
        <scheme val="minor"/>
      </rPr>
      <t>Criterio</t>
    </r>
    <r>
      <rPr>
        <b/>
        <sz val="18"/>
        <color theme="1"/>
        <rFont val="Calibri"/>
        <family val="2"/>
        <scheme val="minor"/>
      </rPr>
      <t>)</t>
    </r>
  </si>
  <si>
    <r>
      <t xml:space="preserve"> =SUMAR.SI( </t>
    </r>
    <r>
      <rPr>
        <b/>
        <sz val="18"/>
        <color rgb="FFFF0000"/>
        <rFont val="Calibri"/>
        <family val="2"/>
        <scheme val="minor"/>
      </rPr>
      <t>Rango_Criterio</t>
    </r>
    <r>
      <rPr>
        <b/>
        <sz val="18"/>
        <color theme="1"/>
        <rFont val="Calibri"/>
        <family val="2"/>
        <scheme val="minor"/>
      </rPr>
      <t xml:space="preserve"> , </t>
    </r>
    <r>
      <rPr>
        <b/>
        <sz val="18"/>
        <color rgb="FF00B050"/>
        <rFont val="Calibri"/>
        <family val="2"/>
        <scheme val="minor"/>
      </rPr>
      <t>Criterio</t>
    </r>
    <r>
      <rPr>
        <b/>
        <sz val="18"/>
        <color theme="1"/>
        <rFont val="Calibri"/>
        <family val="2"/>
        <scheme val="minor"/>
      </rPr>
      <t xml:space="preserve"> , </t>
    </r>
    <r>
      <rPr>
        <b/>
        <sz val="18"/>
        <color rgb="FF0070C0"/>
        <rFont val="Calibri"/>
        <family val="2"/>
        <scheme val="minor"/>
      </rPr>
      <t>Rango_Suma</t>
    </r>
    <r>
      <rPr>
        <b/>
        <sz val="18"/>
        <color theme="1"/>
        <rFont val="Calibri"/>
        <family val="2"/>
        <scheme val="minor"/>
      </rPr>
      <t xml:space="preserve"> )</t>
    </r>
  </si>
  <si>
    <r>
      <t xml:space="preserve"> =PROMEDIO.SI( </t>
    </r>
    <r>
      <rPr>
        <b/>
        <sz val="18"/>
        <color rgb="FFFF0000"/>
        <rFont val="Calibri"/>
        <family val="2"/>
        <scheme val="minor"/>
      </rPr>
      <t>Rango_Criterio</t>
    </r>
    <r>
      <rPr>
        <b/>
        <sz val="18"/>
        <color theme="1"/>
        <rFont val="Calibri"/>
        <family val="2"/>
        <scheme val="minor"/>
      </rPr>
      <t xml:space="preserve"> , </t>
    </r>
    <r>
      <rPr>
        <b/>
        <sz val="18"/>
        <color rgb="FF00B050"/>
        <rFont val="Calibri"/>
        <family val="2"/>
        <scheme val="minor"/>
      </rPr>
      <t>Criterio</t>
    </r>
    <r>
      <rPr>
        <b/>
        <sz val="18"/>
        <color theme="1"/>
        <rFont val="Calibri"/>
        <family val="2"/>
        <scheme val="minor"/>
      </rPr>
      <t xml:space="preserve"> , </t>
    </r>
    <r>
      <rPr>
        <b/>
        <sz val="18"/>
        <color rgb="FF0070C0"/>
        <rFont val="Calibri"/>
        <family val="2"/>
        <scheme val="minor"/>
      </rPr>
      <t>Rango_Promedio</t>
    </r>
    <r>
      <rPr>
        <b/>
        <sz val="18"/>
        <color theme="1"/>
        <rFont val="Calibri"/>
        <family val="2"/>
        <scheme val="minor"/>
      </rPr>
      <t xml:space="preserve"> )</t>
    </r>
  </si>
  <si>
    <r>
      <rPr>
        <b/>
        <sz val="12"/>
        <color rgb="FFFF0000"/>
        <rFont val="Tahoma"/>
        <family val="2"/>
      </rPr>
      <t>UNIVERSIDAD</t>
    </r>
    <r>
      <rPr>
        <b/>
        <sz val="12"/>
        <rFont val="Tahoma"/>
        <family val="2"/>
      </rPr>
      <t xml:space="preserve"> NACIONAL DE </t>
    </r>
    <r>
      <rPr>
        <b/>
        <sz val="12"/>
        <color rgb="FF000099"/>
        <rFont val="Tahoma"/>
        <family val="2"/>
      </rPr>
      <t>INGENIERÍA</t>
    </r>
  </si>
  <si>
    <t xml:space="preserve"> =HORA(B6)</t>
  </si>
  <si>
    <t xml:space="preserve"> =MINUTO(B6)</t>
  </si>
  <si>
    <t xml:space="preserve"> =SEGUNDO(B6)</t>
  </si>
  <si>
    <t xml:space="preserve"> =DIA(C26)</t>
  </si>
  <si>
    <t xml:space="preserve"> =TEXTO(C26;"MMMM")</t>
  </si>
  <si>
    <t xml:space="preserve"> =AÑO(C26)</t>
  </si>
  <si>
    <t xml:space="preserve"> =DIASEM(C26;2)</t>
  </si>
  <si>
    <t xml:space="preserve"> =TEXTO(C26;"DDDD")</t>
  </si>
  <si>
    <t xml:space="preserve"> =SIFECHA( Fecha_Ant ; Fecha_Rec ; Tipo )</t>
  </si>
  <si>
    <t>Días Sin Meses</t>
  </si>
  <si>
    <t xml:space="preserve"> =SI( Comparar ; "R_Verdadero_M" ; "R_Falso_M")</t>
  </si>
  <si>
    <t>&gt;</t>
  </si>
  <si>
    <t>&lt;</t>
  </si>
  <si>
    <t>&gt;=</t>
  </si>
  <si>
    <t>&lt;=</t>
  </si>
  <si>
    <t>=</t>
  </si>
  <si>
    <t>&lt;&gt;</t>
  </si>
  <si>
    <t>Funciones</t>
  </si>
  <si>
    <t xml:space="preserve"> =Y(Comparar1; Comparar2; Comparar3,…...)</t>
  </si>
  <si>
    <t>VENTAS</t>
  </si>
  <si>
    <t>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</si>
</sst>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&quot;S/.&quot;* #,##0.00"/>
    <numFmt numFmtId="168" formatCode="dd/mm/yyyy;@"/>
    <numFmt numFmtId="169" formatCode="0\ &quot;Kg.&quot;"/>
    <numFmt numFmtId="170" formatCode="_ [$S/.-280A]\ * #,##0.00_ ;_ [$S/.-280A]\ * \-#,##0.00_ ;_ [$S/.-280A]\ * &quot;-&quot;??_ ;_ @_ "/>
    <numFmt numFmtId="171" formatCode="0000"/>
    <numFmt numFmtId="172" formatCode="_-* #,##0.00\ _P_t_s_-;\-* #,##0.00\ _P_t_s_-;_-* &quot;-&quot;??\ _P_t_s_-;_-@_-"/>
    <numFmt numFmtId="173" formatCode="_([$$-409]* #,##0_);_([$$-409]* \(#,##0\);_([$$-409]* &quot;-&quot;_);_(@_)"/>
    <numFmt numFmtId="174" formatCode="General_)"/>
    <numFmt numFmtId="175" formatCode="000"/>
    <numFmt numFmtId="176" formatCode="[$-409]d\-m\-yy\ h:mm\ AM/PM;@"/>
    <numFmt numFmtId="177" formatCode="[$-F400]h:mm:ss\ AM/PM"/>
    <numFmt numFmtId="178" formatCode="dddd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indexed="10"/>
      <name val="Arial Narrow"/>
      <family val="2"/>
    </font>
    <font>
      <b/>
      <sz val="11"/>
      <name val="Arial"/>
      <family val="2"/>
    </font>
    <font>
      <b/>
      <sz val="10"/>
      <color indexed="16"/>
      <name val="Arial"/>
      <family val="2"/>
    </font>
    <font>
      <b/>
      <sz val="10"/>
      <color indexed="9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b/>
      <sz val="18"/>
      <color rgb="FF00B050"/>
      <name val="Baskerville Old Face"/>
      <family val="1"/>
    </font>
    <font>
      <b/>
      <i/>
      <sz val="18"/>
      <color indexed="57"/>
      <name val="Arial Narrow"/>
      <family val="2"/>
    </font>
    <font>
      <sz val="10"/>
      <color indexed="57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 Narrow"/>
      <family val="2"/>
    </font>
    <font>
      <b/>
      <sz val="10"/>
      <color indexed="21"/>
      <name val="Arial"/>
      <family val="2"/>
    </font>
    <font>
      <sz val="12"/>
      <name val="Arial"/>
      <family val="2"/>
    </font>
    <font>
      <b/>
      <sz val="11"/>
      <color indexed="9"/>
      <name val="Arial"/>
      <family val="2"/>
    </font>
    <font>
      <b/>
      <i/>
      <sz val="10"/>
      <name val="Arial"/>
      <family val="2"/>
    </font>
    <font>
      <b/>
      <sz val="20"/>
      <color theme="0"/>
      <name val="Calibri"/>
      <family val="2"/>
      <scheme val="minor"/>
    </font>
    <font>
      <b/>
      <sz val="10"/>
      <color indexed="18"/>
      <name val="Arial"/>
      <family val="2"/>
    </font>
    <font>
      <b/>
      <i/>
      <sz val="10"/>
      <color indexed="48"/>
      <name val="Arial"/>
      <family val="2"/>
    </font>
    <font>
      <sz val="10"/>
      <color indexed="48"/>
      <name val="Arial"/>
      <family val="2"/>
    </font>
    <font>
      <sz val="14"/>
      <color theme="0"/>
      <name val="Calibri"/>
      <family val="2"/>
      <scheme val="minor"/>
    </font>
    <font>
      <i/>
      <sz val="10"/>
      <color indexed="48"/>
      <name val="Arial"/>
      <family val="2"/>
    </font>
    <font>
      <b/>
      <sz val="12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b/>
      <sz val="16"/>
      <color rgb="FF00B05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rgb="FFFF0000"/>
      <name val="Tahoma"/>
      <family val="2"/>
    </font>
    <font>
      <b/>
      <sz val="12"/>
      <color rgb="FF000099"/>
      <name val="Tahoma"/>
      <family val="2"/>
    </font>
    <font>
      <b/>
      <sz val="12"/>
      <color indexed="18"/>
      <name val="Arial"/>
      <family val="2"/>
    </font>
    <font>
      <b/>
      <sz val="14"/>
      <color indexed="18"/>
      <name val="Arial"/>
      <family val="2"/>
    </font>
    <font>
      <b/>
      <sz val="14"/>
      <color rgb="FF002060"/>
      <name val="Calibri"/>
      <family val="2"/>
      <scheme val="minor"/>
    </font>
    <font>
      <b/>
      <sz val="16"/>
      <color rgb="FF00009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99"/>
        <bgColor theme="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CFF"/>
        <bgColor theme="4" tint="0.79998168889431442"/>
      </patternFill>
    </fill>
    <fill>
      <patternFill patternType="solid">
        <fgColor rgb="FFFFCCFF"/>
        <bgColor theme="4" tint="0.59999389629810485"/>
      </patternFill>
    </fill>
    <fill>
      <patternFill patternType="solid">
        <fgColor rgb="FFFFCCFF"/>
        <bgColor theme="6" tint="0.79998168889431442"/>
      </patternFill>
    </fill>
  </fills>
  <borders count="79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theme="0"/>
      </left>
      <right style="medium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theme="0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ck">
        <color indexed="23"/>
      </bottom>
      <diagonal/>
    </border>
    <border>
      <left/>
      <right/>
      <top/>
      <bottom style="thick">
        <color indexed="23"/>
      </bottom>
      <diagonal/>
    </border>
    <border>
      <left/>
      <right style="thin">
        <color theme="6" tint="0.39997558519241921"/>
      </right>
      <top/>
      <bottom style="thick">
        <color indexed="23"/>
      </bottom>
      <diagonal/>
    </border>
    <border>
      <left/>
      <right/>
      <top/>
      <bottom style="thick">
        <color theme="6" tint="-0.249977111117893"/>
      </bottom>
      <diagonal/>
    </border>
    <border>
      <left/>
      <right style="thick">
        <color theme="6" tint="-0.249977111117893"/>
      </right>
      <top/>
      <bottom/>
      <diagonal/>
    </border>
    <border>
      <left/>
      <right style="thick">
        <color theme="6" tint="-0.249977111117893"/>
      </right>
      <top style="thick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ck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/>
      <top/>
      <bottom style="double">
        <color theme="6" tint="-0.499984740745262"/>
      </bottom>
      <diagonal/>
    </border>
    <border>
      <left/>
      <right style="thick">
        <color theme="6" tint="-0.249977111117893"/>
      </right>
      <top/>
      <bottom style="double">
        <color theme="6" tint="-0.499984740745262"/>
      </bottom>
      <diagonal/>
    </border>
    <border>
      <left/>
      <right style="thin">
        <color theme="6" tint="-0.249977111117893"/>
      </right>
      <top/>
      <bottom style="double">
        <color theme="6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double">
        <color theme="6" tint="-0.499984740745262"/>
      </bottom>
      <diagonal/>
    </border>
    <border>
      <left style="thin">
        <color theme="6" tint="-0.249977111117893"/>
      </left>
      <right style="thick">
        <color theme="6" tint="-0.249977111117893"/>
      </right>
      <top/>
      <bottom style="double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ck">
        <color theme="6" tint="-0.249977111117893"/>
      </right>
      <top/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double">
        <color theme="6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double">
        <color theme="6" tint="-0.499984740745262"/>
      </bottom>
      <diagonal/>
    </border>
    <border>
      <left style="thin">
        <color theme="6" tint="-0.249977111117893"/>
      </left>
      <right style="thick">
        <color theme="6" tint="-0.249977111117893"/>
      </right>
      <top style="thin">
        <color theme="6" tint="-0.249977111117893"/>
      </top>
      <bottom style="double">
        <color theme="6" tint="-0.499984740745262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/>
      <top/>
      <bottom style="double">
        <color theme="6" tint="-0.499984740745262"/>
      </bottom>
      <diagonal/>
    </border>
    <border>
      <left/>
      <right style="thin">
        <color theme="6" tint="-0.249977111117893"/>
      </right>
      <top/>
      <bottom style="thick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ck">
        <color theme="6" tint="-0.249977111117893"/>
      </bottom>
      <diagonal/>
    </border>
    <border>
      <left style="thin">
        <color theme="6" tint="-0.249977111117893"/>
      </left>
      <right style="thick">
        <color theme="6" tint="-0.249977111117893"/>
      </right>
      <top/>
      <bottom style="thick">
        <color theme="6" tint="-0.249977111117893"/>
      </bottom>
      <diagonal/>
    </border>
    <border>
      <left style="double">
        <color indexed="62"/>
      </left>
      <right/>
      <top/>
      <bottom/>
      <diagonal/>
    </border>
    <border>
      <left/>
      <right style="double">
        <color indexed="62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dotted">
        <color rgb="FFC00000"/>
      </left>
      <right style="dotted">
        <color rgb="FFC00000"/>
      </right>
      <top style="dotted">
        <color rgb="FFC00000"/>
      </top>
      <bottom style="dotted">
        <color rgb="FFC0000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double">
        <color indexed="62"/>
      </left>
      <right/>
      <top/>
      <bottom style="double">
        <color indexed="62"/>
      </bottom>
      <diagonal/>
    </border>
    <border>
      <left/>
      <right/>
      <top/>
      <bottom style="double">
        <color indexed="62"/>
      </bottom>
      <diagonal/>
    </border>
    <border>
      <left/>
      <right style="double">
        <color indexed="62"/>
      </right>
      <top/>
      <bottom style="double">
        <color indexed="62"/>
      </bottom>
      <diagonal/>
    </border>
    <border>
      <left style="medium">
        <color rgb="FF002060"/>
      </left>
      <right style="medium">
        <color theme="8" tint="0.59996337778862885"/>
      </right>
      <top style="medium">
        <color rgb="FF002060"/>
      </top>
      <bottom style="medium">
        <color theme="8" tint="0.59996337778862885"/>
      </bottom>
      <diagonal/>
    </border>
    <border>
      <left style="medium">
        <color rgb="FF002060"/>
      </left>
      <right/>
      <top style="medium">
        <color rgb="FF002060"/>
      </top>
      <bottom style="medium">
        <color theme="8" tint="0.59996337778862885"/>
      </bottom>
      <diagonal/>
    </border>
    <border>
      <left/>
      <right/>
      <top style="medium">
        <color rgb="FF002060"/>
      </top>
      <bottom style="medium">
        <color theme="8" tint="0.59996337778862885"/>
      </bottom>
      <diagonal/>
    </border>
    <border>
      <left/>
      <right style="medium">
        <color theme="8" tint="0.59996337778862885"/>
      </right>
      <top style="medium">
        <color rgb="FF002060"/>
      </top>
      <bottom style="medium">
        <color theme="8" tint="0.59996337778862885"/>
      </bottom>
      <diagonal/>
    </border>
    <border>
      <left style="thin">
        <color theme="6" tint="-0.249977111117893"/>
      </left>
      <right/>
      <top/>
      <bottom/>
      <diagonal/>
    </border>
  </borders>
  <cellStyleXfs count="12">
    <xf numFmtId="0" fontId="0" fillId="0" borderId="0"/>
    <xf numFmtId="0" fontId="2" fillId="0" borderId="0"/>
    <xf numFmtId="0" fontId="4" fillId="0" borderId="0"/>
    <xf numFmtId="0" fontId="7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12" fillId="0" borderId="0"/>
    <xf numFmtId="0" fontId="12" fillId="0" borderId="0"/>
  </cellStyleXfs>
  <cellXfs count="334">
    <xf numFmtId="0" fontId="0" fillId="0" borderId="0" xfId="0"/>
    <xf numFmtId="0" fontId="1" fillId="0" borderId="0" xfId="0" applyFont="1"/>
    <xf numFmtId="0" fontId="4" fillId="0" borderId="0" xfId="2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14" fontId="3" fillId="0" borderId="1" xfId="1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5" fillId="0" borderId="2" xfId="0" applyFont="1" applyBorder="1"/>
    <xf numFmtId="0" fontId="3" fillId="0" borderId="1" xfId="1" applyFont="1" applyBorder="1" applyAlignment="1">
      <alignment horizontal="left" indent="1"/>
    </xf>
    <xf numFmtId="0" fontId="0" fillId="0" borderId="1" xfId="0" applyBorder="1"/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17" fillId="5" borderId="2" xfId="0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left"/>
    </xf>
    <xf numFmtId="4" fontId="3" fillId="7" borderId="1" xfId="1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4" fontId="1" fillId="0" borderId="0" xfId="0" applyNumberFormat="1" applyFont="1"/>
    <xf numFmtId="0" fontId="14" fillId="0" borderId="0" xfId="0" applyFont="1" applyAlignment="1">
      <alignment horizontal="center"/>
    </xf>
    <xf numFmtId="0" fontId="9" fillId="8" borderId="5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2" fillId="11" borderId="0" xfId="1" applyFill="1"/>
    <xf numFmtId="0" fontId="2" fillId="0" borderId="0" xfId="1"/>
    <xf numFmtId="167" fontId="3" fillId="13" borderId="7" xfId="1" applyNumberFormat="1" applyFont="1" applyFill="1" applyBorder="1" applyAlignment="1">
      <alignment horizontal="left" indent="1"/>
    </xf>
    <xf numFmtId="168" fontId="3" fillId="13" borderId="7" xfId="1" applyNumberFormat="1" applyFont="1" applyFill="1" applyBorder="1" applyAlignment="1">
      <alignment horizontal="left" indent="1"/>
    </xf>
    <xf numFmtId="0" fontId="3" fillId="13" borderId="7" xfId="1" applyFont="1" applyFill="1" applyBorder="1"/>
    <xf numFmtId="0" fontId="3" fillId="13" borderId="7" xfId="1" applyFont="1" applyFill="1" applyBorder="1" applyAlignment="1">
      <alignment horizontal="center"/>
    </xf>
    <xf numFmtId="167" fontId="3" fillId="12" borderId="8" xfId="1" applyNumberFormat="1" applyFont="1" applyFill="1" applyBorder="1" applyAlignment="1">
      <alignment horizontal="left" indent="1"/>
    </xf>
    <xf numFmtId="168" fontId="3" fillId="12" borderId="8" xfId="1" applyNumberFormat="1" applyFont="1" applyFill="1" applyBorder="1" applyAlignment="1">
      <alignment horizontal="left" indent="1"/>
    </xf>
    <xf numFmtId="0" fontId="3" fillId="12" borderId="8" xfId="1" applyFont="1" applyFill="1" applyBorder="1"/>
    <xf numFmtId="0" fontId="3" fillId="12" borderId="8" xfId="1" applyFont="1" applyFill="1" applyBorder="1" applyAlignment="1">
      <alignment horizontal="center"/>
    </xf>
    <xf numFmtId="167" fontId="3" fillId="13" borderId="8" xfId="1" applyNumberFormat="1" applyFont="1" applyFill="1" applyBorder="1" applyAlignment="1">
      <alignment horizontal="left" indent="1"/>
    </xf>
    <xf numFmtId="168" fontId="3" fillId="13" borderId="8" xfId="1" applyNumberFormat="1" applyFont="1" applyFill="1" applyBorder="1" applyAlignment="1">
      <alignment horizontal="left" indent="1"/>
    </xf>
    <xf numFmtId="0" fontId="3" fillId="13" borderId="8" xfId="1" applyFont="1" applyFill="1" applyBorder="1"/>
    <xf numFmtId="0" fontId="3" fillId="13" borderId="8" xfId="1" applyFont="1" applyFill="1" applyBorder="1" applyAlignment="1">
      <alignment horizontal="center"/>
    </xf>
    <xf numFmtId="0" fontId="20" fillId="14" borderId="9" xfId="1" applyFont="1" applyFill="1" applyBorder="1" applyAlignment="1">
      <alignment horizontal="center"/>
    </xf>
    <xf numFmtId="0" fontId="20" fillId="14" borderId="10" xfId="1" applyFont="1" applyFill="1" applyBorder="1" applyAlignment="1">
      <alignment horizontal="center"/>
    </xf>
    <xf numFmtId="0" fontId="20" fillId="14" borderId="10" xfId="1" applyFont="1" applyFill="1" applyBorder="1"/>
    <xf numFmtId="14" fontId="2" fillId="11" borderId="0" xfId="1" applyNumberFormat="1" applyFill="1"/>
    <xf numFmtId="0" fontId="0" fillId="11" borderId="0" xfId="1" applyFont="1" applyFill="1"/>
    <xf numFmtId="167" fontId="3" fillId="16" borderId="11" xfId="1" applyNumberFormat="1" applyFont="1" applyFill="1" applyBorder="1" applyAlignment="1">
      <alignment horizontal="left" indent="1"/>
    </xf>
    <xf numFmtId="169" fontId="3" fillId="16" borderId="11" xfId="1" applyNumberFormat="1" applyFont="1" applyFill="1" applyBorder="1" applyAlignment="1">
      <alignment horizontal="center"/>
    </xf>
    <xf numFmtId="0" fontId="3" fillId="16" borderId="11" xfId="1" applyFont="1" applyFill="1" applyBorder="1" applyAlignment="1">
      <alignment horizontal="left" indent="1"/>
    </xf>
    <xf numFmtId="170" fontId="3" fillId="16" borderId="11" xfId="1" applyNumberFormat="1" applyFont="1" applyFill="1" applyBorder="1" applyAlignment="1">
      <alignment horizontal="left" indent="1"/>
    </xf>
    <xf numFmtId="0" fontId="3" fillId="16" borderId="11" xfId="1" applyFont="1" applyFill="1" applyBorder="1"/>
    <xf numFmtId="171" fontId="3" fillId="16" borderId="11" xfId="1" applyNumberFormat="1" applyFont="1" applyFill="1" applyBorder="1" applyAlignment="1">
      <alignment horizontal="center"/>
    </xf>
    <xf numFmtId="167" fontId="3" fillId="15" borderId="8" xfId="1" applyNumberFormat="1" applyFont="1" applyFill="1" applyBorder="1" applyAlignment="1">
      <alignment horizontal="left" indent="1"/>
    </xf>
    <xf numFmtId="169" fontId="3" fillId="15" borderId="8" xfId="1" applyNumberFormat="1" applyFont="1" applyFill="1" applyBorder="1" applyAlignment="1">
      <alignment horizontal="center"/>
    </xf>
    <xf numFmtId="0" fontId="3" fillId="15" borderId="8" xfId="1" applyFont="1" applyFill="1" applyBorder="1" applyAlignment="1">
      <alignment horizontal="left" indent="1"/>
    </xf>
    <xf numFmtId="170" fontId="3" fillId="15" borderId="8" xfId="1" applyNumberFormat="1" applyFont="1" applyFill="1" applyBorder="1" applyAlignment="1">
      <alignment horizontal="left" indent="1"/>
    </xf>
    <xf numFmtId="0" fontId="3" fillId="15" borderId="8" xfId="1" applyFont="1" applyFill="1" applyBorder="1"/>
    <xf numFmtId="171" fontId="3" fillId="15" borderId="8" xfId="1" applyNumberFormat="1" applyFont="1" applyFill="1" applyBorder="1" applyAlignment="1">
      <alignment horizontal="center"/>
    </xf>
    <xf numFmtId="167" fontId="3" fillId="16" borderId="8" xfId="1" applyNumberFormat="1" applyFont="1" applyFill="1" applyBorder="1" applyAlignment="1">
      <alignment horizontal="left" indent="1"/>
    </xf>
    <xf numFmtId="169" fontId="3" fillId="16" borderId="8" xfId="1" applyNumberFormat="1" applyFont="1" applyFill="1" applyBorder="1" applyAlignment="1">
      <alignment horizontal="center"/>
    </xf>
    <xf numFmtId="0" fontId="3" fillId="16" borderId="8" xfId="1" applyFont="1" applyFill="1" applyBorder="1" applyAlignment="1">
      <alignment horizontal="left" indent="1"/>
    </xf>
    <xf numFmtId="170" fontId="3" fillId="16" borderId="8" xfId="1" applyNumberFormat="1" applyFont="1" applyFill="1" applyBorder="1" applyAlignment="1">
      <alignment horizontal="left" indent="1"/>
    </xf>
    <xf numFmtId="0" fontId="3" fillId="16" borderId="8" xfId="1" applyFont="1" applyFill="1" applyBorder="1"/>
    <xf numFmtId="171" fontId="3" fillId="16" borderId="8" xfId="1" applyNumberFormat="1" applyFont="1" applyFill="1" applyBorder="1" applyAlignment="1">
      <alignment horizontal="center"/>
    </xf>
    <xf numFmtId="0" fontId="20" fillId="17" borderId="9" xfId="1" applyFont="1" applyFill="1" applyBorder="1" applyAlignment="1">
      <alignment horizontal="center" vertical="top" wrapText="1"/>
    </xf>
    <xf numFmtId="0" fontId="20" fillId="17" borderId="10" xfId="1" applyFont="1" applyFill="1" applyBorder="1" applyAlignment="1">
      <alignment horizontal="center" vertical="top" wrapText="1"/>
    </xf>
    <xf numFmtId="0" fontId="3" fillId="13" borderId="11" xfId="1" applyFont="1" applyFill="1" applyBorder="1" applyAlignment="1">
      <alignment horizontal="left" indent="1"/>
    </xf>
    <xf numFmtId="0" fontId="3" fillId="13" borderId="11" xfId="1" applyFont="1" applyFill="1" applyBorder="1"/>
    <xf numFmtId="0" fontId="3" fillId="13" borderId="11" xfId="1" applyFont="1" applyFill="1" applyBorder="1" applyAlignment="1">
      <alignment horizontal="center"/>
    </xf>
    <xf numFmtId="0" fontId="3" fillId="12" borderId="8" xfId="1" applyFont="1" applyFill="1" applyBorder="1" applyAlignment="1">
      <alignment horizontal="left" indent="1"/>
    </xf>
    <xf numFmtId="0" fontId="3" fillId="13" borderId="8" xfId="1" applyFont="1" applyFill="1" applyBorder="1" applyAlignment="1">
      <alignment horizontal="left" indent="1"/>
    </xf>
    <xf numFmtId="0" fontId="20" fillId="14" borderId="9" xfId="1" applyFont="1" applyFill="1" applyBorder="1" applyAlignment="1">
      <alignment horizontal="center" vertical="top" wrapText="1"/>
    </xf>
    <xf numFmtId="0" fontId="20" fillId="14" borderId="10" xfId="1" applyFont="1" applyFill="1" applyBorder="1" applyAlignment="1">
      <alignment horizontal="center" vertical="top" wrapText="1"/>
    </xf>
    <xf numFmtId="0" fontId="12" fillId="0" borderId="0" xfId="7"/>
    <xf numFmtId="166" fontId="13" fillId="18" borderId="0" xfId="8" applyNumberFormat="1" applyFont="1" applyFill="1" applyBorder="1" applyAlignment="1">
      <alignment horizontal="center"/>
    </xf>
    <xf numFmtId="165" fontId="13" fillId="18" borderId="11" xfId="4" applyNumberFormat="1" applyFont="1" applyFill="1" applyBorder="1"/>
    <xf numFmtId="166" fontId="13" fillId="19" borderId="6" xfId="8" applyNumberFormat="1" applyFont="1" applyFill="1" applyBorder="1" applyAlignment="1">
      <alignment horizontal="center"/>
    </xf>
    <xf numFmtId="165" fontId="13" fillId="19" borderId="8" xfId="4" applyNumberFormat="1" applyFont="1" applyFill="1" applyBorder="1"/>
    <xf numFmtId="166" fontId="13" fillId="18" borderId="6" xfId="8" applyNumberFormat="1" applyFont="1" applyFill="1" applyBorder="1" applyAlignment="1">
      <alignment horizontal="center"/>
    </xf>
    <xf numFmtId="165" fontId="13" fillId="18" borderId="8" xfId="4" applyNumberFormat="1" applyFont="1" applyFill="1" applyBorder="1"/>
    <xf numFmtId="9" fontId="13" fillId="19" borderId="0" xfId="7" applyNumberFormat="1" applyFont="1" applyFill="1" applyAlignment="1">
      <alignment horizontal="center"/>
    </xf>
    <xf numFmtId="9" fontId="13" fillId="18" borderId="11" xfId="7" applyNumberFormat="1" applyFont="1" applyFill="1" applyBorder="1" applyAlignment="1">
      <alignment horizontal="center"/>
    </xf>
    <xf numFmtId="9" fontId="13" fillId="19" borderId="11" xfId="7" applyNumberFormat="1" applyFont="1" applyFill="1" applyBorder="1" applyAlignment="1">
      <alignment horizontal="center"/>
    </xf>
    <xf numFmtId="0" fontId="17" fillId="20" borderId="11" xfId="7" applyFont="1" applyFill="1" applyBorder="1"/>
    <xf numFmtId="0" fontId="17" fillId="20" borderId="8" xfId="7" applyFont="1" applyFill="1" applyBorder="1"/>
    <xf numFmtId="0" fontId="17" fillId="20" borderId="9" xfId="7" applyFont="1" applyFill="1" applyBorder="1" applyAlignment="1">
      <alignment horizontal="center"/>
    </xf>
    <xf numFmtId="0" fontId="17" fillId="20" borderId="10" xfId="7" applyFont="1" applyFill="1" applyBorder="1" applyAlignment="1">
      <alignment horizontal="center"/>
    </xf>
    <xf numFmtId="0" fontId="7" fillId="0" borderId="0" xfId="3"/>
    <xf numFmtId="14" fontId="13" fillId="18" borderId="11" xfId="7" applyNumberFormat="1" applyFont="1" applyFill="1" applyBorder="1" applyAlignment="1">
      <alignment horizontal="center"/>
    </xf>
    <xf numFmtId="0" fontId="3" fillId="18" borderId="11" xfId="1" applyFont="1" applyFill="1" applyBorder="1"/>
    <xf numFmtId="14" fontId="13" fillId="19" borderId="8" xfId="7" applyNumberFormat="1" applyFont="1" applyFill="1" applyBorder="1" applyAlignment="1">
      <alignment horizontal="center"/>
    </xf>
    <xf numFmtId="0" fontId="3" fillId="19" borderId="8" xfId="1" applyFont="1" applyFill="1" applyBorder="1"/>
    <xf numFmtId="14" fontId="13" fillId="18" borderId="8" xfId="7" applyNumberFormat="1" applyFont="1" applyFill="1" applyBorder="1" applyAlignment="1">
      <alignment horizontal="center"/>
    </xf>
    <xf numFmtId="0" fontId="3" fillId="18" borderId="8" xfId="1" applyFont="1" applyFill="1" applyBorder="1"/>
    <xf numFmtId="165" fontId="17" fillId="20" borderId="10" xfId="4" applyNumberFormat="1" applyFont="1" applyFill="1" applyBorder="1" applyAlignment="1">
      <alignment horizontal="center"/>
    </xf>
    <xf numFmtId="0" fontId="17" fillId="20" borderId="10" xfId="7" applyFont="1" applyFill="1" applyBorder="1" applyAlignment="1">
      <alignment horizontal="left"/>
    </xf>
    <xf numFmtId="14" fontId="12" fillId="0" borderId="0" xfId="7" applyNumberFormat="1"/>
    <xf numFmtId="168" fontId="3" fillId="13" borderId="8" xfId="1" applyNumberFormat="1" applyFont="1" applyFill="1" applyBorder="1" applyAlignment="1">
      <alignment horizontal="center"/>
    </xf>
    <xf numFmtId="168" fontId="3" fillId="12" borderId="8" xfId="1" applyNumberFormat="1" applyFont="1" applyFill="1" applyBorder="1" applyAlignment="1">
      <alignment horizontal="center"/>
    </xf>
    <xf numFmtId="0" fontId="20" fillId="14" borderId="10" xfId="1" applyFont="1" applyFill="1" applyBorder="1" applyAlignment="1">
      <alignment horizontal="left" indent="1"/>
    </xf>
    <xf numFmtId="0" fontId="22" fillId="0" borderId="0" xfId="1" applyFont="1"/>
    <xf numFmtId="168" fontId="3" fillId="13" borderId="11" xfId="1" applyNumberFormat="1" applyFont="1" applyFill="1" applyBorder="1" applyAlignment="1">
      <alignment horizontal="left" indent="1"/>
    </xf>
    <xf numFmtId="0" fontId="23" fillId="0" borderId="0" xfId="7" applyFont="1" applyAlignment="1">
      <alignment horizontal="center"/>
    </xf>
    <xf numFmtId="0" fontId="24" fillId="21" borderId="12" xfId="7" applyFont="1" applyFill="1" applyBorder="1" applyAlignment="1">
      <alignment horizontal="center"/>
    </xf>
    <xf numFmtId="173" fontId="25" fillId="0" borderId="0" xfId="9" applyNumberFormat="1" applyFont="1" applyBorder="1" applyAlignment="1" applyProtection="1">
      <alignment horizontal="right"/>
    </xf>
    <xf numFmtId="0" fontId="5" fillId="21" borderId="4" xfId="7" applyFont="1" applyFill="1" applyBorder="1" applyAlignment="1">
      <alignment horizontal="center" vertical="center" wrapText="1"/>
    </xf>
    <xf numFmtId="0" fontId="12" fillId="0" borderId="4" xfId="7" applyBorder="1" applyAlignment="1">
      <alignment horizontal="center" vertical="center"/>
    </xf>
    <xf numFmtId="174" fontId="12" fillId="0" borderId="13" xfId="7" applyNumberFormat="1" applyBorder="1"/>
    <xf numFmtId="174" fontId="12" fillId="0" borderId="13" xfId="7" applyNumberFormat="1" applyBorder="1" applyAlignment="1">
      <alignment horizontal="left" indent="1"/>
    </xf>
    <xf numFmtId="174" fontId="5" fillId="0" borderId="13" xfId="7" applyNumberFormat="1" applyFont="1" applyBorder="1" applyAlignment="1">
      <alignment horizontal="center"/>
    </xf>
    <xf numFmtId="174" fontId="12" fillId="0" borderId="14" xfId="7" quotePrefix="1" applyNumberFormat="1" applyBorder="1" applyAlignment="1">
      <alignment horizontal="left" indent="1"/>
    </xf>
    <xf numFmtId="173" fontId="25" fillId="0" borderId="13" xfId="9" quotePrefix="1" applyNumberFormat="1" applyFont="1" applyBorder="1" applyAlignment="1" applyProtection="1">
      <alignment horizontal="left"/>
    </xf>
    <xf numFmtId="0" fontId="5" fillId="21" borderId="15" xfId="7" applyFont="1" applyFill="1" applyBorder="1" applyAlignment="1">
      <alignment horizontal="center"/>
    </xf>
    <xf numFmtId="9" fontId="12" fillId="0" borderId="15" xfId="8" applyBorder="1" applyAlignment="1">
      <alignment horizontal="center"/>
    </xf>
    <xf numFmtId="174" fontId="12" fillId="0" borderId="14" xfId="7" applyNumberFormat="1" applyBorder="1"/>
    <xf numFmtId="174" fontId="12" fillId="0" borderId="14" xfId="7" applyNumberFormat="1" applyBorder="1" applyAlignment="1">
      <alignment horizontal="left" indent="1"/>
    </xf>
    <xf numFmtId="174" fontId="5" fillId="0" borderId="14" xfId="7" applyNumberFormat="1" applyFont="1" applyBorder="1" applyAlignment="1">
      <alignment horizontal="center"/>
    </xf>
    <xf numFmtId="173" fontId="25" fillId="0" borderId="14" xfId="9" quotePrefix="1" applyNumberFormat="1" applyFont="1" applyBorder="1" applyAlignment="1" applyProtection="1">
      <alignment horizontal="left"/>
    </xf>
    <xf numFmtId="173" fontId="25" fillId="0" borderId="0" xfId="9" quotePrefix="1" applyNumberFormat="1" applyFont="1" applyBorder="1" applyAlignment="1" applyProtection="1">
      <alignment horizontal="left"/>
    </xf>
    <xf numFmtId="0" fontId="12" fillId="0" borderId="0" xfId="7" applyAlignment="1">
      <alignment horizontal="left" indent="1"/>
    </xf>
    <xf numFmtId="174" fontId="12" fillId="0" borderId="16" xfId="7" applyNumberFormat="1" applyBorder="1"/>
    <xf numFmtId="174" fontId="12" fillId="0" borderId="16" xfId="7" applyNumberFormat="1" applyBorder="1" applyAlignment="1">
      <alignment horizontal="left" indent="1"/>
    </xf>
    <xf numFmtId="174" fontId="5" fillId="0" borderId="16" xfId="7" applyNumberFormat="1" applyFont="1" applyBorder="1" applyAlignment="1">
      <alignment horizontal="center"/>
    </xf>
    <xf numFmtId="0" fontId="12" fillId="0" borderId="16" xfId="7" applyBorder="1" applyAlignment="1">
      <alignment horizontal="left" indent="1"/>
    </xf>
    <xf numFmtId="173" fontId="25" fillId="0" borderId="16" xfId="9" quotePrefix="1" applyNumberFormat="1" applyFont="1" applyBorder="1" applyAlignment="1" applyProtection="1">
      <alignment horizontal="left"/>
    </xf>
    <xf numFmtId="173" fontId="25" fillId="0" borderId="0" xfId="9" applyNumberFormat="1" applyFont="1" applyBorder="1" applyAlignment="1" applyProtection="1">
      <alignment horizontal="left"/>
    </xf>
    <xf numFmtId="173" fontId="25" fillId="0" borderId="13" xfId="9" applyNumberFormat="1" applyFont="1" applyBorder="1" applyAlignment="1" applyProtection="1">
      <alignment horizontal="left"/>
    </xf>
    <xf numFmtId="173" fontId="25" fillId="0" borderId="14" xfId="9" applyNumberFormat="1" applyFont="1" applyBorder="1" applyAlignment="1" applyProtection="1">
      <alignment horizontal="left"/>
    </xf>
    <xf numFmtId="0" fontId="5" fillId="0" borderId="14" xfId="7" applyFont="1" applyBorder="1" applyAlignment="1">
      <alignment horizontal="center"/>
    </xf>
    <xf numFmtId="0" fontId="12" fillId="0" borderId="14" xfId="7" applyBorder="1" applyAlignment="1">
      <alignment horizontal="left" indent="1"/>
    </xf>
    <xf numFmtId="0" fontId="5" fillId="0" borderId="16" xfId="7" applyFont="1" applyBorder="1" applyAlignment="1">
      <alignment horizontal="center"/>
    </xf>
    <xf numFmtId="173" fontId="25" fillId="0" borderId="16" xfId="9" applyNumberFormat="1" applyFont="1" applyBorder="1" applyAlignment="1" applyProtection="1">
      <alignment horizontal="left"/>
    </xf>
    <xf numFmtId="0" fontId="12" fillId="0" borderId="17" xfId="7" applyBorder="1" applyAlignment="1">
      <alignment horizontal="left" indent="1"/>
    </xf>
    <xf numFmtId="0" fontId="12" fillId="0" borderId="13" xfId="7" applyBorder="1" applyAlignment="1">
      <alignment horizontal="left" indent="1"/>
    </xf>
    <xf numFmtId="0" fontId="5" fillId="0" borderId="13" xfId="7" applyFont="1" applyBorder="1" applyAlignment="1">
      <alignment horizontal="center"/>
    </xf>
    <xf numFmtId="174" fontId="12" fillId="0" borderId="18" xfId="7" applyNumberFormat="1" applyBorder="1"/>
    <xf numFmtId="174" fontId="12" fillId="0" borderId="18" xfId="7" applyNumberFormat="1" applyBorder="1" applyAlignment="1">
      <alignment horizontal="left" indent="1"/>
    </xf>
    <xf numFmtId="174" fontId="5" fillId="0" borderId="18" xfId="7" applyNumberFormat="1" applyFont="1" applyBorder="1" applyAlignment="1">
      <alignment horizontal="center"/>
    </xf>
    <xf numFmtId="0" fontId="12" fillId="0" borderId="18" xfId="7" applyBorder="1" applyAlignment="1">
      <alignment horizontal="left" indent="1"/>
    </xf>
    <xf numFmtId="173" fontId="25" fillId="0" borderId="18" xfId="9" applyNumberFormat="1" applyFont="1" applyBorder="1" applyAlignment="1" applyProtection="1">
      <alignment horizontal="left"/>
    </xf>
    <xf numFmtId="174" fontId="12" fillId="0" borderId="0" xfId="7" applyNumberFormat="1"/>
    <xf numFmtId="0" fontId="12" fillId="0" borderId="0" xfId="7" applyAlignment="1">
      <alignment horizontal="left"/>
    </xf>
    <xf numFmtId="0" fontId="26" fillId="17" borderId="19" xfId="10" applyFont="1" applyFill="1" applyBorder="1" applyAlignment="1">
      <alignment horizontal="center"/>
    </xf>
    <xf numFmtId="0" fontId="26" fillId="17" borderId="20" xfId="10" applyFont="1" applyFill="1" applyBorder="1" applyAlignment="1">
      <alignment horizontal="center"/>
    </xf>
    <xf numFmtId="0" fontId="26" fillId="17" borderId="21" xfId="10" applyFont="1" applyFill="1" applyBorder="1" applyAlignment="1">
      <alignment horizontal="center"/>
    </xf>
    <xf numFmtId="0" fontId="12" fillId="11" borderId="0" xfId="10" applyFill="1"/>
    <xf numFmtId="0" fontId="28" fillId="16" borderId="23" xfId="10" applyFont="1" applyFill="1" applyBorder="1"/>
    <xf numFmtId="0" fontId="27" fillId="16" borderId="23" xfId="7" applyFont="1" applyFill="1" applyBorder="1" applyAlignment="1">
      <alignment horizontal="left"/>
    </xf>
    <xf numFmtId="0" fontId="27" fillId="16" borderId="23" xfId="7" applyFont="1" applyFill="1" applyBorder="1" applyAlignment="1">
      <alignment horizontal="center"/>
    </xf>
    <xf numFmtId="0" fontId="27" fillId="16" borderId="24" xfId="7" applyFont="1" applyFill="1" applyBorder="1" applyAlignment="1">
      <alignment horizontal="center"/>
    </xf>
    <xf numFmtId="0" fontId="28" fillId="0" borderId="26" xfId="10" applyFont="1" applyBorder="1"/>
    <xf numFmtId="0" fontId="27" fillId="0" borderId="26" xfId="7" applyFont="1" applyBorder="1" applyAlignment="1">
      <alignment horizontal="left"/>
    </xf>
    <xf numFmtId="0" fontId="27" fillId="0" borderId="26" xfId="7" applyFont="1" applyBorder="1" applyAlignment="1">
      <alignment horizontal="center"/>
    </xf>
    <xf numFmtId="0" fontId="27" fillId="0" borderId="27" xfId="7" applyFont="1" applyBorder="1" applyAlignment="1">
      <alignment horizontal="center"/>
    </xf>
    <xf numFmtId="0" fontId="28" fillId="0" borderId="29" xfId="10" applyFont="1" applyBorder="1"/>
    <xf numFmtId="0" fontId="27" fillId="0" borderId="29" xfId="7" applyFont="1" applyBorder="1" applyAlignment="1">
      <alignment horizontal="left"/>
    </xf>
    <xf numFmtId="0" fontId="27" fillId="0" borderId="29" xfId="7" applyFont="1" applyBorder="1" applyAlignment="1">
      <alignment horizontal="center"/>
    </xf>
    <xf numFmtId="0" fontId="27" fillId="0" borderId="30" xfId="7" applyFont="1" applyBorder="1" applyAlignment="1">
      <alignment horizontal="center"/>
    </xf>
    <xf numFmtId="0" fontId="12" fillId="0" borderId="0" xfId="11"/>
    <xf numFmtId="2" fontId="12" fillId="0" borderId="0" xfId="11" applyNumberFormat="1"/>
    <xf numFmtId="0" fontId="12" fillId="0" borderId="31" xfId="11" applyBorder="1"/>
    <xf numFmtId="2" fontId="12" fillId="0" borderId="31" xfId="11" applyNumberFormat="1" applyBorder="1"/>
    <xf numFmtId="0" fontId="12" fillId="0" borderId="32" xfId="11" applyBorder="1"/>
    <xf numFmtId="0" fontId="29" fillId="0" borderId="0" xfId="11" applyFont="1" applyAlignment="1">
      <alignment horizontal="centerContinuous"/>
    </xf>
    <xf numFmtId="0" fontId="30" fillId="0" borderId="0" xfId="11" applyFont="1" applyAlignment="1">
      <alignment horizontal="centerContinuous"/>
    </xf>
    <xf numFmtId="0" fontId="31" fillId="0" borderId="0" xfId="11" applyFont="1" applyAlignment="1">
      <alignment horizontal="centerContinuous"/>
    </xf>
    <xf numFmtId="2" fontId="31" fillId="0" borderId="33" xfId="11" applyNumberFormat="1" applyFont="1" applyBorder="1" applyAlignment="1">
      <alignment horizontal="centerContinuous"/>
    </xf>
    <xf numFmtId="0" fontId="32" fillId="0" borderId="0" xfId="11" applyFont="1"/>
    <xf numFmtId="0" fontId="33" fillId="0" borderId="0" xfId="11" applyFont="1"/>
    <xf numFmtId="2" fontId="32" fillId="0" borderId="0" xfId="11" applyNumberFormat="1" applyFont="1"/>
    <xf numFmtId="2" fontId="12" fillId="0" borderId="32" xfId="11" applyNumberFormat="1" applyBorder="1"/>
    <xf numFmtId="0" fontId="34" fillId="0" borderId="0" xfId="11" applyFont="1"/>
    <xf numFmtId="0" fontId="35" fillId="0" borderId="34" xfId="11" applyFont="1" applyBorder="1"/>
    <xf numFmtId="175" fontId="5" fillId="0" borderId="35" xfId="11" applyNumberFormat="1" applyFont="1" applyBorder="1"/>
    <xf numFmtId="14" fontId="36" fillId="22" borderId="35" xfId="11" applyNumberFormat="1" applyFont="1" applyFill="1" applyBorder="1" applyAlignment="1">
      <alignment horizontal="center"/>
    </xf>
    <xf numFmtId="0" fontId="12" fillId="0" borderId="37" xfId="11" applyBorder="1"/>
    <xf numFmtId="2" fontId="12" fillId="0" borderId="38" xfId="11" applyNumberFormat="1" applyBorder="1"/>
    <xf numFmtId="0" fontId="37" fillId="23" borderId="39" xfId="11" applyFont="1" applyFill="1" applyBorder="1" applyAlignment="1">
      <alignment horizontal="center"/>
    </xf>
    <xf numFmtId="0" fontId="37" fillId="23" borderId="40" xfId="11" applyFont="1" applyFill="1" applyBorder="1" applyAlignment="1">
      <alignment horizontal="center"/>
    </xf>
    <xf numFmtId="2" fontId="37" fillId="23" borderId="41" xfId="11" applyNumberFormat="1" applyFont="1" applyFill="1" applyBorder="1" applyAlignment="1">
      <alignment horizontal="center"/>
    </xf>
    <xf numFmtId="0" fontId="36" fillId="0" borderId="42" xfId="11" applyFont="1" applyBorder="1" applyAlignment="1">
      <alignment horizontal="center"/>
    </xf>
    <xf numFmtId="0" fontId="12" fillId="22" borderId="43" xfId="11" applyFill="1" applyBorder="1"/>
    <xf numFmtId="0" fontId="12" fillId="22" borderId="43" xfId="11" applyFill="1" applyBorder="1" applyAlignment="1">
      <alignment horizontal="center" vertical="center"/>
    </xf>
    <xf numFmtId="9" fontId="12" fillId="22" borderId="43" xfId="8" applyFont="1" applyFill="1" applyBorder="1"/>
    <xf numFmtId="0" fontId="12" fillId="0" borderId="43" xfId="11" applyBorder="1"/>
    <xf numFmtId="4" fontId="5" fillId="22" borderId="44" xfId="11" applyNumberFormat="1" applyFont="1" applyFill="1" applyBorder="1"/>
    <xf numFmtId="0" fontId="36" fillId="0" borderId="45" xfId="11" applyFont="1" applyBorder="1" applyAlignment="1">
      <alignment horizontal="center"/>
    </xf>
    <xf numFmtId="9" fontId="12" fillId="22" borderId="36" xfId="8" applyFont="1" applyFill="1" applyBorder="1"/>
    <xf numFmtId="0" fontId="12" fillId="0" borderId="36" xfId="11" applyBorder="1"/>
    <xf numFmtId="4" fontId="5" fillId="22" borderId="35" xfId="11" applyNumberFormat="1" applyFont="1" applyFill="1" applyBorder="1"/>
    <xf numFmtId="0" fontId="12" fillId="22" borderId="36" xfId="11" applyFill="1" applyBorder="1"/>
    <xf numFmtId="0" fontId="12" fillId="22" borderId="36" xfId="11" applyFill="1" applyBorder="1" applyAlignment="1">
      <alignment horizontal="center"/>
    </xf>
    <xf numFmtId="4" fontId="12" fillId="22" borderId="35" xfId="11" applyNumberFormat="1" applyFill="1" applyBorder="1"/>
    <xf numFmtId="0" fontId="36" fillId="0" borderId="46" xfId="11" applyFont="1" applyBorder="1" applyAlignment="1">
      <alignment horizontal="center"/>
    </xf>
    <xf numFmtId="0" fontId="12" fillId="22" borderId="47" xfId="11" applyFill="1" applyBorder="1"/>
    <xf numFmtId="0" fontId="12" fillId="22" borderId="47" xfId="11" applyFill="1" applyBorder="1" applyAlignment="1">
      <alignment horizontal="center"/>
    </xf>
    <xf numFmtId="9" fontId="12" fillId="22" borderId="47" xfId="8" applyFont="1" applyFill="1" applyBorder="1"/>
    <xf numFmtId="0" fontId="12" fillId="0" borderId="47" xfId="11" applyBorder="1"/>
    <xf numFmtId="4" fontId="12" fillId="22" borderId="48" xfId="11" applyNumberFormat="1" applyFill="1" applyBorder="1"/>
    <xf numFmtId="0" fontId="5" fillId="0" borderId="49" xfId="11" applyFont="1" applyBorder="1" applyAlignment="1">
      <alignment horizontal="center"/>
    </xf>
    <xf numFmtId="0" fontId="38" fillId="0" borderId="0" xfId="11" applyFont="1" applyAlignment="1">
      <alignment horizontal="centerContinuous"/>
    </xf>
    <xf numFmtId="0" fontId="5" fillId="0" borderId="49" xfId="11" applyFont="1" applyBorder="1" applyAlignment="1">
      <alignment horizontal="centerContinuous"/>
    </xf>
    <xf numFmtId="0" fontId="5" fillId="0" borderId="51" xfId="11" applyFont="1" applyBorder="1" applyAlignment="1">
      <alignment horizontal="center"/>
    </xf>
    <xf numFmtId="4" fontId="5" fillId="22" borderId="53" xfId="11" applyNumberFormat="1" applyFont="1" applyFill="1" applyBorder="1"/>
    <xf numFmtId="0" fontId="39" fillId="9" borderId="0" xfId="5" applyFont="1" applyAlignment="1">
      <alignment horizontal="left" indent="1"/>
    </xf>
    <xf numFmtId="0" fontId="21" fillId="9" borderId="0" xfId="5"/>
    <xf numFmtId="0" fontId="0" fillId="0" borderId="54" xfId="0" applyBorder="1"/>
    <xf numFmtId="176" fontId="0" fillId="0" borderId="0" xfId="0" applyNumberFormat="1"/>
    <xf numFmtId="0" fontId="0" fillId="0" borderId="55" xfId="0" applyBorder="1"/>
    <xf numFmtId="0" fontId="5" fillId="0" borderId="54" xfId="0" applyFont="1" applyBorder="1" applyAlignment="1">
      <alignment horizontal="left" indent="1"/>
    </xf>
    <xf numFmtId="0" fontId="0" fillId="0" borderId="54" xfId="0" applyBorder="1" applyAlignment="1">
      <alignment horizontal="left" indent="9"/>
    </xf>
    <xf numFmtId="14" fontId="40" fillId="24" borderId="56" xfId="0" applyNumberFormat="1" applyFont="1" applyFill="1" applyBorder="1" applyAlignment="1">
      <alignment horizontal="center"/>
    </xf>
    <xf numFmtId="0" fontId="0" fillId="0" borderId="0" xfId="0" applyAlignment="1">
      <alignment horizontal="right" indent="1"/>
    </xf>
    <xf numFmtId="0" fontId="41" fillId="0" borderId="0" xfId="0" applyFont="1" applyAlignment="1">
      <alignment horizontal="right"/>
    </xf>
    <xf numFmtId="0" fontId="0" fillId="0" borderId="54" xfId="0" applyBorder="1" applyAlignment="1">
      <alignment horizontal="left" indent="10"/>
    </xf>
    <xf numFmtId="177" fontId="40" fillId="24" borderId="56" xfId="0" applyNumberFormat="1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7" fillId="0" borderId="63" xfId="3" applyBorder="1" applyAlignment="1">
      <alignment horizontal="left" indent="1"/>
    </xf>
    <xf numFmtId="0" fontId="0" fillId="0" borderId="64" xfId="0" applyBorder="1"/>
    <xf numFmtId="0" fontId="0" fillId="0" borderId="63" xfId="0" applyBorder="1"/>
    <xf numFmtId="0" fontId="0" fillId="0" borderId="63" xfId="0" applyBorder="1" applyAlignment="1">
      <alignment horizontal="left" indent="1"/>
    </xf>
    <xf numFmtId="14" fontId="5" fillId="0" borderId="56" xfId="0" applyNumberFormat="1" applyFont="1" applyBorder="1"/>
    <xf numFmtId="0" fontId="5" fillId="0" borderId="65" xfId="0" applyFont="1" applyBorder="1"/>
    <xf numFmtId="0" fontId="0" fillId="0" borderId="0" xfId="0" applyAlignment="1">
      <alignment horizontal="center"/>
    </xf>
    <xf numFmtId="0" fontId="5" fillId="0" borderId="0" xfId="0" applyFont="1"/>
    <xf numFmtId="0" fontId="0" fillId="0" borderId="63" xfId="0" applyBorder="1" applyAlignment="1">
      <alignment horizontal="right"/>
    </xf>
    <xf numFmtId="14" fontId="0" fillId="25" borderId="67" xfId="0" applyNumberFormat="1" applyFill="1" applyBorder="1"/>
    <xf numFmtId="0" fontId="0" fillId="0" borderId="67" xfId="0" quotePrefix="1" applyBorder="1" applyAlignment="1">
      <alignment horizontal="left" indent="1"/>
    </xf>
    <xf numFmtId="0" fontId="41" fillId="0" borderId="64" xfId="0" applyFont="1" applyBorder="1" applyAlignment="1">
      <alignment horizontal="left" indent="2"/>
    </xf>
    <xf numFmtId="0" fontId="7" fillId="0" borderId="64" xfId="3" applyBorder="1" applyAlignment="1">
      <alignment horizontal="center" wrapText="1"/>
    </xf>
    <xf numFmtId="1" fontId="40" fillId="24" borderId="56" xfId="0" applyNumberFormat="1" applyFont="1" applyFill="1" applyBorder="1"/>
    <xf numFmtId="0" fontId="40" fillId="0" borderId="64" xfId="0" applyFont="1" applyBorder="1"/>
    <xf numFmtId="0" fontId="40" fillId="24" borderId="56" xfId="0" applyFont="1" applyFill="1" applyBorder="1"/>
    <xf numFmtId="0" fontId="0" fillId="0" borderId="0" xfId="0" applyAlignment="1">
      <alignment wrapText="1"/>
    </xf>
    <xf numFmtId="0" fontId="0" fillId="0" borderId="63" xfId="0" applyBorder="1" applyAlignment="1">
      <alignment wrapText="1"/>
    </xf>
    <xf numFmtId="14" fontId="25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left" indent="1"/>
    </xf>
    <xf numFmtId="0" fontId="0" fillId="0" borderId="69" xfId="0" applyBorder="1"/>
    <xf numFmtId="0" fontId="41" fillId="0" borderId="70" xfId="0" applyFont="1" applyBorder="1" applyAlignment="1">
      <alignment horizontal="left" indent="2"/>
    </xf>
    <xf numFmtId="0" fontId="0" fillId="0" borderId="68" xfId="0" applyBorder="1" applyAlignment="1">
      <alignment wrapText="1"/>
    </xf>
    <xf numFmtId="0" fontId="0" fillId="0" borderId="70" xfId="0" applyBorder="1"/>
    <xf numFmtId="14" fontId="42" fillId="0" borderId="0" xfId="0" applyNumberFormat="1" applyFont="1"/>
    <xf numFmtId="0" fontId="43" fillId="9" borderId="54" xfId="5" applyFont="1" applyBorder="1"/>
    <xf numFmtId="0" fontId="21" fillId="9" borderId="0" xfId="5" applyBorder="1"/>
    <xf numFmtId="14" fontId="21" fillId="9" borderId="0" xfId="5" applyNumberFormat="1" applyBorder="1"/>
    <xf numFmtId="0" fontId="21" fillId="9" borderId="0" xfId="5" applyBorder="1" applyAlignment="1">
      <alignment wrapText="1"/>
    </xf>
    <xf numFmtId="0" fontId="21" fillId="9" borderId="55" xfId="5" applyBorder="1"/>
    <xf numFmtId="0" fontId="41" fillId="0" borderId="0" xfId="0" applyFont="1" applyAlignment="1">
      <alignment horizontal="center"/>
    </xf>
    <xf numFmtId="0" fontId="0" fillId="0" borderId="54" xfId="0" applyBorder="1" applyAlignment="1">
      <alignment horizontal="center"/>
    </xf>
    <xf numFmtId="0" fontId="40" fillId="24" borderId="56" xfId="0" applyFont="1" applyFill="1" applyBorder="1" applyAlignment="1">
      <alignment horizontal="center"/>
    </xf>
    <xf numFmtId="0" fontId="44" fillId="0" borderId="0" xfId="0" applyFont="1"/>
    <xf numFmtId="0" fontId="0" fillId="0" borderId="71" xfId="0" applyBorder="1"/>
    <xf numFmtId="0" fontId="41" fillId="0" borderId="72" xfId="0" applyFont="1" applyBorder="1" applyAlignment="1">
      <alignment horizontal="center"/>
    </xf>
    <xf numFmtId="0" fontId="0" fillId="0" borderId="72" xfId="0" applyBorder="1"/>
    <xf numFmtId="0" fontId="0" fillId="0" borderId="73" xfId="0" applyBorder="1"/>
    <xf numFmtId="0" fontId="0" fillId="11" borderId="0" xfId="0" applyFill="1"/>
    <xf numFmtId="0" fontId="21" fillId="9" borderId="0" xfId="5" applyAlignment="1" applyProtection="1">
      <alignment horizontal="left" indent="1"/>
      <protection locked="0"/>
    </xf>
    <xf numFmtId="0" fontId="0" fillId="11" borderId="0" xfId="0" applyFill="1" applyProtection="1">
      <protection locked="0"/>
    </xf>
    <xf numFmtId="0" fontId="46" fillId="11" borderId="0" xfId="0" applyFont="1" applyFill="1" applyAlignment="1" applyProtection="1">
      <alignment horizontal="left" indent="1"/>
      <protection locked="0"/>
    </xf>
    <xf numFmtId="0" fontId="46" fillId="11" borderId="0" xfId="0" applyFont="1" applyFill="1" applyProtection="1">
      <protection locked="0"/>
    </xf>
    <xf numFmtId="0" fontId="47" fillId="11" borderId="0" xfId="0" applyFont="1" applyFill="1" applyAlignment="1" applyProtection="1">
      <alignment horizontal="left" indent="1"/>
      <protection locked="0"/>
    </xf>
    <xf numFmtId="0" fontId="14" fillId="26" borderId="74" xfId="6" applyFont="1" applyFill="1" applyBorder="1"/>
    <xf numFmtId="0" fontId="48" fillId="2" borderId="3" xfId="1" applyFont="1" applyFill="1" applyBorder="1" applyAlignment="1">
      <alignment horizontal="left" vertical="center" wrapText="1"/>
    </xf>
    <xf numFmtId="0" fontId="48" fillId="2" borderId="1" xfId="1" applyFont="1" applyFill="1" applyBorder="1" applyAlignment="1">
      <alignment horizontal="left" vertical="center" wrapText="1"/>
    </xf>
    <xf numFmtId="0" fontId="45" fillId="11" borderId="0" xfId="0" applyFont="1" applyFill="1" applyAlignment="1" applyProtection="1">
      <alignment horizontal="left" indent="1"/>
      <protection locked="0"/>
    </xf>
    <xf numFmtId="0" fontId="14" fillId="26" borderId="75" xfId="6" applyFont="1" applyFill="1" applyBorder="1" applyAlignment="1">
      <alignment horizontal="center"/>
    </xf>
    <xf numFmtId="0" fontId="14" fillId="26" borderId="76" xfId="6" applyFont="1" applyFill="1" applyBorder="1" applyAlignment="1">
      <alignment horizontal="center"/>
    </xf>
    <xf numFmtId="0" fontId="14" fillId="26" borderId="77" xfId="6" applyFont="1" applyFill="1" applyBorder="1" applyAlignment="1">
      <alignment horizontal="center"/>
    </xf>
    <xf numFmtId="0" fontId="15" fillId="26" borderId="75" xfId="6" applyFont="1" applyFill="1" applyBorder="1" applyAlignment="1">
      <alignment horizontal="center"/>
    </xf>
    <xf numFmtId="0" fontId="15" fillId="26" borderId="76" xfId="6" applyFont="1" applyFill="1" applyBorder="1" applyAlignment="1">
      <alignment horizontal="center"/>
    </xf>
    <xf numFmtId="0" fontId="15" fillId="26" borderId="77" xfId="6" applyFont="1" applyFill="1" applyBorder="1" applyAlignment="1">
      <alignment horizontal="center"/>
    </xf>
    <xf numFmtId="0" fontId="0" fillId="0" borderId="63" xfId="0" applyBorder="1" applyAlignment="1">
      <alignment horizontal="right" wrapText="1" indent="1"/>
    </xf>
    <xf numFmtId="0" fontId="0" fillId="0" borderId="0" xfId="0" applyAlignment="1">
      <alignment horizontal="right" wrapText="1" indent="1"/>
    </xf>
    <xf numFmtId="0" fontId="0" fillId="0" borderId="68" xfId="0" applyBorder="1" applyAlignment="1">
      <alignment horizontal="right" wrapText="1" indent="1"/>
    </xf>
    <xf numFmtId="0" fontId="0" fillId="0" borderId="69" xfId="0" applyBorder="1" applyAlignment="1">
      <alignment horizontal="right" wrapText="1" indent="1"/>
    </xf>
    <xf numFmtId="0" fontId="0" fillId="0" borderId="63" xfId="0" applyBorder="1" applyAlignment="1">
      <alignment horizontal="right" indent="1"/>
    </xf>
    <xf numFmtId="0" fontId="0" fillId="0" borderId="66" xfId="0" applyBorder="1" applyAlignment="1">
      <alignment horizontal="right" indent="1"/>
    </xf>
    <xf numFmtId="0" fontId="7" fillId="0" borderId="0" xfId="3" applyBorder="1" applyAlignment="1">
      <alignment horizontal="center" wrapText="1"/>
    </xf>
    <xf numFmtId="0" fontId="0" fillId="0" borderId="0" xfId="0" applyAlignment="1">
      <alignment horizontal="left" wrapText="1" indent="1"/>
    </xf>
    <xf numFmtId="0" fontId="12" fillId="22" borderId="36" xfId="11" applyFill="1" applyBorder="1" applyAlignment="1">
      <alignment horizontal="left"/>
    </xf>
    <xf numFmtId="0" fontId="5" fillId="0" borderId="0" xfId="11" applyFont="1" applyAlignment="1">
      <alignment horizontal="center"/>
    </xf>
    <xf numFmtId="0" fontId="5" fillId="0" borderId="50" xfId="11" applyFont="1" applyBorder="1" applyAlignment="1">
      <alignment horizontal="center"/>
    </xf>
    <xf numFmtId="0" fontId="5" fillId="0" borderId="39" xfId="11" applyFont="1" applyBorder="1" applyAlignment="1">
      <alignment horizontal="center"/>
    </xf>
    <xf numFmtId="0" fontId="5" fillId="0" borderId="51" xfId="11" applyFont="1" applyBorder="1" applyAlignment="1">
      <alignment horizontal="center"/>
    </xf>
    <xf numFmtId="0" fontId="5" fillId="0" borderId="52" xfId="11" applyFont="1" applyBorder="1" applyAlignment="1">
      <alignment horizontal="center"/>
    </xf>
    <xf numFmtId="4" fontId="50" fillId="0" borderId="3" xfId="1" applyNumberFormat="1" applyFont="1" applyBorder="1"/>
    <xf numFmtId="0" fontId="53" fillId="24" borderId="57" xfId="0" applyFont="1" applyFill="1" applyBorder="1"/>
    <xf numFmtId="0" fontId="53" fillId="24" borderId="58" xfId="0" applyFont="1" applyFill="1" applyBorder="1"/>
    <xf numFmtId="0" fontId="53" fillId="24" borderId="59" xfId="0" applyFont="1" applyFill="1" applyBorder="1"/>
    <xf numFmtId="0" fontId="54" fillId="24" borderId="57" xfId="0" applyFont="1" applyFill="1" applyBorder="1"/>
    <xf numFmtId="0" fontId="54" fillId="24" borderId="58" xfId="0" applyFont="1" applyFill="1" applyBorder="1"/>
    <xf numFmtId="0" fontId="54" fillId="24" borderId="59" xfId="0" applyFont="1" applyFill="1" applyBorder="1"/>
    <xf numFmtId="14" fontId="53" fillId="24" borderId="56" xfId="0" applyNumberFormat="1" applyFont="1" applyFill="1" applyBorder="1"/>
    <xf numFmtId="0" fontId="40" fillId="24" borderId="57" xfId="0" applyNumberFormat="1" applyFont="1" applyFill="1" applyBorder="1"/>
    <xf numFmtId="0" fontId="40" fillId="24" borderId="58" xfId="0" applyNumberFormat="1" applyFont="1" applyFill="1" applyBorder="1"/>
    <xf numFmtId="0" fontId="40" fillId="24" borderId="59" xfId="0" applyNumberFormat="1" applyFont="1" applyFill="1" applyBorder="1"/>
    <xf numFmtId="0" fontId="40" fillId="24" borderId="56" xfId="0" applyNumberFormat="1" applyFont="1" applyFill="1" applyBorder="1" applyAlignment="1">
      <alignment horizontal="center"/>
    </xf>
    <xf numFmtId="178" fontId="41" fillId="0" borderId="0" xfId="0" applyNumberFormat="1" applyFont="1" applyAlignment="1"/>
    <xf numFmtId="0" fontId="41" fillId="0" borderId="0" xfId="0" applyFont="1" applyAlignment="1"/>
    <xf numFmtId="0" fontId="15" fillId="0" borderId="1" xfId="0" applyFont="1" applyBorder="1" applyAlignment="1">
      <alignment vertical="center"/>
    </xf>
    <xf numFmtId="0" fontId="55" fillId="0" borderId="0" xfId="0" applyFont="1" applyFill="1" applyBorder="1" applyAlignment="1">
      <alignment horizontal="left" vertical="center"/>
    </xf>
    <xf numFmtId="3" fontId="15" fillId="0" borderId="1" xfId="0" applyNumberFormat="1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14" fontId="57" fillId="27" borderId="1" xfId="0" applyNumberFormat="1" applyFont="1" applyFill="1" applyBorder="1"/>
    <xf numFmtId="14" fontId="57" fillId="27" borderId="0" xfId="0" applyNumberFormat="1" applyFont="1" applyFill="1"/>
    <xf numFmtId="0" fontId="8" fillId="11" borderId="0" xfId="1" applyFont="1" applyFill="1"/>
    <xf numFmtId="0" fontId="15" fillId="11" borderId="0" xfId="1" applyFont="1" applyFill="1"/>
    <xf numFmtId="0" fontId="58" fillId="11" borderId="0" xfId="1" applyFont="1" applyFill="1"/>
    <xf numFmtId="0" fontId="59" fillId="11" borderId="0" xfId="1" applyFont="1" applyFill="1"/>
    <xf numFmtId="167" fontId="50" fillId="12" borderId="8" xfId="1" applyNumberFormat="1" applyFont="1" applyFill="1" applyBorder="1" applyAlignment="1">
      <alignment horizontal="left" indent="1"/>
    </xf>
    <xf numFmtId="167" fontId="60" fillId="15" borderId="8" xfId="1" applyNumberFormat="1" applyFont="1" applyFill="1" applyBorder="1" applyAlignment="1">
      <alignment horizontal="left" indent="1"/>
    </xf>
    <xf numFmtId="167" fontId="60" fillId="12" borderId="8" xfId="1" applyNumberFormat="1" applyFont="1" applyFill="1" applyBorder="1" applyAlignment="1">
      <alignment vertical="center"/>
    </xf>
    <xf numFmtId="168" fontId="61" fillId="12" borderId="8" xfId="1" applyNumberFormat="1" applyFont="1" applyFill="1" applyBorder="1" applyAlignment="1">
      <alignment horizontal="left" indent="1"/>
    </xf>
    <xf numFmtId="165" fontId="13" fillId="28" borderId="8" xfId="4" applyNumberFormat="1" applyFont="1" applyFill="1" applyBorder="1"/>
    <xf numFmtId="165" fontId="13" fillId="29" borderId="8" xfId="4" applyNumberFormat="1" applyFont="1" applyFill="1" applyBorder="1"/>
    <xf numFmtId="165" fontId="13" fillId="28" borderId="11" xfId="4" applyNumberFormat="1" applyFont="1" applyFill="1" applyBorder="1"/>
    <xf numFmtId="0" fontId="13" fillId="28" borderId="8" xfId="4" applyNumberFormat="1" applyFont="1" applyFill="1" applyBorder="1"/>
    <xf numFmtId="165" fontId="62" fillId="18" borderId="8" xfId="4" applyNumberFormat="1" applyFont="1" applyFill="1" applyBorder="1"/>
    <xf numFmtId="0" fontId="13" fillId="30" borderId="8" xfId="7" applyFont="1" applyFill="1" applyBorder="1" applyAlignment="1">
      <alignment horizontal="center"/>
    </xf>
    <xf numFmtId="0" fontId="13" fillId="31" borderId="8" xfId="7" applyFont="1" applyFill="1" applyBorder="1" applyAlignment="1">
      <alignment horizontal="center"/>
    </xf>
    <xf numFmtId="0" fontId="13" fillId="30" borderId="6" xfId="7" applyFont="1" applyFill="1" applyBorder="1" applyAlignment="1">
      <alignment horizontal="center"/>
    </xf>
    <xf numFmtId="0" fontId="13" fillId="31" borderId="11" xfId="7" applyFont="1" applyFill="1" applyBorder="1" applyAlignment="1">
      <alignment horizontal="center"/>
    </xf>
    <xf numFmtId="0" fontId="5" fillId="0" borderId="0" xfId="7" applyFont="1"/>
    <xf numFmtId="0" fontId="27" fillId="32" borderId="22" xfId="10" applyFont="1" applyFill="1" applyBorder="1"/>
    <xf numFmtId="0" fontId="27" fillId="6" borderId="25" xfId="10" applyFont="1" applyFill="1" applyBorder="1"/>
    <xf numFmtId="0" fontId="27" fillId="6" borderId="28" xfId="10" applyFont="1" applyFill="1" applyBorder="1"/>
    <xf numFmtId="4" fontId="5" fillId="22" borderId="48" xfId="11" applyNumberFormat="1" applyFont="1" applyFill="1" applyBorder="1"/>
    <xf numFmtId="0" fontId="12" fillId="22" borderId="78" xfId="11" applyFill="1" applyBorder="1" applyAlignment="1">
      <alignment horizontal="left"/>
    </xf>
    <xf numFmtId="0" fontId="12" fillId="22" borderId="0" xfId="11" applyFill="1" applyBorder="1" applyAlignment="1">
      <alignment horizontal="left"/>
    </xf>
  </cellXfs>
  <cellStyles count="12">
    <cellStyle name="20% - Énfasis1" xfId="6" builtinId="30"/>
    <cellStyle name="Encabezado 4" xfId="3" builtinId="19"/>
    <cellStyle name="Énfasis1" xfId="5" builtinId="29"/>
    <cellStyle name="Millares 2" xfId="9" xr:uid="{E7014454-0E91-4A0A-9972-F1EF15848963}"/>
    <cellStyle name="Millares_Ejercicios Excel1" xfId="4" xr:uid="{00000000-0005-0000-0000-000001000000}"/>
    <cellStyle name="Normal" xfId="0" builtinId="0"/>
    <cellStyle name="Normal 2" xfId="7" xr:uid="{57215B4C-25AB-4269-BF14-9CAA99D92B08}"/>
    <cellStyle name="Normal 2 2" xfId="1" xr:uid="{00000000-0005-0000-0000-000003000000}"/>
    <cellStyle name="Normal_EJERCICIOS (Tarea1 filtros avanzados)" xfId="2" xr:uid="{00000000-0005-0000-0000-000004000000}"/>
    <cellStyle name="Normal_Ejercicios Buscar" xfId="11" xr:uid="{01E16F29-1DAE-40F8-A9A5-6DB639156042}"/>
    <cellStyle name="Normal_EMPRESAS" xfId="10" xr:uid="{A90664D5-4F15-47A6-9C98-3703E8CF6402}"/>
    <cellStyle name="Porcentaje 2" xfId="8" xr:uid="{409268A9-F36A-4965-825F-266B0477DFA2}"/>
  </cellStyles>
  <dxfs count="0"/>
  <tableStyles count="0" defaultTableStyle="TableStyleMedium2" defaultPivotStyle="PivotStyleLight16"/>
  <colors>
    <mruColors>
      <color rgb="FFFFCCFF"/>
      <color rgb="FF000099"/>
      <color rgb="FFECF4FA"/>
      <color rgb="FF9BE5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iagrams/_rels/data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iagrams/_rels/data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iagrams/_rels/data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iagrams/_rels/data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iagrams/_rels/data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iagrams/_rels/data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iagram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iagram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iagram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iagram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iagram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iagram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iagram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2_4">
  <dgm:title val=""/>
  <dgm:desc val=""/>
  <dgm:catLst>
    <dgm:cat type="accent2" pri="11400"/>
  </dgm:catLst>
  <dgm:styleLbl name="node0">
    <dgm:fillClrLst meth="cycle">
      <a:schemeClr val="accent2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2">
        <a:shade val="50000"/>
      </a:schemeClr>
      <a:schemeClr val="accent2">
        <a:tint val="45000"/>
      </a:schemeClr>
    </dgm:fillClrLst>
    <dgm:linClrLst meth="cycle">
      <a:schemeClr val="accent2">
        <a:shade val="50000"/>
      </a:schemeClr>
      <a:schemeClr val="accent2">
        <a:tint val="45000"/>
      </a:schemeClr>
    </dgm:linClrLst>
    <dgm:effectClrLst/>
    <dgm:txLinClrLst/>
    <dgm:txFillClrLst/>
    <dgm:txEffectClrLst/>
  </dgm:styleLbl>
  <dgm:styleLbl name="ln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2">
        <a:shade val="80000"/>
        <a:alpha val="50000"/>
      </a:schemeClr>
      <a:schemeClr val="accent2">
        <a:tint val="45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2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2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2">
        <a:shade val="8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55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3_4">
  <dgm:title val=""/>
  <dgm:desc val=""/>
  <dgm:catLst>
    <dgm:cat type="accent3" pri="11400"/>
  </dgm:catLst>
  <dgm:styleLbl name="node0">
    <dgm:fillClrLst meth="cycle">
      <a:schemeClr val="accent3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3">
        <a:shade val="50000"/>
      </a:schemeClr>
      <a:schemeClr val="accent3">
        <a:tint val="55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3">
        <a:shade val="80000"/>
        <a:alpha val="50000"/>
      </a:schemeClr>
      <a:schemeClr val="accent3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55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2_4">
  <dgm:title val=""/>
  <dgm:desc val=""/>
  <dgm:catLst>
    <dgm:cat type="accent2" pri="11400"/>
  </dgm:catLst>
  <dgm:styleLbl name="node0">
    <dgm:fillClrLst meth="cycle">
      <a:schemeClr val="accent2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2">
        <a:shade val="50000"/>
      </a:schemeClr>
      <a:schemeClr val="accent2">
        <a:tint val="45000"/>
      </a:schemeClr>
    </dgm:fillClrLst>
    <dgm:linClrLst meth="cycle">
      <a:schemeClr val="accent2">
        <a:shade val="50000"/>
      </a:schemeClr>
      <a:schemeClr val="accent2">
        <a:tint val="45000"/>
      </a:schemeClr>
    </dgm:linClrLst>
    <dgm:effectClrLst/>
    <dgm:txLinClrLst/>
    <dgm:txFillClrLst/>
    <dgm:txEffectClrLst/>
  </dgm:styleLbl>
  <dgm:styleLbl name="ln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2">
        <a:shade val="80000"/>
        <a:alpha val="50000"/>
      </a:schemeClr>
      <a:schemeClr val="accent2">
        <a:tint val="45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2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2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2">
        <a:shade val="8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55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2_4">
  <dgm:title val=""/>
  <dgm:desc val=""/>
  <dgm:catLst>
    <dgm:cat type="accent2" pri="11400"/>
  </dgm:catLst>
  <dgm:styleLbl name="node0">
    <dgm:fillClrLst meth="cycle">
      <a:schemeClr val="accent2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2">
        <a:shade val="50000"/>
      </a:schemeClr>
      <a:schemeClr val="accent2">
        <a:tint val="45000"/>
      </a:schemeClr>
    </dgm:fillClrLst>
    <dgm:linClrLst meth="cycle">
      <a:schemeClr val="accent2">
        <a:shade val="50000"/>
      </a:schemeClr>
      <a:schemeClr val="accent2">
        <a:tint val="45000"/>
      </a:schemeClr>
    </dgm:linClrLst>
    <dgm:effectClrLst/>
    <dgm:txLinClrLst/>
    <dgm:txFillClrLst/>
    <dgm:txEffectClrLst/>
  </dgm:styleLbl>
  <dgm:styleLbl name="ln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2">
        <a:shade val="80000"/>
        <a:alpha val="50000"/>
      </a:schemeClr>
      <a:schemeClr val="accent2">
        <a:tint val="45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2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2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2">
        <a:shade val="8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55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3_4">
  <dgm:title val=""/>
  <dgm:desc val=""/>
  <dgm:catLst>
    <dgm:cat type="accent3" pri="11400"/>
  </dgm:catLst>
  <dgm:styleLbl name="node0">
    <dgm:fillClrLst meth="cycle">
      <a:schemeClr val="accent3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3">
        <a:shade val="50000"/>
      </a:schemeClr>
      <a:schemeClr val="accent3">
        <a:tint val="55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3">
        <a:shade val="80000"/>
        <a:alpha val="50000"/>
      </a:schemeClr>
      <a:schemeClr val="accent3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55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C8F7FA2-6425-43A7-935F-E8EA6DA21941}" type="doc">
      <dgm:prSet loTypeId="urn:microsoft.com/office/officeart/2005/8/layout/vList4" loCatId="list" qsTypeId="urn:microsoft.com/office/officeart/2005/8/quickstyle/simple2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B0A8A6B5-3BA6-4848-AD11-3A1B05551386}">
      <dgm:prSet phldrT="[Texto]" custT="1"/>
      <dgm:spPr>
        <a:solidFill>
          <a:schemeClr val="tx1">
            <a:lumMod val="50000"/>
            <a:lumOff val="50000"/>
          </a:schemeClr>
        </a:solidFill>
        <a:scene3d>
          <a:camera prst="orthographicFront"/>
          <a:lightRig rig="threePt" dir="t"/>
        </a:scene3d>
        <a:sp3d>
          <a:bevelT w="139700" h="139700" prst="divot"/>
        </a:sp3d>
      </dgm:spPr>
      <dgm:t>
        <a:bodyPr lIns="288000"/>
        <a:lstStyle/>
        <a:p>
          <a:r>
            <a:rPr lang="es-ES" sz="1300" b="1">
              <a:solidFill>
                <a:schemeClr val="accent4">
                  <a:lumMod val="20000"/>
                  <a:lumOff val="80000"/>
                </a:schemeClr>
              </a:solidFill>
            </a:rPr>
            <a:t>Con funciones de texto, cambia los datos del alumno Johnny Martin Pacheco Contreras, para la admisión a la UNIVERSIDAD NACIONAL DE INGENIERÍA</a:t>
          </a:r>
        </a:p>
      </dgm:t>
    </dgm:pt>
    <dgm:pt modelId="{046A7DE5-EE49-4830-A7F3-06F84354BAA4}" type="parTrans" cxnId="{DA5D7371-D34C-4961-9FFB-58BEC92C83EE}">
      <dgm:prSet/>
      <dgm:spPr/>
      <dgm:t>
        <a:bodyPr/>
        <a:lstStyle/>
        <a:p>
          <a:endParaRPr lang="es-ES"/>
        </a:p>
      </dgm:t>
    </dgm:pt>
    <dgm:pt modelId="{95BD7B1F-5EDA-4E89-AE9C-EF478811BC2B}" type="sibTrans" cxnId="{DA5D7371-D34C-4961-9FFB-58BEC92C83EE}">
      <dgm:prSet/>
      <dgm:spPr/>
      <dgm:t>
        <a:bodyPr/>
        <a:lstStyle/>
        <a:p>
          <a:endParaRPr lang="es-ES"/>
        </a:p>
      </dgm:t>
    </dgm:pt>
    <dgm:pt modelId="{5ECE5BB9-83FF-47E1-AF93-E87E118F16BC}" type="pres">
      <dgm:prSet presAssocID="{EC8F7FA2-6425-43A7-935F-E8EA6DA21941}" presName="linear" presStyleCnt="0">
        <dgm:presLayoutVars>
          <dgm:dir/>
          <dgm:resizeHandles val="exact"/>
        </dgm:presLayoutVars>
      </dgm:prSet>
      <dgm:spPr/>
    </dgm:pt>
    <dgm:pt modelId="{3C6B6BA0-5DCC-4DD7-9077-5A1B117564F5}" type="pres">
      <dgm:prSet presAssocID="{B0A8A6B5-3BA6-4848-AD11-3A1B05551386}" presName="comp" presStyleCnt="0"/>
      <dgm:spPr/>
    </dgm:pt>
    <dgm:pt modelId="{D05687B2-7AE9-4C67-9863-0E5661A66B6E}" type="pres">
      <dgm:prSet presAssocID="{B0A8A6B5-3BA6-4848-AD11-3A1B05551386}" presName="box" presStyleLbl="node1" presStyleIdx="0" presStyleCnt="1" custLinFactNeighborX="-1248"/>
      <dgm:spPr/>
    </dgm:pt>
    <dgm:pt modelId="{87A0454C-8E66-4C44-A6A7-5D2F48B9264B}" type="pres">
      <dgm:prSet presAssocID="{B0A8A6B5-3BA6-4848-AD11-3A1B05551386}" presName="img" presStyleLbl="fgImgPlace1" presStyleIdx="0" presStyleCnt="1" custScaleX="102235" custScaleY="104910" custLinFactNeighborX="8380"/>
      <dgm:spPr>
        <a:prstGeom prst="ellipse">
          <a:avLst/>
        </a:prstGeom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4000" b="-24000"/>
          </a:stretch>
        </a:blipFill>
      </dgm:spPr>
    </dgm:pt>
    <dgm:pt modelId="{D4A77F51-33AE-4363-A532-9FB9B251D911}" type="pres">
      <dgm:prSet presAssocID="{B0A8A6B5-3BA6-4848-AD11-3A1B05551386}" presName="text" presStyleLbl="node1" presStyleIdx="0" presStyleCnt="1">
        <dgm:presLayoutVars>
          <dgm:bulletEnabled val="1"/>
        </dgm:presLayoutVars>
      </dgm:prSet>
      <dgm:spPr/>
    </dgm:pt>
  </dgm:ptLst>
  <dgm:cxnLst>
    <dgm:cxn modelId="{F56C752B-88AA-4A3C-89F3-E08254EDFE7E}" type="presOf" srcId="{EC8F7FA2-6425-43A7-935F-E8EA6DA21941}" destId="{5ECE5BB9-83FF-47E1-AF93-E87E118F16BC}" srcOrd="0" destOrd="0" presId="urn:microsoft.com/office/officeart/2005/8/layout/vList4"/>
    <dgm:cxn modelId="{DA5D7371-D34C-4961-9FFB-58BEC92C83EE}" srcId="{EC8F7FA2-6425-43A7-935F-E8EA6DA21941}" destId="{B0A8A6B5-3BA6-4848-AD11-3A1B05551386}" srcOrd="0" destOrd="0" parTransId="{046A7DE5-EE49-4830-A7F3-06F84354BAA4}" sibTransId="{95BD7B1F-5EDA-4E89-AE9C-EF478811BC2B}"/>
    <dgm:cxn modelId="{08584173-FE89-4192-9F19-2B8A9CA3F6BC}" type="presOf" srcId="{B0A8A6B5-3BA6-4848-AD11-3A1B05551386}" destId="{D05687B2-7AE9-4C67-9863-0E5661A66B6E}" srcOrd="0" destOrd="0" presId="urn:microsoft.com/office/officeart/2005/8/layout/vList4"/>
    <dgm:cxn modelId="{612E55F1-4888-4588-B051-64A138A229EF}" type="presOf" srcId="{B0A8A6B5-3BA6-4848-AD11-3A1B05551386}" destId="{D4A77F51-33AE-4363-A532-9FB9B251D911}" srcOrd="1" destOrd="0" presId="urn:microsoft.com/office/officeart/2005/8/layout/vList4"/>
    <dgm:cxn modelId="{FAF802FC-C37C-40CC-90F3-B726FEAD0283}" type="presParOf" srcId="{5ECE5BB9-83FF-47E1-AF93-E87E118F16BC}" destId="{3C6B6BA0-5DCC-4DD7-9077-5A1B117564F5}" srcOrd="0" destOrd="0" presId="urn:microsoft.com/office/officeart/2005/8/layout/vList4"/>
    <dgm:cxn modelId="{B491F373-01A9-4BB7-A69A-6F94ADB3E50E}" type="presParOf" srcId="{3C6B6BA0-5DCC-4DD7-9077-5A1B117564F5}" destId="{D05687B2-7AE9-4C67-9863-0E5661A66B6E}" srcOrd="0" destOrd="0" presId="urn:microsoft.com/office/officeart/2005/8/layout/vList4"/>
    <dgm:cxn modelId="{51CB2298-0C66-47DE-A4F1-EC2A31A188DB}" type="presParOf" srcId="{3C6B6BA0-5DCC-4DD7-9077-5A1B117564F5}" destId="{87A0454C-8E66-4C44-A6A7-5D2F48B9264B}" srcOrd="1" destOrd="0" presId="urn:microsoft.com/office/officeart/2005/8/layout/vList4"/>
    <dgm:cxn modelId="{2F7FD5D2-465E-4258-B715-A17D3A73625D}" type="presParOf" srcId="{3C6B6BA0-5DCC-4DD7-9077-5A1B117564F5}" destId="{D4A77F51-33AE-4363-A532-9FB9B251D911}" srcOrd="2" destOrd="0" presId="urn:microsoft.com/office/officeart/2005/8/layout/vList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B0335DC-1DE5-420F-BD57-032A2A8A0987}" type="doc">
      <dgm:prSet loTypeId="urn:microsoft.com/office/officeart/2005/8/layout/vList3" loCatId="list" qsTypeId="urn:microsoft.com/office/officeart/2005/8/quickstyle/simple2" qsCatId="simple" csTypeId="urn:microsoft.com/office/officeart/2005/8/colors/accent2_4" csCatId="accent2" phldr="1"/>
      <dgm:spPr/>
      <dgm:t>
        <a:bodyPr/>
        <a:lstStyle/>
        <a:p>
          <a:endParaRPr lang="es-ES"/>
        </a:p>
      </dgm:t>
    </dgm:pt>
    <dgm:pt modelId="{07B19601-401B-44E9-9B99-61B8BA99E35E}">
      <dgm:prSet phldrT="[Texto]" custT="1"/>
      <dgm:spPr>
        <a:scene3d>
          <a:camera prst="orthographicFront"/>
          <a:lightRig rig="threePt" dir="t"/>
        </a:scene3d>
        <a:sp3d>
          <a:bevelT w="139700" h="139700" prst="divot"/>
        </a:sp3d>
      </dgm:spPr>
      <dgm:t>
        <a:bodyPr lIns="576000"/>
        <a:lstStyle/>
        <a:p>
          <a:pPr algn="just"/>
          <a:r>
            <a:rPr lang="es-ES" sz="1200"/>
            <a:t>Si el Sueldo es mayor a S/. 1,500 entonces el Impuesto Renta será igual al 15% del Sueldo caso contrario será igual a 0.</a:t>
          </a:r>
        </a:p>
      </dgm:t>
    </dgm:pt>
    <dgm:pt modelId="{D43A1FEF-B4CE-4303-9A25-E6EA56096063}" type="parTrans" cxnId="{99296327-D9DB-4131-B365-EE2BF4DD48FD}">
      <dgm:prSet/>
      <dgm:spPr/>
      <dgm:t>
        <a:bodyPr/>
        <a:lstStyle/>
        <a:p>
          <a:endParaRPr lang="es-ES"/>
        </a:p>
      </dgm:t>
    </dgm:pt>
    <dgm:pt modelId="{0AEFE355-94E5-4B73-9BD9-5BFBCACB7376}" type="sibTrans" cxnId="{99296327-D9DB-4131-B365-EE2BF4DD48FD}">
      <dgm:prSet/>
      <dgm:spPr/>
      <dgm:t>
        <a:bodyPr/>
        <a:lstStyle/>
        <a:p>
          <a:endParaRPr lang="es-ES"/>
        </a:p>
      </dgm:t>
    </dgm:pt>
    <dgm:pt modelId="{21520837-1E10-41CF-A0C6-53C2686DE037}" type="pres">
      <dgm:prSet presAssocID="{4B0335DC-1DE5-420F-BD57-032A2A8A0987}" presName="linearFlow" presStyleCnt="0">
        <dgm:presLayoutVars>
          <dgm:dir/>
          <dgm:resizeHandles val="exact"/>
        </dgm:presLayoutVars>
      </dgm:prSet>
      <dgm:spPr/>
    </dgm:pt>
    <dgm:pt modelId="{A9A3B933-9091-42F5-99FD-4AE60680ADA7}" type="pres">
      <dgm:prSet presAssocID="{07B19601-401B-44E9-9B99-61B8BA99E35E}" presName="composite" presStyleCnt="0"/>
      <dgm:spPr/>
    </dgm:pt>
    <dgm:pt modelId="{BA70ECF1-23AC-46FF-9CEC-25658AD47C57}" type="pres">
      <dgm:prSet presAssocID="{07B19601-401B-44E9-9B99-61B8BA99E35E}" presName="imgShp" presStyleLbl="fgImgPlace1" presStyleIdx="0" presStyleCnt="1" custScaleX="127594" custScaleY="83640" custLinFactNeighborX="-17104" custLinFactNeighborY="744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</dgm:spPr>
    </dgm:pt>
    <dgm:pt modelId="{B58D7452-B8A7-47C6-A435-2C76EDE2E36E}" type="pres">
      <dgm:prSet presAssocID="{07B19601-401B-44E9-9B99-61B8BA99E35E}" presName="txShp" presStyleLbl="node1" presStyleIdx="0" presStyleCnt="1" custScaleX="108437" custScaleY="73228" custLinFactNeighborX="7591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99296327-D9DB-4131-B365-EE2BF4DD48FD}" srcId="{4B0335DC-1DE5-420F-BD57-032A2A8A0987}" destId="{07B19601-401B-44E9-9B99-61B8BA99E35E}" srcOrd="0" destOrd="0" parTransId="{D43A1FEF-B4CE-4303-9A25-E6EA56096063}" sibTransId="{0AEFE355-94E5-4B73-9BD9-5BFBCACB7376}"/>
    <dgm:cxn modelId="{5E7486C0-2161-45BE-8995-3168B3FB18FC}" type="presOf" srcId="{07B19601-401B-44E9-9B99-61B8BA99E35E}" destId="{B58D7452-B8A7-47C6-A435-2C76EDE2E36E}" srcOrd="0" destOrd="0" presId="urn:microsoft.com/office/officeart/2005/8/layout/vList3"/>
    <dgm:cxn modelId="{B3D982F4-83C8-4D83-BD15-425D35F6E73F}" type="presOf" srcId="{4B0335DC-1DE5-420F-BD57-032A2A8A0987}" destId="{21520837-1E10-41CF-A0C6-53C2686DE037}" srcOrd="0" destOrd="0" presId="urn:microsoft.com/office/officeart/2005/8/layout/vList3"/>
    <dgm:cxn modelId="{804C7860-BE36-4C1E-9E19-806336F8B7D0}" type="presParOf" srcId="{21520837-1E10-41CF-A0C6-53C2686DE037}" destId="{A9A3B933-9091-42F5-99FD-4AE60680ADA7}" srcOrd="0" destOrd="0" presId="urn:microsoft.com/office/officeart/2005/8/layout/vList3"/>
    <dgm:cxn modelId="{BC2AD980-3E0B-430B-A05C-F7E460A09BAC}" type="presParOf" srcId="{A9A3B933-9091-42F5-99FD-4AE60680ADA7}" destId="{BA70ECF1-23AC-46FF-9CEC-25658AD47C57}" srcOrd="0" destOrd="0" presId="urn:microsoft.com/office/officeart/2005/8/layout/vList3"/>
    <dgm:cxn modelId="{81E57400-6753-40C5-BC63-E93C45E71CAC}" type="presParOf" srcId="{A9A3B933-9091-42F5-99FD-4AE60680ADA7}" destId="{B58D7452-B8A7-47C6-A435-2C76EDE2E36E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4B0335DC-1DE5-420F-BD57-032A2A8A0987}" type="doc">
      <dgm:prSet loTypeId="urn:microsoft.com/office/officeart/2005/8/layout/vList3" loCatId="list" qsTypeId="urn:microsoft.com/office/officeart/2005/8/quickstyle/simple2" qsCatId="simple" csTypeId="urn:microsoft.com/office/officeart/2005/8/colors/accent3_4" csCatId="accent3" phldr="1"/>
      <dgm:spPr/>
      <dgm:t>
        <a:bodyPr/>
        <a:lstStyle/>
        <a:p>
          <a:endParaRPr lang="es-ES"/>
        </a:p>
      </dgm:t>
    </dgm:pt>
    <dgm:pt modelId="{07B19601-401B-44E9-9B99-61B8BA99E35E}">
      <dgm:prSet phldrT="[Texto]" custT="1"/>
      <dgm:spPr>
        <a:scene3d>
          <a:camera prst="orthographicFront"/>
          <a:lightRig rig="threePt" dir="t"/>
        </a:scene3d>
        <a:sp3d>
          <a:bevelT w="139700" h="139700" prst="divot"/>
        </a:sp3d>
      </dgm:spPr>
      <dgm:t>
        <a:bodyPr lIns="576000" rIns="180000"/>
        <a:lstStyle/>
        <a:p>
          <a:pPr algn="just"/>
          <a:r>
            <a:rPr lang="es-ES" sz="1200"/>
            <a:t>Se aplica un cargo por transporte equivalente a S/. 0.4 por cada kilo a transportar, sólo si la ciudad es Huancayo. Caso contrario el cargo es equivalente a S/. 0.01 por cada kilo.</a:t>
          </a:r>
        </a:p>
      </dgm:t>
    </dgm:pt>
    <dgm:pt modelId="{D43A1FEF-B4CE-4303-9A25-E6EA56096063}" type="parTrans" cxnId="{99296327-D9DB-4131-B365-EE2BF4DD48FD}">
      <dgm:prSet/>
      <dgm:spPr/>
      <dgm:t>
        <a:bodyPr/>
        <a:lstStyle/>
        <a:p>
          <a:endParaRPr lang="es-ES"/>
        </a:p>
      </dgm:t>
    </dgm:pt>
    <dgm:pt modelId="{0AEFE355-94E5-4B73-9BD9-5BFBCACB7376}" type="sibTrans" cxnId="{99296327-D9DB-4131-B365-EE2BF4DD48FD}">
      <dgm:prSet/>
      <dgm:spPr/>
      <dgm:t>
        <a:bodyPr/>
        <a:lstStyle/>
        <a:p>
          <a:endParaRPr lang="es-ES"/>
        </a:p>
      </dgm:t>
    </dgm:pt>
    <dgm:pt modelId="{21520837-1E10-41CF-A0C6-53C2686DE037}" type="pres">
      <dgm:prSet presAssocID="{4B0335DC-1DE5-420F-BD57-032A2A8A0987}" presName="linearFlow" presStyleCnt="0">
        <dgm:presLayoutVars>
          <dgm:dir/>
          <dgm:resizeHandles val="exact"/>
        </dgm:presLayoutVars>
      </dgm:prSet>
      <dgm:spPr/>
    </dgm:pt>
    <dgm:pt modelId="{A9A3B933-9091-42F5-99FD-4AE60680ADA7}" type="pres">
      <dgm:prSet presAssocID="{07B19601-401B-44E9-9B99-61B8BA99E35E}" presName="composite" presStyleCnt="0"/>
      <dgm:spPr/>
    </dgm:pt>
    <dgm:pt modelId="{BA70ECF1-23AC-46FF-9CEC-25658AD47C57}" type="pres">
      <dgm:prSet presAssocID="{07B19601-401B-44E9-9B99-61B8BA99E35E}" presName="imgShp" presStyleLbl="fgImgPlace1" presStyleIdx="0" presStyleCnt="1" custScaleX="98565" custScaleY="99008" custLinFactNeighborX="-32091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58D7452-B8A7-47C6-A435-2C76EDE2E36E}" type="pres">
      <dgm:prSet presAssocID="{07B19601-401B-44E9-9B99-61B8BA99E35E}" presName="txShp" presStyleLbl="node1" presStyleIdx="0" presStyleCnt="1" custScaleX="115676" custScaleY="67278" custLinFactNeighborX="3979" custLinFactNeighborY="-742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99296327-D9DB-4131-B365-EE2BF4DD48FD}" srcId="{4B0335DC-1DE5-420F-BD57-032A2A8A0987}" destId="{07B19601-401B-44E9-9B99-61B8BA99E35E}" srcOrd="0" destOrd="0" parTransId="{D43A1FEF-B4CE-4303-9A25-E6EA56096063}" sibTransId="{0AEFE355-94E5-4B73-9BD9-5BFBCACB7376}"/>
    <dgm:cxn modelId="{488B7E8B-4CB7-46AD-A958-7B376A6C7986}" type="presOf" srcId="{4B0335DC-1DE5-420F-BD57-032A2A8A0987}" destId="{21520837-1E10-41CF-A0C6-53C2686DE037}" srcOrd="0" destOrd="0" presId="urn:microsoft.com/office/officeart/2005/8/layout/vList3"/>
    <dgm:cxn modelId="{1F01DBED-3647-4C92-8DE4-D2ECE24F1BEC}" type="presOf" srcId="{07B19601-401B-44E9-9B99-61B8BA99E35E}" destId="{B58D7452-B8A7-47C6-A435-2C76EDE2E36E}" srcOrd="0" destOrd="0" presId="urn:microsoft.com/office/officeart/2005/8/layout/vList3"/>
    <dgm:cxn modelId="{0B4F4260-5747-495B-B58E-C4597112293E}" type="presParOf" srcId="{21520837-1E10-41CF-A0C6-53C2686DE037}" destId="{A9A3B933-9091-42F5-99FD-4AE60680ADA7}" srcOrd="0" destOrd="0" presId="urn:microsoft.com/office/officeart/2005/8/layout/vList3"/>
    <dgm:cxn modelId="{D41294A4-5E30-4F8F-8CF7-6CF57CF26A54}" type="presParOf" srcId="{A9A3B933-9091-42F5-99FD-4AE60680ADA7}" destId="{BA70ECF1-23AC-46FF-9CEC-25658AD47C57}" srcOrd="0" destOrd="0" presId="urn:microsoft.com/office/officeart/2005/8/layout/vList3"/>
    <dgm:cxn modelId="{DD5FE4B4-6B2F-45C0-8B14-7909E1DD9A47}" type="presParOf" srcId="{A9A3B933-9091-42F5-99FD-4AE60680ADA7}" destId="{B58D7452-B8A7-47C6-A435-2C76EDE2E36E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4B0335DC-1DE5-420F-BD57-032A2A8A0987}" type="doc">
      <dgm:prSet loTypeId="urn:microsoft.com/office/officeart/2005/8/layout/vList3" loCatId="list" qsTypeId="urn:microsoft.com/office/officeart/2005/8/quickstyle/simple2" qsCatId="simple" csTypeId="urn:microsoft.com/office/officeart/2005/8/colors/accent2_4" csCatId="accent2" phldr="1"/>
      <dgm:spPr/>
      <dgm:t>
        <a:bodyPr/>
        <a:lstStyle/>
        <a:p>
          <a:endParaRPr lang="es-ES"/>
        </a:p>
      </dgm:t>
    </dgm:pt>
    <dgm:pt modelId="{07B19601-401B-44E9-9B99-61B8BA99E35E}">
      <dgm:prSet phldrT="[Texto]" custT="1"/>
      <dgm:spPr>
        <a:scene3d>
          <a:camera prst="orthographicFront"/>
          <a:lightRig rig="threePt" dir="t"/>
        </a:scene3d>
        <a:sp3d>
          <a:bevelT w="139700" h="139700" prst="divot"/>
        </a:sp3d>
      </dgm:spPr>
      <dgm:t>
        <a:bodyPr lIns="576000" rIns="180000"/>
        <a:lstStyle/>
        <a:p>
          <a:pPr algn="just"/>
          <a:r>
            <a:rPr lang="es-ES" sz="1200"/>
            <a:t>Encuetre la bonificación a los vendedores teniendo en cuenta lo siguiente. Si el Volumen de ventas es mayor a 50,000 y además el vendedor es de la zona Lima Sur, la bonificación será 2% de las ventas. De lo contrario la Bonificación será 0.</a:t>
          </a:r>
        </a:p>
      </dgm:t>
    </dgm:pt>
    <dgm:pt modelId="{D43A1FEF-B4CE-4303-9A25-E6EA56096063}" type="parTrans" cxnId="{99296327-D9DB-4131-B365-EE2BF4DD48FD}">
      <dgm:prSet/>
      <dgm:spPr/>
      <dgm:t>
        <a:bodyPr/>
        <a:lstStyle/>
        <a:p>
          <a:endParaRPr lang="es-ES"/>
        </a:p>
      </dgm:t>
    </dgm:pt>
    <dgm:pt modelId="{0AEFE355-94E5-4B73-9BD9-5BFBCACB7376}" type="sibTrans" cxnId="{99296327-D9DB-4131-B365-EE2BF4DD48FD}">
      <dgm:prSet/>
      <dgm:spPr/>
      <dgm:t>
        <a:bodyPr/>
        <a:lstStyle/>
        <a:p>
          <a:endParaRPr lang="es-ES"/>
        </a:p>
      </dgm:t>
    </dgm:pt>
    <dgm:pt modelId="{21520837-1E10-41CF-A0C6-53C2686DE037}" type="pres">
      <dgm:prSet presAssocID="{4B0335DC-1DE5-420F-BD57-032A2A8A0987}" presName="linearFlow" presStyleCnt="0">
        <dgm:presLayoutVars>
          <dgm:dir/>
          <dgm:resizeHandles val="exact"/>
        </dgm:presLayoutVars>
      </dgm:prSet>
      <dgm:spPr/>
    </dgm:pt>
    <dgm:pt modelId="{A9A3B933-9091-42F5-99FD-4AE60680ADA7}" type="pres">
      <dgm:prSet presAssocID="{07B19601-401B-44E9-9B99-61B8BA99E35E}" presName="composite" presStyleCnt="0"/>
      <dgm:spPr/>
    </dgm:pt>
    <dgm:pt modelId="{BA70ECF1-23AC-46FF-9CEC-25658AD47C57}" type="pres">
      <dgm:prSet presAssocID="{07B19601-401B-44E9-9B99-61B8BA99E35E}" presName="imgShp" presStyleLbl="fgImgPlace1" presStyleIdx="0" presStyleCnt="1" custScaleX="130522" custLinFactNeighborX="-27542" custLinFactNeighborY="-744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58D7452-B8A7-47C6-A435-2C76EDE2E36E}" type="pres">
      <dgm:prSet presAssocID="{07B19601-401B-44E9-9B99-61B8BA99E35E}" presName="txShp" presStyleLbl="node1" presStyleIdx="0" presStyleCnt="1" custScaleX="118819" custScaleY="76203" custLinFactNeighborX="9127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99296327-D9DB-4131-B365-EE2BF4DD48FD}" srcId="{4B0335DC-1DE5-420F-BD57-032A2A8A0987}" destId="{07B19601-401B-44E9-9B99-61B8BA99E35E}" srcOrd="0" destOrd="0" parTransId="{D43A1FEF-B4CE-4303-9A25-E6EA56096063}" sibTransId="{0AEFE355-94E5-4B73-9BD9-5BFBCACB7376}"/>
    <dgm:cxn modelId="{67F6B07B-F2BE-48A0-A960-734115C2EBC2}" type="presOf" srcId="{4B0335DC-1DE5-420F-BD57-032A2A8A0987}" destId="{21520837-1E10-41CF-A0C6-53C2686DE037}" srcOrd="0" destOrd="0" presId="urn:microsoft.com/office/officeart/2005/8/layout/vList3"/>
    <dgm:cxn modelId="{2A8A079A-6390-4148-B3ED-88790B1EE41B}" type="presOf" srcId="{07B19601-401B-44E9-9B99-61B8BA99E35E}" destId="{B58D7452-B8A7-47C6-A435-2C76EDE2E36E}" srcOrd="0" destOrd="0" presId="urn:microsoft.com/office/officeart/2005/8/layout/vList3"/>
    <dgm:cxn modelId="{4C6A6B74-8F8B-4DA3-BF44-7B809CD8B761}" type="presParOf" srcId="{21520837-1E10-41CF-A0C6-53C2686DE037}" destId="{A9A3B933-9091-42F5-99FD-4AE60680ADA7}" srcOrd="0" destOrd="0" presId="urn:microsoft.com/office/officeart/2005/8/layout/vList3"/>
    <dgm:cxn modelId="{7ED2ECCE-8EBE-49D1-AA6B-071C404088CF}" type="presParOf" srcId="{A9A3B933-9091-42F5-99FD-4AE60680ADA7}" destId="{BA70ECF1-23AC-46FF-9CEC-25658AD47C57}" srcOrd="0" destOrd="0" presId="urn:microsoft.com/office/officeart/2005/8/layout/vList3"/>
    <dgm:cxn modelId="{FDBA6941-3729-4A7B-BEB3-FD2968D7B8AA}" type="presParOf" srcId="{A9A3B933-9091-42F5-99FD-4AE60680ADA7}" destId="{B58D7452-B8A7-47C6-A435-2C76EDE2E36E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4B0335DC-1DE5-420F-BD57-032A2A8A0987}" type="doc">
      <dgm:prSet loTypeId="urn:microsoft.com/office/officeart/2005/8/layout/vList3" loCatId="list" qsTypeId="urn:microsoft.com/office/officeart/2005/8/quickstyle/simple2" qsCatId="simple" csTypeId="urn:microsoft.com/office/officeart/2005/8/colors/accent2_4" csCatId="accent2" phldr="1"/>
      <dgm:spPr/>
      <dgm:t>
        <a:bodyPr/>
        <a:lstStyle/>
        <a:p>
          <a:endParaRPr lang="es-ES"/>
        </a:p>
      </dgm:t>
    </dgm:pt>
    <dgm:pt modelId="{07B19601-401B-44E9-9B99-61B8BA99E35E}">
      <dgm:prSet phldrT="[Texto]" custT="1"/>
      <dgm:spPr>
        <a:scene3d>
          <a:camera prst="orthographicFront"/>
          <a:lightRig rig="threePt" dir="t"/>
        </a:scene3d>
        <a:sp3d>
          <a:bevelT w="139700" h="139700" prst="divot"/>
        </a:sp3d>
      </dgm:spPr>
      <dgm:t>
        <a:bodyPr lIns="576000"/>
        <a:lstStyle/>
        <a:p>
          <a:pPr algn="just"/>
          <a:r>
            <a:rPr lang="es-ES" sz="1300"/>
            <a:t>Para comunicar los cambios administrativos realizados en la empresa, se cita a los empleados a una reunión por área. Muestre la fecha de la reunión para cada empleado, tenga en cuenta la matriz de la cela A38.</a:t>
          </a:r>
        </a:p>
      </dgm:t>
    </dgm:pt>
    <dgm:pt modelId="{D43A1FEF-B4CE-4303-9A25-E6EA56096063}" type="parTrans" cxnId="{99296327-D9DB-4131-B365-EE2BF4DD48FD}">
      <dgm:prSet/>
      <dgm:spPr/>
      <dgm:t>
        <a:bodyPr/>
        <a:lstStyle/>
        <a:p>
          <a:endParaRPr lang="es-ES"/>
        </a:p>
      </dgm:t>
    </dgm:pt>
    <dgm:pt modelId="{0AEFE355-94E5-4B73-9BD9-5BFBCACB7376}" type="sibTrans" cxnId="{99296327-D9DB-4131-B365-EE2BF4DD48FD}">
      <dgm:prSet/>
      <dgm:spPr/>
      <dgm:t>
        <a:bodyPr/>
        <a:lstStyle/>
        <a:p>
          <a:endParaRPr lang="es-ES"/>
        </a:p>
      </dgm:t>
    </dgm:pt>
    <dgm:pt modelId="{21520837-1E10-41CF-A0C6-53C2686DE037}" type="pres">
      <dgm:prSet presAssocID="{4B0335DC-1DE5-420F-BD57-032A2A8A0987}" presName="linearFlow" presStyleCnt="0">
        <dgm:presLayoutVars>
          <dgm:dir/>
          <dgm:resizeHandles val="exact"/>
        </dgm:presLayoutVars>
      </dgm:prSet>
      <dgm:spPr/>
    </dgm:pt>
    <dgm:pt modelId="{A9A3B933-9091-42F5-99FD-4AE60680ADA7}" type="pres">
      <dgm:prSet presAssocID="{07B19601-401B-44E9-9B99-61B8BA99E35E}" presName="composite" presStyleCnt="0"/>
      <dgm:spPr/>
    </dgm:pt>
    <dgm:pt modelId="{BA70ECF1-23AC-46FF-9CEC-25658AD47C57}" type="pres">
      <dgm:prSet presAssocID="{07B19601-401B-44E9-9B99-61B8BA99E35E}" presName="imgShp" presStyleLbl="fgImgPlace1" presStyleIdx="0" presStyleCnt="1" custScaleX="123289" custLinFactNeighborX="-23076" custLinFactNeighborY="-2978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58D7452-B8A7-47C6-A435-2C76EDE2E36E}" type="pres">
      <dgm:prSet presAssocID="{07B19601-401B-44E9-9B99-61B8BA99E35E}" presName="txShp" presStyleLbl="node1" presStyleIdx="0" presStyleCnt="1" custScaleX="111803" custScaleY="80744" custLinFactNeighborX="7591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99296327-D9DB-4131-B365-EE2BF4DD48FD}" srcId="{4B0335DC-1DE5-420F-BD57-032A2A8A0987}" destId="{07B19601-401B-44E9-9B99-61B8BA99E35E}" srcOrd="0" destOrd="0" parTransId="{D43A1FEF-B4CE-4303-9A25-E6EA56096063}" sibTransId="{0AEFE355-94E5-4B73-9BD9-5BFBCACB7376}"/>
    <dgm:cxn modelId="{AAC3E936-CCDB-4EF9-9233-43D0E86EB73D}" type="presOf" srcId="{07B19601-401B-44E9-9B99-61B8BA99E35E}" destId="{B58D7452-B8A7-47C6-A435-2C76EDE2E36E}" srcOrd="0" destOrd="0" presId="urn:microsoft.com/office/officeart/2005/8/layout/vList3"/>
    <dgm:cxn modelId="{BD319EDA-F945-4557-B2CC-FB99BA254E4B}" type="presOf" srcId="{4B0335DC-1DE5-420F-BD57-032A2A8A0987}" destId="{21520837-1E10-41CF-A0C6-53C2686DE037}" srcOrd="0" destOrd="0" presId="urn:microsoft.com/office/officeart/2005/8/layout/vList3"/>
    <dgm:cxn modelId="{55C00FF7-A2F5-404D-B895-EFEB80EB0541}" type="presParOf" srcId="{21520837-1E10-41CF-A0C6-53C2686DE037}" destId="{A9A3B933-9091-42F5-99FD-4AE60680ADA7}" srcOrd="0" destOrd="0" presId="urn:microsoft.com/office/officeart/2005/8/layout/vList3"/>
    <dgm:cxn modelId="{1B1BCB66-E010-4FDE-BF67-2ED97E25751D}" type="presParOf" srcId="{A9A3B933-9091-42F5-99FD-4AE60680ADA7}" destId="{BA70ECF1-23AC-46FF-9CEC-25658AD47C57}" srcOrd="0" destOrd="0" presId="urn:microsoft.com/office/officeart/2005/8/layout/vList3"/>
    <dgm:cxn modelId="{1A5DA4CF-F073-43E4-947D-5127BFBD2EBD}" type="presParOf" srcId="{A9A3B933-9091-42F5-99FD-4AE60680ADA7}" destId="{B58D7452-B8A7-47C6-A435-2C76EDE2E36E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4B0335DC-1DE5-420F-BD57-032A2A8A0987}" type="doc">
      <dgm:prSet loTypeId="urn:microsoft.com/office/officeart/2005/8/layout/vList3" loCatId="list" qsTypeId="urn:microsoft.com/office/officeart/2005/8/quickstyle/simple2" qsCatId="simple" csTypeId="urn:microsoft.com/office/officeart/2005/8/colors/accent0_3" csCatId="mainScheme" phldr="1"/>
      <dgm:spPr/>
      <dgm:t>
        <a:bodyPr/>
        <a:lstStyle/>
        <a:p>
          <a:endParaRPr lang="es-ES"/>
        </a:p>
      </dgm:t>
    </dgm:pt>
    <dgm:pt modelId="{07B19601-401B-44E9-9B99-61B8BA99E35E}">
      <dgm:prSet phldrT="[Texto]" custT="1"/>
      <dgm:spPr>
        <a:scene3d>
          <a:camera prst="orthographicFront"/>
          <a:lightRig rig="threePt" dir="t"/>
        </a:scene3d>
        <a:sp3d>
          <a:bevelT w="139700" h="139700" prst="divot"/>
        </a:sp3d>
      </dgm:spPr>
      <dgm:t>
        <a:bodyPr lIns="576000"/>
        <a:lstStyle/>
        <a:p>
          <a:pPr algn="just"/>
          <a:r>
            <a:rPr lang="es-ES" sz="1300"/>
            <a:t>Encuentre la comisión y la bonificación para cada vendedor, tomando en cuenta las tablas Comisiones y bonificaciones.</a:t>
          </a:r>
        </a:p>
      </dgm:t>
    </dgm:pt>
    <dgm:pt modelId="{D43A1FEF-B4CE-4303-9A25-E6EA56096063}" type="parTrans" cxnId="{99296327-D9DB-4131-B365-EE2BF4DD48FD}">
      <dgm:prSet/>
      <dgm:spPr/>
      <dgm:t>
        <a:bodyPr/>
        <a:lstStyle/>
        <a:p>
          <a:endParaRPr lang="es-ES"/>
        </a:p>
      </dgm:t>
    </dgm:pt>
    <dgm:pt modelId="{0AEFE355-94E5-4B73-9BD9-5BFBCACB7376}" type="sibTrans" cxnId="{99296327-D9DB-4131-B365-EE2BF4DD48FD}">
      <dgm:prSet/>
      <dgm:spPr/>
      <dgm:t>
        <a:bodyPr/>
        <a:lstStyle/>
        <a:p>
          <a:endParaRPr lang="es-ES"/>
        </a:p>
      </dgm:t>
    </dgm:pt>
    <dgm:pt modelId="{21520837-1E10-41CF-A0C6-53C2686DE037}" type="pres">
      <dgm:prSet presAssocID="{4B0335DC-1DE5-420F-BD57-032A2A8A0987}" presName="linearFlow" presStyleCnt="0">
        <dgm:presLayoutVars>
          <dgm:dir/>
          <dgm:resizeHandles val="exact"/>
        </dgm:presLayoutVars>
      </dgm:prSet>
      <dgm:spPr/>
    </dgm:pt>
    <dgm:pt modelId="{A9A3B933-9091-42F5-99FD-4AE60680ADA7}" type="pres">
      <dgm:prSet presAssocID="{07B19601-401B-44E9-9B99-61B8BA99E35E}" presName="composite" presStyleCnt="0"/>
      <dgm:spPr/>
    </dgm:pt>
    <dgm:pt modelId="{BA70ECF1-23AC-46FF-9CEC-25658AD47C57}" type="pres">
      <dgm:prSet presAssocID="{07B19601-401B-44E9-9B99-61B8BA99E35E}" presName="imgShp" presStyleLbl="fgImgPlace1" presStyleIdx="0" presStyleCnt="1" custScaleX="132934" custLinFactNeighborX="-24540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58D7452-B8A7-47C6-A435-2C76EDE2E36E}" type="pres">
      <dgm:prSet presAssocID="{07B19601-401B-44E9-9B99-61B8BA99E35E}" presName="txShp" presStyleLbl="node1" presStyleIdx="0" presStyleCnt="1" custScaleX="111803" custScaleY="65092" custLinFactNeighborX="7591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69BE7C01-885E-4E4C-882A-B95C8D7912C2}" type="presOf" srcId="{07B19601-401B-44E9-9B99-61B8BA99E35E}" destId="{B58D7452-B8A7-47C6-A435-2C76EDE2E36E}" srcOrd="0" destOrd="0" presId="urn:microsoft.com/office/officeart/2005/8/layout/vList3"/>
    <dgm:cxn modelId="{99296327-D9DB-4131-B365-EE2BF4DD48FD}" srcId="{4B0335DC-1DE5-420F-BD57-032A2A8A0987}" destId="{07B19601-401B-44E9-9B99-61B8BA99E35E}" srcOrd="0" destOrd="0" parTransId="{D43A1FEF-B4CE-4303-9A25-E6EA56096063}" sibTransId="{0AEFE355-94E5-4B73-9BD9-5BFBCACB7376}"/>
    <dgm:cxn modelId="{42A9CFA6-7A23-4ED0-81F0-528914152CF1}" type="presOf" srcId="{4B0335DC-1DE5-420F-BD57-032A2A8A0987}" destId="{21520837-1E10-41CF-A0C6-53C2686DE037}" srcOrd="0" destOrd="0" presId="urn:microsoft.com/office/officeart/2005/8/layout/vList3"/>
    <dgm:cxn modelId="{B900ABC0-F167-4298-859E-91F7D91B9B8B}" type="presParOf" srcId="{21520837-1E10-41CF-A0C6-53C2686DE037}" destId="{A9A3B933-9091-42F5-99FD-4AE60680ADA7}" srcOrd="0" destOrd="0" presId="urn:microsoft.com/office/officeart/2005/8/layout/vList3"/>
    <dgm:cxn modelId="{1A75CA4A-5C5C-4882-8E1C-6DCA53EA2CC5}" type="presParOf" srcId="{A9A3B933-9091-42F5-99FD-4AE60680ADA7}" destId="{BA70ECF1-23AC-46FF-9CEC-25658AD47C57}" srcOrd="0" destOrd="0" presId="urn:microsoft.com/office/officeart/2005/8/layout/vList3"/>
    <dgm:cxn modelId="{D1EBD930-1E30-4220-A5EE-168F060D5C2B}" type="presParOf" srcId="{A9A3B933-9091-42F5-99FD-4AE60680ADA7}" destId="{B58D7452-B8A7-47C6-A435-2C76EDE2E36E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4B0335DC-1DE5-420F-BD57-032A2A8A0987}" type="doc">
      <dgm:prSet loTypeId="urn:microsoft.com/office/officeart/2005/8/layout/vList3" loCatId="list" qsTypeId="urn:microsoft.com/office/officeart/2005/8/quickstyle/simple2" qsCatId="simple" csTypeId="urn:microsoft.com/office/officeart/2005/8/colors/accent3_4" csCatId="accent3" phldr="1"/>
      <dgm:spPr/>
      <dgm:t>
        <a:bodyPr/>
        <a:lstStyle/>
        <a:p>
          <a:endParaRPr lang="es-ES"/>
        </a:p>
      </dgm:t>
    </dgm:pt>
    <dgm:pt modelId="{07B19601-401B-44E9-9B99-61B8BA99E35E}">
      <dgm:prSet phldrT="[Texto]" custT="1"/>
      <dgm:spPr>
        <a:scene3d>
          <a:camera prst="orthographicFront"/>
          <a:lightRig rig="threePt" dir="t"/>
        </a:scene3d>
        <a:sp3d>
          <a:bevelT w="139700" h="139700" prst="divot"/>
        </a:sp3d>
      </dgm:spPr>
      <dgm:t>
        <a:bodyPr lIns="576000"/>
        <a:lstStyle/>
        <a:p>
          <a:pPr algn="just"/>
          <a:r>
            <a:rPr lang="es-ES" sz="1200"/>
            <a:t>Encuentre el nombre de la empresa y la dirección conociendo sólo el Código.</a:t>
          </a:r>
        </a:p>
      </dgm:t>
    </dgm:pt>
    <dgm:pt modelId="{D43A1FEF-B4CE-4303-9A25-E6EA56096063}" type="parTrans" cxnId="{99296327-D9DB-4131-B365-EE2BF4DD48FD}">
      <dgm:prSet/>
      <dgm:spPr/>
      <dgm:t>
        <a:bodyPr/>
        <a:lstStyle/>
        <a:p>
          <a:endParaRPr lang="es-ES"/>
        </a:p>
      </dgm:t>
    </dgm:pt>
    <dgm:pt modelId="{0AEFE355-94E5-4B73-9BD9-5BFBCACB7376}" type="sibTrans" cxnId="{99296327-D9DB-4131-B365-EE2BF4DD48FD}">
      <dgm:prSet/>
      <dgm:spPr/>
      <dgm:t>
        <a:bodyPr/>
        <a:lstStyle/>
        <a:p>
          <a:endParaRPr lang="es-ES"/>
        </a:p>
      </dgm:t>
    </dgm:pt>
    <dgm:pt modelId="{21520837-1E10-41CF-A0C6-53C2686DE037}" type="pres">
      <dgm:prSet presAssocID="{4B0335DC-1DE5-420F-BD57-032A2A8A0987}" presName="linearFlow" presStyleCnt="0">
        <dgm:presLayoutVars>
          <dgm:dir/>
          <dgm:resizeHandles val="exact"/>
        </dgm:presLayoutVars>
      </dgm:prSet>
      <dgm:spPr/>
    </dgm:pt>
    <dgm:pt modelId="{A9A3B933-9091-42F5-99FD-4AE60680ADA7}" type="pres">
      <dgm:prSet presAssocID="{07B19601-401B-44E9-9B99-61B8BA99E35E}" presName="composite" presStyleCnt="0"/>
      <dgm:spPr/>
    </dgm:pt>
    <dgm:pt modelId="{BA70ECF1-23AC-46FF-9CEC-25658AD47C57}" type="pres">
      <dgm:prSet presAssocID="{07B19601-401B-44E9-9B99-61B8BA99E35E}" presName="imgShp" presStyleLbl="fgImgPlace1" presStyleIdx="0" presStyleCnt="1" custScaleX="118841" custLinFactNeighborX="-8661" custLinFactNeighborY="-2362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B58D7452-B8A7-47C6-A435-2C76EDE2E36E}" type="pres">
      <dgm:prSet presAssocID="{07B19601-401B-44E9-9B99-61B8BA99E35E}" presName="txShp" presStyleLbl="node1" presStyleIdx="0" presStyleCnt="1" custScaleX="105158" custScaleY="65092" custLinFactNeighborX="7591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55351707-FD15-4B6D-A687-4B86C3D11C98}" type="presOf" srcId="{07B19601-401B-44E9-9B99-61B8BA99E35E}" destId="{B58D7452-B8A7-47C6-A435-2C76EDE2E36E}" srcOrd="0" destOrd="0" presId="urn:microsoft.com/office/officeart/2005/8/layout/vList3"/>
    <dgm:cxn modelId="{99296327-D9DB-4131-B365-EE2BF4DD48FD}" srcId="{4B0335DC-1DE5-420F-BD57-032A2A8A0987}" destId="{07B19601-401B-44E9-9B99-61B8BA99E35E}" srcOrd="0" destOrd="0" parTransId="{D43A1FEF-B4CE-4303-9A25-E6EA56096063}" sibTransId="{0AEFE355-94E5-4B73-9BD9-5BFBCACB7376}"/>
    <dgm:cxn modelId="{CFE7B02D-35BB-4CB8-86C8-2447FB553F32}" type="presOf" srcId="{4B0335DC-1DE5-420F-BD57-032A2A8A0987}" destId="{21520837-1E10-41CF-A0C6-53C2686DE037}" srcOrd="0" destOrd="0" presId="urn:microsoft.com/office/officeart/2005/8/layout/vList3"/>
    <dgm:cxn modelId="{F2B211A3-3622-4F89-BD5C-1163B53DEE6F}" type="presParOf" srcId="{21520837-1E10-41CF-A0C6-53C2686DE037}" destId="{A9A3B933-9091-42F5-99FD-4AE60680ADA7}" srcOrd="0" destOrd="0" presId="urn:microsoft.com/office/officeart/2005/8/layout/vList3"/>
    <dgm:cxn modelId="{619E4C6A-C7E2-43D6-9770-5DBA92D7E5CE}" type="presParOf" srcId="{A9A3B933-9091-42F5-99FD-4AE60680ADA7}" destId="{BA70ECF1-23AC-46FF-9CEC-25658AD47C57}" srcOrd="0" destOrd="0" presId="urn:microsoft.com/office/officeart/2005/8/layout/vList3"/>
    <dgm:cxn modelId="{CD561443-0185-444A-A71E-26DA523E38B2}" type="presParOf" srcId="{A9A3B933-9091-42F5-99FD-4AE60680ADA7}" destId="{B58D7452-B8A7-47C6-A435-2C76EDE2E36E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05687B2-7AE9-4C67-9863-0E5661A66B6E}">
      <dsp:nvSpPr>
        <dsp:cNvPr id="0" name=""/>
        <dsp:cNvSpPr/>
      </dsp:nvSpPr>
      <dsp:spPr>
        <a:xfrm>
          <a:off x="0" y="0"/>
          <a:ext cx="5538787" cy="1066800"/>
        </a:xfrm>
        <a:prstGeom prst="roundRect">
          <a:avLst>
            <a:gd name="adj" fmla="val 10000"/>
          </a:avLst>
        </a:prstGeom>
        <a:solidFill>
          <a:schemeClr val="tx1">
            <a:lumMod val="50000"/>
            <a:lumOff val="5000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>
          <a:bevelT w="139700" h="139700" prst="divot"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288000" tIns="49530" rIns="49530" bIns="49530" numCol="1" spcCol="1270" anchor="ctr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b="1" kern="1200">
              <a:solidFill>
                <a:schemeClr val="accent4">
                  <a:lumMod val="20000"/>
                  <a:lumOff val="80000"/>
                </a:schemeClr>
              </a:solidFill>
            </a:rPr>
            <a:t>Con funciones de texto, cambia los datos del alumno Johnny Martin Pacheco Contreras, para la admisión a la UNIVERSIDAD NACIONAL DE INGENIERÍA</a:t>
          </a:r>
        </a:p>
      </dsp:txBody>
      <dsp:txXfrm>
        <a:off x="1214437" y="0"/>
        <a:ext cx="4324350" cy="1066800"/>
      </dsp:txXfrm>
    </dsp:sp>
    <dsp:sp modelId="{87A0454C-8E66-4C44-A6A7-5D2F48B9264B}">
      <dsp:nvSpPr>
        <dsp:cNvPr id="0" name=""/>
        <dsp:cNvSpPr/>
      </dsp:nvSpPr>
      <dsp:spPr>
        <a:xfrm>
          <a:off x="187130" y="85728"/>
          <a:ext cx="1132515" cy="895343"/>
        </a:xfrm>
        <a:prstGeom prst="ellipse">
          <a:avLst/>
        </a:prstGeom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4000" b="-24000"/>
          </a:stretch>
        </a:blip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8D7452-B8A7-47C6-A435-2C76EDE2E36E}">
      <dsp:nvSpPr>
        <dsp:cNvPr id="0" name=""/>
        <dsp:cNvSpPr/>
      </dsp:nvSpPr>
      <dsp:spPr>
        <a:xfrm rot="10800000">
          <a:off x="1301847" y="166351"/>
          <a:ext cx="3711837" cy="910027"/>
        </a:xfrm>
        <a:prstGeom prst="roundRect">
          <a:avLst/>
        </a:prstGeom>
        <a:solidFill>
          <a:schemeClr val="accent2">
            <a:shade val="5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>
          <a:bevelT w="139700" h="139700" prst="divot"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6000" tIns="45720" rIns="85344" bIns="45720" numCol="1" spcCol="1270" anchor="ctr" anchorCtr="0">
          <a:noAutofit/>
        </a:bodyPr>
        <a:lstStyle/>
        <a:p>
          <a:pPr marL="0" lvl="0" indent="0" algn="just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200" kern="1200"/>
            <a:t>Si el Sueldo es mayor a S/. 1,500 entonces el Impuesto Renta será igual al 15% del Sueldo caso contrario será igual a 0.</a:t>
          </a:r>
        </a:p>
      </dsp:txBody>
      <dsp:txXfrm rot="10800000">
        <a:off x="1346271" y="210775"/>
        <a:ext cx="3622989" cy="821179"/>
      </dsp:txXfrm>
    </dsp:sp>
    <dsp:sp modelId="{BA70ECF1-23AC-46FF-9CEC-25658AD47C57}">
      <dsp:nvSpPr>
        <dsp:cNvPr id="0" name=""/>
        <dsp:cNvSpPr/>
      </dsp:nvSpPr>
      <dsp:spPr>
        <a:xfrm>
          <a:off x="181023" y="110901"/>
          <a:ext cx="1585650" cy="1039420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8D7452-B8A7-47C6-A435-2C76EDE2E36E}">
      <dsp:nvSpPr>
        <dsp:cNvPr id="0" name=""/>
        <dsp:cNvSpPr/>
      </dsp:nvSpPr>
      <dsp:spPr>
        <a:xfrm rot="10800000">
          <a:off x="1022829" y="194102"/>
          <a:ext cx="4761296" cy="836084"/>
        </a:xfrm>
        <a:prstGeom prst="roundRect">
          <a:avLst/>
        </a:prstGeom>
        <a:solidFill>
          <a:schemeClr val="accent3">
            <a:shade val="5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>
          <a:bevelT w="139700" h="139700" prst="divot"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6000" tIns="45720" rIns="180000" bIns="45720" numCol="1" spcCol="1270" anchor="ctr" anchorCtr="0">
          <a:noAutofit/>
        </a:bodyPr>
        <a:lstStyle/>
        <a:p>
          <a:pPr marL="0" lvl="0" indent="0" algn="just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200" kern="1200"/>
            <a:t>Se aplica un cargo por transporte equivalente a S/. 0.4 por cada kilo a transportar, sólo si la ciudad es Huancayo. Caso contrario el cargo es equivalente a S/. 0.01 por cada kilo.</a:t>
          </a:r>
        </a:p>
      </dsp:txBody>
      <dsp:txXfrm rot="10800000">
        <a:off x="1063643" y="234916"/>
        <a:ext cx="4679668" cy="754456"/>
      </dsp:txXfrm>
    </dsp:sp>
    <dsp:sp modelId="{BA70ECF1-23AC-46FF-9CEC-25658AD47C57}">
      <dsp:nvSpPr>
        <dsp:cNvPr id="0" name=""/>
        <dsp:cNvSpPr/>
      </dsp:nvSpPr>
      <dsp:spPr>
        <a:xfrm>
          <a:off x="170414" y="6163"/>
          <a:ext cx="1224897" cy="1230403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8D7452-B8A7-47C6-A435-2C76EDE2E36E}">
      <dsp:nvSpPr>
        <dsp:cNvPr id="0" name=""/>
        <dsp:cNvSpPr/>
      </dsp:nvSpPr>
      <dsp:spPr>
        <a:xfrm rot="10800000">
          <a:off x="1295027" y="152399"/>
          <a:ext cx="5158950" cy="976031"/>
        </a:xfrm>
        <a:prstGeom prst="roundRect">
          <a:avLst/>
        </a:prstGeom>
        <a:solidFill>
          <a:schemeClr val="accent2">
            <a:shade val="5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>
          <a:bevelT w="139700" h="139700" prst="divot"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6000" tIns="45720" rIns="180000" bIns="45720" numCol="1" spcCol="1270" anchor="ctr" anchorCtr="0">
          <a:noAutofit/>
        </a:bodyPr>
        <a:lstStyle/>
        <a:p>
          <a:pPr marL="0" lvl="0" indent="0" algn="just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200" kern="1200"/>
            <a:t>Encuetre la bonificación a los vendedores teniendo en cuenta lo siguiente. Si el Volumen de ventas es mayor a 50,000 y además el vendedor es de la zona Lima Sur, la bonificación será 2% de las ventas. De lo contrario la Bonificación será 0.</a:t>
          </a:r>
        </a:p>
      </dsp:txBody>
      <dsp:txXfrm rot="10800000">
        <a:off x="1342673" y="200045"/>
        <a:ext cx="5063658" cy="880739"/>
      </dsp:txXfrm>
    </dsp:sp>
    <dsp:sp modelId="{BA70ECF1-23AC-46FF-9CEC-25658AD47C57}">
      <dsp:nvSpPr>
        <dsp:cNvPr id="0" name=""/>
        <dsp:cNvSpPr/>
      </dsp:nvSpPr>
      <dsp:spPr>
        <a:xfrm>
          <a:off x="118643" y="0"/>
          <a:ext cx="1671766" cy="1280831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8D7452-B8A7-47C6-A435-2C76EDE2E36E}">
      <dsp:nvSpPr>
        <dsp:cNvPr id="0" name=""/>
        <dsp:cNvSpPr/>
      </dsp:nvSpPr>
      <dsp:spPr>
        <a:xfrm rot="10800000">
          <a:off x="1280188" y="123823"/>
          <a:ext cx="4139068" cy="1033184"/>
        </a:xfrm>
        <a:prstGeom prst="roundRect">
          <a:avLst/>
        </a:prstGeom>
        <a:solidFill>
          <a:schemeClr val="accent2">
            <a:shade val="5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>
          <a:bevelT w="139700" h="139700" prst="divot"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6000" tIns="49530" rIns="92456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kern="1200"/>
            <a:t>Para comunicar los cambios administrativos realizados en la empresa, se cita a los empleados a una reunión por área. Muestre la fecha de la reunión para cada empleado, tenga en cuenta la matriz de la cela A38.</a:t>
          </a:r>
        </a:p>
      </dsp:txBody>
      <dsp:txXfrm rot="10800000">
        <a:off x="1330624" y="174259"/>
        <a:ext cx="4038196" cy="932312"/>
      </dsp:txXfrm>
    </dsp:sp>
    <dsp:sp modelId="{BA70ECF1-23AC-46FF-9CEC-25658AD47C57}">
      <dsp:nvSpPr>
        <dsp:cNvPr id="0" name=""/>
        <dsp:cNvSpPr/>
      </dsp:nvSpPr>
      <dsp:spPr>
        <a:xfrm>
          <a:off x="133574" y="0"/>
          <a:ext cx="1577581" cy="1279580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8D7452-B8A7-47C6-A435-2C76EDE2E36E}">
      <dsp:nvSpPr>
        <dsp:cNvPr id="0" name=""/>
        <dsp:cNvSpPr/>
      </dsp:nvSpPr>
      <dsp:spPr>
        <a:xfrm rot="10800000">
          <a:off x="1314112" y="217786"/>
          <a:ext cx="4202804" cy="812201"/>
        </a:xfrm>
        <a:prstGeom prst="round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>
          <a:bevelT w="139700" h="139700" prst="divot"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6000" tIns="49530" rIns="92456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kern="1200"/>
            <a:t>Encuentre la comisión y la bonificación para cada vendedor, tomando en cuenta las tablas Comisiones y bonificaciones.</a:t>
          </a:r>
        </a:p>
      </dsp:txBody>
      <dsp:txXfrm rot="10800000">
        <a:off x="1353760" y="257434"/>
        <a:ext cx="4123508" cy="732905"/>
      </dsp:txXfrm>
    </dsp:sp>
    <dsp:sp modelId="{BA70ECF1-23AC-46FF-9CEC-25658AD47C57}">
      <dsp:nvSpPr>
        <dsp:cNvPr id="0" name=""/>
        <dsp:cNvSpPr/>
      </dsp:nvSpPr>
      <dsp:spPr>
        <a:xfrm>
          <a:off x="115039" y="0"/>
          <a:ext cx="1658717" cy="1247775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1905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8D7452-B8A7-47C6-A435-2C76EDE2E36E}">
      <dsp:nvSpPr>
        <dsp:cNvPr id="0" name=""/>
        <dsp:cNvSpPr/>
      </dsp:nvSpPr>
      <dsp:spPr>
        <a:xfrm rot="10800000">
          <a:off x="1065741" y="210113"/>
          <a:ext cx="2575568" cy="783585"/>
        </a:xfrm>
        <a:prstGeom prst="roundRect">
          <a:avLst/>
        </a:prstGeom>
        <a:solidFill>
          <a:schemeClr val="accent3">
            <a:shade val="5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>
          <a:bevelT w="139700" h="139700" prst="divot"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6000" tIns="45720" rIns="85344" bIns="45720" numCol="1" spcCol="1270" anchor="ctr" anchorCtr="0">
          <a:noAutofit/>
        </a:bodyPr>
        <a:lstStyle/>
        <a:p>
          <a:pPr marL="0" lvl="0" indent="0" algn="just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200" kern="1200"/>
            <a:t>Encuentre el nombre de la empresa y la dirección conociendo sólo el Código.</a:t>
          </a:r>
        </a:p>
      </dsp:txBody>
      <dsp:txXfrm rot="10800000">
        <a:off x="1103992" y="248364"/>
        <a:ext cx="2499066" cy="707083"/>
      </dsp:txXfrm>
    </dsp:sp>
    <dsp:sp modelId="{BA70ECF1-23AC-46FF-9CEC-25658AD47C57}">
      <dsp:nvSpPr>
        <dsp:cNvPr id="0" name=""/>
        <dsp:cNvSpPr/>
      </dsp:nvSpPr>
      <dsp:spPr>
        <a:xfrm>
          <a:off x="123412" y="0"/>
          <a:ext cx="1430623" cy="1203813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4">
  <dgm:title val=""/>
  <dgm:desc val=""/>
  <dgm:catLst>
    <dgm:cat type="list" pri="13000"/>
    <dgm:cat type="picture" pri="26000"/>
    <dgm:cat type="pictureconvert" pri="26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resizeHandles val="exact"/>
    </dgm:varLst>
    <dgm:alg type="lin">
      <dgm:param type="linDir" val="fromT"/>
      <dgm:param type="vertAlign" val="t"/>
    </dgm:alg>
    <dgm:shape xmlns:r="http://schemas.openxmlformats.org/officeDocument/2006/relationships" r:blip="">
      <dgm:adjLst/>
    </dgm:shape>
    <dgm:presOf/>
    <dgm:constrLst>
      <dgm:constr type="w" for="ch" forName="comp" refType="w"/>
      <dgm:constr type="h" for="ch" forName="comp" refType="h"/>
      <dgm:constr type="h" for="ch" forName="spacer" refType="h" refFor="ch" refForName="comp" op="equ" fact="0.1"/>
      <dgm:constr type="primFontSz" for="des" forName="text" op="equ" val="65"/>
    </dgm:constrLst>
    <dgm:ruleLst/>
    <dgm:forEach name="Name0" axis="ch" ptType="node">
      <dgm:layoutNode name="comp" styleLbl="node1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l" for="ch" forName="img" refType="h" refFor="ch" refForName="box" fact="0.1"/>
              <dgm:constr type="h" for="ch" forName="text" refType="h"/>
              <dgm:constr type="l" for="ch" forName="text" refType="r" refFor="ch" refForName="img"/>
              <dgm:constr type="r" for="ch" forName="text" refType="w"/>
            </dgm:constrLst>
          </dgm:if>
          <dgm:else name="Name3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r" for="ch" forName="img" refType="w" refFor="ch" refForName="box"/>
              <dgm:constr type="rOff" for="ch" forName="img" refType="h" refFor="ch" refForName="box" fact="-0.1"/>
              <dgm:constr type="h" for="ch" forName="text" refType="h"/>
              <dgm:constr type="r" for="ch" forName="text" refType="l" refFor="ch" refForName="img"/>
              <dgm:constr type="l" for="ch" forName="text"/>
            </dgm:constrLst>
          </dgm:else>
        </dgm:choose>
        <dgm:ruleLst/>
        <dgm:layoutNode name="box" styleLbl="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/>
          <dgm:ruleLst/>
        </dgm:layoutNode>
        <dgm:layoutNode name="img" styleLbl="f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ext">
          <dgm:varLst>
            <dgm:bulletEnabled val="1"/>
          </dgm:varLst>
          <dgm:alg type="tx">
            <dgm:param type="parTxLTRAlign" val="l"/>
            <dgm:param type="parTxRTLAlign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Name4" axis="followSib" ptType="sibTrans" cnt="1">
        <dgm:layoutNode name="spacer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image" Target="../media/image4.png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6" Type="http://schemas.openxmlformats.org/officeDocument/2006/relationships/image" Target="../media/image6.png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6" Type="http://schemas.openxmlformats.org/officeDocument/2006/relationships/image" Target="../media/image9.png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6.xml"/><Relationship Id="rId2" Type="http://schemas.openxmlformats.org/officeDocument/2006/relationships/diagramLayout" Target="../diagrams/layout6.xml"/><Relationship Id="rId1" Type="http://schemas.openxmlformats.org/officeDocument/2006/relationships/diagramData" Target="../diagrams/data6.xml"/><Relationship Id="rId5" Type="http://schemas.microsoft.com/office/2007/relationships/diagramDrawing" Target="../diagrams/drawing6.xml"/><Relationship Id="rId4" Type="http://schemas.openxmlformats.org/officeDocument/2006/relationships/diagramColors" Target="../diagrams/colors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7.xml"/><Relationship Id="rId2" Type="http://schemas.openxmlformats.org/officeDocument/2006/relationships/diagramLayout" Target="../diagrams/layout7.xml"/><Relationship Id="rId1" Type="http://schemas.openxmlformats.org/officeDocument/2006/relationships/diagramData" Target="../diagrams/data7.xml"/><Relationship Id="rId5" Type="http://schemas.microsoft.com/office/2007/relationships/diagramDrawing" Target="../diagrams/drawing7.xml"/><Relationship Id="rId4" Type="http://schemas.openxmlformats.org/officeDocument/2006/relationships/diagramColors" Target="../diagrams/colors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104775</xdr:rowOff>
    </xdr:from>
    <xdr:to>
      <xdr:col>3</xdr:col>
      <xdr:colOff>1897063</xdr:colOff>
      <xdr:row>6</xdr:row>
      <xdr:rowOff>28575</xdr:rowOff>
    </xdr:to>
    <xdr:graphicFrame macro="">
      <xdr:nvGraphicFramePr>
        <xdr:cNvPr id="2" name="5 Diagrama">
          <a:extLst>
            <a:ext uri="{FF2B5EF4-FFF2-40B4-BE49-F238E27FC236}">
              <a16:creationId xmlns:a16="http://schemas.microsoft.com/office/drawing/2014/main" id="{29575D87-C4E5-4F14-9AEA-6AFC48D1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9526</xdr:colOff>
      <xdr:row>6</xdr:row>
      <xdr:rowOff>126755</xdr:rowOff>
    </xdr:from>
    <xdr:to>
      <xdr:col>8</xdr:col>
      <xdr:colOff>1200150</xdr:colOff>
      <xdr:row>13</xdr:row>
      <xdr:rowOff>155331</xdr:rowOff>
    </xdr:to>
    <xdr:grpSp>
      <xdr:nvGrpSpPr>
        <xdr:cNvPr id="2" name="4 Grupo">
          <a:extLst>
            <a:ext uri="{FF2B5EF4-FFF2-40B4-BE49-F238E27FC236}">
              <a16:creationId xmlns:a16="http://schemas.microsoft.com/office/drawing/2014/main" id="{0B508F4E-B8D9-47B3-AB9F-4F8826E1D31C}"/>
            </a:ext>
          </a:extLst>
        </xdr:cNvPr>
        <xdr:cNvGrpSpPr/>
      </xdr:nvGrpSpPr>
      <xdr:grpSpPr>
        <a:xfrm>
          <a:off x="5614622" y="1299063"/>
          <a:ext cx="3124932" cy="1252172"/>
          <a:chOff x="4781551" y="304800"/>
          <a:chExt cx="3124199" cy="1257300"/>
        </a:xfrm>
      </xdr:grpSpPr>
      <xdr:sp macro="" textlink="">
        <xdr:nvSpPr>
          <xdr:cNvPr id="3" name="2 Rectángulo redondeado">
            <a:extLst>
              <a:ext uri="{FF2B5EF4-FFF2-40B4-BE49-F238E27FC236}">
                <a16:creationId xmlns:a16="http://schemas.microsoft.com/office/drawing/2014/main" id="{78551526-0897-8536-5C79-950CACA8CFD2}"/>
              </a:ext>
            </a:extLst>
          </xdr:cNvPr>
          <xdr:cNvSpPr/>
        </xdr:nvSpPr>
        <xdr:spPr>
          <a:xfrm>
            <a:off x="4781551" y="304800"/>
            <a:ext cx="3124199" cy="12573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39700" h="139700" prst="divot"/>
          </a:sp3d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rIns="1080000" rtlCol="0" anchor="ctr"/>
          <a:lstStyle/>
          <a:p>
            <a:pPr algn="l"/>
            <a:r>
              <a:rPr lang="es-PE" sz="1100"/>
              <a:t>Recibes una multa</a:t>
            </a:r>
            <a:r>
              <a:rPr lang="es-PE" sz="1100" baseline="0"/>
              <a:t> de transito frente a Cibertec, te dan 90 días para pagar. Encuentra la nueva fecha de pago con las siguientes variantes.</a:t>
            </a:r>
            <a:endParaRPr lang="es-PE" sz="1100"/>
          </a:p>
        </xdr:txBody>
      </xdr:sp>
      <xdr:pic>
        <xdr:nvPicPr>
          <xdr:cNvPr id="4" name="Picture 2" descr="H:\Documents and Settings\dca\Configuración local\Archivos temporales de Internet\Content.IE5\05UJ4LUN\dglxasset[4].aspx">
            <a:extLst>
              <a:ext uri="{FF2B5EF4-FFF2-40B4-BE49-F238E27FC236}">
                <a16:creationId xmlns:a16="http://schemas.microsoft.com/office/drawing/2014/main" id="{6EFF9524-EB71-42E5-7C7B-13E9C3E0B1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6942852" y="381985"/>
            <a:ext cx="666271" cy="1105556"/>
          </a:xfrm>
          <a:prstGeom prst="rect">
            <a:avLst/>
          </a:prstGeom>
          <a:noFill/>
          <a:scene3d>
            <a:camera prst="orthographicFront"/>
            <a:lightRig rig="threePt" dir="t"/>
          </a:scene3d>
          <a:sp3d>
            <a:bevelT w="139700" h="139700" prst="divot"/>
          </a:sp3d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38393" y="81244"/>
    <xdr:ext cx="5147422" cy="1242731"/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BE5B5411-0097-4058-82E1-3F3EECFC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absoluteAnchor>
  <xdr:oneCellAnchor>
    <xdr:from>
      <xdr:col>7</xdr:col>
      <xdr:colOff>533400</xdr:colOff>
      <xdr:row>6</xdr:row>
      <xdr:rowOff>47625</xdr:rowOff>
    </xdr:from>
    <xdr:ext cx="1763246" cy="5672978"/>
    <xdr:pic>
      <xdr:nvPicPr>
        <xdr:cNvPr id="3" name="Picture 1">
          <a:extLst>
            <a:ext uri="{FF2B5EF4-FFF2-40B4-BE49-F238E27FC236}">
              <a16:creationId xmlns:a16="http://schemas.microsoft.com/office/drawing/2014/main" id="{A4217496-FB3A-429F-B18C-7A371A91A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105775" y="1190625"/>
          <a:ext cx="1763246" cy="56729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12</xdr:col>
      <xdr:colOff>63500</xdr:colOff>
      <xdr:row>5</xdr:row>
      <xdr:rowOff>118438</xdr:rowOff>
    </xdr:from>
    <xdr:to>
      <xdr:col>13</xdr:col>
      <xdr:colOff>208540</xdr:colOff>
      <xdr:row>13</xdr:row>
      <xdr:rowOff>134938</xdr:rowOff>
    </xdr:to>
    <xdr:sp macro="" textlink="">
      <xdr:nvSpPr>
        <xdr:cNvPr id="4" name="Forma libre: forma 3">
          <a:extLst>
            <a:ext uri="{FF2B5EF4-FFF2-40B4-BE49-F238E27FC236}">
              <a16:creationId xmlns:a16="http://schemas.microsoft.com/office/drawing/2014/main" id="{7871C004-0E56-944E-E2AA-D0F9A056DD8F}"/>
            </a:ext>
          </a:extLst>
        </xdr:cNvPr>
        <xdr:cNvSpPr/>
      </xdr:nvSpPr>
      <xdr:spPr>
        <a:xfrm>
          <a:off x="11811000" y="1150313"/>
          <a:ext cx="907040" cy="1556375"/>
        </a:xfrm>
        <a:custGeom>
          <a:avLst/>
          <a:gdLst>
            <a:gd name="connsiteX0" fmla="*/ 0 w 907040"/>
            <a:gd name="connsiteY0" fmla="*/ 1556375 h 1556375"/>
            <a:gd name="connsiteX1" fmla="*/ 277813 w 907040"/>
            <a:gd name="connsiteY1" fmla="*/ 1524625 h 1556375"/>
            <a:gd name="connsiteX2" fmla="*/ 420688 w 907040"/>
            <a:gd name="connsiteY2" fmla="*/ 1453187 h 1556375"/>
            <a:gd name="connsiteX3" fmla="*/ 531813 w 907040"/>
            <a:gd name="connsiteY3" fmla="*/ 1350000 h 1556375"/>
            <a:gd name="connsiteX4" fmla="*/ 682625 w 907040"/>
            <a:gd name="connsiteY4" fmla="*/ 1135687 h 1556375"/>
            <a:gd name="connsiteX5" fmla="*/ 738188 w 907040"/>
            <a:gd name="connsiteY5" fmla="*/ 969000 h 1556375"/>
            <a:gd name="connsiteX6" fmla="*/ 769938 w 907040"/>
            <a:gd name="connsiteY6" fmla="*/ 865812 h 1556375"/>
            <a:gd name="connsiteX7" fmla="*/ 801688 w 907040"/>
            <a:gd name="connsiteY7" fmla="*/ 715000 h 1556375"/>
            <a:gd name="connsiteX8" fmla="*/ 841375 w 907040"/>
            <a:gd name="connsiteY8" fmla="*/ 556250 h 1556375"/>
            <a:gd name="connsiteX9" fmla="*/ 849313 w 907040"/>
            <a:gd name="connsiteY9" fmla="*/ 453062 h 1556375"/>
            <a:gd name="connsiteX10" fmla="*/ 881063 w 907040"/>
            <a:gd name="connsiteY10" fmla="*/ 302250 h 1556375"/>
            <a:gd name="connsiteX11" fmla="*/ 896938 w 907040"/>
            <a:gd name="connsiteY11" fmla="*/ 24437 h 1556375"/>
            <a:gd name="connsiteX12" fmla="*/ 904875 w 907040"/>
            <a:gd name="connsiteY12" fmla="*/ 625 h 1556375"/>
            <a:gd name="connsiteX13" fmla="*/ 793750 w 907040"/>
            <a:gd name="connsiteY13" fmla="*/ 119687 h 1556375"/>
            <a:gd name="connsiteX14" fmla="*/ 793750 w 907040"/>
            <a:gd name="connsiteY14" fmla="*/ 151437 h 15563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907040" h="1556375">
              <a:moveTo>
                <a:pt x="0" y="1556375"/>
              </a:moveTo>
              <a:cubicBezTo>
                <a:pt x="92604" y="1545792"/>
                <a:pt x="187289" y="1546829"/>
                <a:pt x="277813" y="1524625"/>
              </a:cubicBezTo>
              <a:cubicBezTo>
                <a:pt x="329527" y="1511941"/>
                <a:pt x="374230" y="1479203"/>
                <a:pt x="420688" y="1453187"/>
              </a:cubicBezTo>
              <a:cubicBezTo>
                <a:pt x="468977" y="1426145"/>
                <a:pt x="498532" y="1394801"/>
                <a:pt x="531813" y="1350000"/>
              </a:cubicBezTo>
              <a:cubicBezTo>
                <a:pt x="583903" y="1279878"/>
                <a:pt x="650183" y="1216792"/>
                <a:pt x="682625" y="1135687"/>
              </a:cubicBezTo>
              <a:cubicBezTo>
                <a:pt x="733161" y="1009348"/>
                <a:pt x="698850" y="1103871"/>
                <a:pt x="738188" y="969000"/>
              </a:cubicBezTo>
              <a:cubicBezTo>
                <a:pt x="748265" y="934452"/>
                <a:pt x="761210" y="900725"/>
                <a:pt x="769938" y="865812"/>
              </a:cubicBezTo>
              <a:cubicBezTo>
                <a:pt x="782398" y="815973"/>
                <a:pt x="790136" y="765057"/>
                <a:pt x="801688" y="715000"/>
              </a:cubicBezTo>
              <a:cubicBezTo>
                <a:pt x="813953" y="661852"/>
                <a:pt x="828146" y="609167"/>
                <a:pt x="841375" y="556250"/>
              </a:cubicBezTo>
              <a:cubicBezTo>
                <a:pt x="844021" y="521854"/>
                <a:pt x="845034" y="487293"/>
                <a:pt x="849313" y="453062"/>
              </a:cubicBezTo>
              <a:cubicBezTo>
                <a:pt x="856730" y="393728"/>
                <a:pt x="867131" y="357979"/>
                <a:pt x="881063" y="302250"/>
              </a:cubicBezTo>
              <a:cubicBezTo>
                <a:pt x="886355" y="209646"/>
                <a:pt x="867607" y="112433"/>
                <a:pt x="896938" y="24437"/>
              </a:cubicBezTo>
              <a:cubicBezTo>
                <a:pt x="899584" y="16500"/>
                <a:pt x="911970" y="-3809"/>
                <a:pt x="904875" y="625"/>
              </a:cubicBezTo>
              <a:cubicBezTo>
                <a:pt x="872633" y="20777"/>
                <a:pt x="811804" y="79969"/>
                <a:pt x="793750" y="119687"/>
              </a:cubicBezTo>
              <a:cubicBezTo>
                <a:pt x="789371" y="129322"/>
                <a:pt x="793750" y="140854"/>
                <a:pt x="793750" y="151437"/>
              </a:cubicBezTo>
            </a:path>
          </a:pathLst>
        </a:custGeom>
        <a:noFill/>
        <a:ln>
          <a:solidFill>
            <a:srgbClr val="0000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87314</xdr:colOff>
      <xdr:row>5</xdr:row>
      <xdr:rowOff>108706</xdr:rowOff>
    </xdr:from>
    <xdr:to>
      <xdr:col>14</xdr:col>
      <xdr:colOff>532504</xdr:colOff>
      <xdr:row>14</xdr:row>
      <xdr:rowOff>71438</xdr:rowOff>
    </xdr:to>
    <xdr:sp macro="" textlink="">
      <xdr:nvSpPr>
        <xdr:cNvPr id="5" name="Forma libre: forma 4">
          <a:extLst>
            <a:ext uri="{FF2B5EF4-FFF2-40B4-BE49-F238E27FC236}">
              <a16:creationId xmlns:a16="http://schemas.microsoft.com/office/drawing/2014/main" id="{E23CF8C6-619A-D0B7-EC2D-9CBA9EB04125}"/>
            </a:ext>
          </a:extLst>
        </xdr:cNvPr>
        <xdr:cNvSpPr/>
      </xdr:nvSpPr>
      <xdr:spPr>
        <a:xfrm>
          <a:off x="11834814" y="1140581"/>
          <a:ext cx="1969190" cy="1693107"/>
        </a:xfrm>
        <a:custGeom>
          <a:avLst/>
          <a:gdLst>
            <a:gd name="connsiteX0" fmla="*/ 0 w 1770753"/>
            <a:gd name="connsiteY0" fmla="*/ 2058232 h 2058232"/>
            <a:gd name="connsiteX1" fmla="*/ 515938 w 1770753"/>
            <a:gd name="connsiteY1" fmla="*/ 2050294 h 2058232"/>
            <a:gd name="connsiteX2" fmla="*/ 635000 w 1770753"/>
            <a:gd name="connsiteY2" fmla="*/ 2018544 h 2058232"/>
            <a:gd name="connsiteX3" fmla="*/ 1023938 w 1770753"/>
            <a:gd name="connsiteY3" fmla="*/ 1780419 h 2058232"/>
            <a:gd name="connsiteX4" fmla="*/ 1095375 w 1770753"/>
            <a:gd name="connsiteY4" fmla="*/ 1669294 h 2058232"/>
            <a:gd name="connsiteX5" fmla="*/ 1190625 w 1770753"/>
            <a:gd name="connsiteY5" fmla="*/ 1566107 h 2058232"/>
            <a:gd name="connsiteX6" fmla="*/ 1444625 w 1770753"/>
            <a:gd name="connsiteY6" fmla="*/ 1050169 h 2058232"/>
            <a:gd name="connsiteX7" fmla="*/ 1635125 w 1770753"/>
            <a:gd name="connsiteY7" fmla="*/ 494544 h 2058232"/>
            <a:gd name="connsiteX8" fmla="*/ 1706563 w 1770753"/>
            <a:gd name="connsiteY8" fmla="*/ 248482 h 2058232"/>
            <a:gd name="connsiteX9" fmla="*/ 1730375 w 1770753"/>
            <a:gd name="connsiteY9" fmla="*/ 137357 h 2058232"/>
            <a:gd name="connsiteX10" fmla="*/ 1738313 w 1770753"/>
            <a:gd name="connsiteY10" fmla="*/ 65919 h 2058232"/>
            <a:gd name="connsiteX11" fmla="*/ 1746250 w 1770753"/>
            <a:gd name="connsiteY11" fmla="*/ 26232 h 2058232"/>
            <a:gd name="connsiteX12" fmla="*/ 1770063 w 1770753"/>
            <a:gd name="connsiteY12" fmla="*/ 2419 h 2058232"/>
            <a:gd name="connsiteX13" fmla="*/ 1698625 w 1770753"/>
            <a:gd name="connsiteY13" fmla="*/ 81794 h 2058232"/>
            <a:gd name="connsiteX14" fmla="*/ 1690688 w 1770753"/>
            <a:gd name="connsiteY14" fmla="*/ 97669 h 20582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1770753" h="2058232">
              <a:moveTo>
                <a:pt x="0" y="2058232"/>
              </a:moveTo>
              <a:lnTo>
                <a:pt x="515938" y="2050294"/>
              </a:lnTo>
              <a:cubicBezTo>
                <a:pt x="556932" y="2047732"/>
                <a:pt x="597205" y="2034627"/>
                <a:pt x="635000" y="2018544"/>
              </a:cubicBezTo>
              <a:cubicBezTo>
                <a:pt x="774667" y="1959111"/>
                <a:pt x="918388" y="1894088"/>
                <a:pt x="1023938" y="1780419"/>
              </a:cubicBezTo>
              <a:cubicBezTo>
                <a:pt x="1053902" y="1748150"/>
                <a:pt x="1068340" y="1704053"/>
                <a:pt x="1095375" y="1669294"/>
              </a:cubicBezTo>
              <a:cubicBezTo>
                <a:pt x="1124113" y="1632345"/>
                <a:pt x="1162145" y="1603255"/>
                <a:pt x="1190625" y="1566107"/>
              </a:cubicBezTo>
              <a:cubicBezTo>
                <a:pt x="1303830" y="1418449"/>
                <a:pt x="1384326" y="1212024"/>
                <a:pt x="1444625" y="1050169"/>
              </a:cubicBezTo>
              <a:cubicBezTo>
                <a:pt x="1668075" y="450386"/>
                <a:pt x="1539122" y="837412"/>
                <a:pt x="1635125" y="494544"/>
              </a:cubicBezTo>
              <a:cubicBezTo>
                <a:pt x="1658153" y="412300"/>
                <a:pt x="1688036" y="331856"/>
                <a:pt x="1706563" y="248482"/>
              </a:cubicBezTo>
              <a:cubicBezTo>
                <a:pt x="1706966" y="246669"/>
                <a:pt x="1727830" y="155174"/>
                <a:pt x="1730375" y="137357"/>
              </a:cubicBezTo>
              <a:cubicBezTo>
                <a:pt x="1733763" y="113639"/>
                <a:pt x="1734925" y="89637"/>
                <a:pt x="1738313" y="65919"/>
              </a:cubicBezTo>
              <a:cubicBezTo>
                <a:pt x="1740221" y="52564"/>
                <a:pt x="1740217" y="38299"/>
                <a:pt x="1746250" y="26232"/>
              </a:cubicBezTo>
              <a:cubicBezTo>
                <a:pt x="1751270" y="16192"/>
                <a:pt x="1775083" y="-7622"/>
                <a:pt x="1770063" y="2419"/>
              </a:cubicBezTo>
              <a:cubicBezTo>
                <a:pt x="1756362" y="29823"/>
                <a:pt x="1717455" y="59826"/>
                <a:pt x="1698625" y="81794"/>
              </a:cubicBezTo>
              <a:cubicBezTo>
                <a:pt x="1694775" y="86286"/>
                <a:pt x="1693334" y="92377"/>
                <a:pt x="1690688" y="97669"/>
              </a:cubicBezTo>
            </a:path>
          </a:pathLst>
        </a:cu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28869" y="119344"/>
    <xdr:ext cx="6189568" cy="1242731"/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26F136A8-195D-4BAB-B75F-D2694F89A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absoluteAnchor>
  <xdr:oneCellAnchor>
    <xdr:from>
      <xdr:col>8</xdr:col>
      <xdr:colOff>600075</xdr:colOff>
      <xdr:row>5</xdr:row>
      <xdr:rowOff>114300</xdr:rowOff>
    </xdr:from>
    <xdr:ext cx="1748678" cy="5546912"/>
    <xdr:pic>
      <xdr:nvPicPr>
        <xdr:cNvPr id="3" name="Picture 1">
          <a:extLst>
            <a:ext uri="{FF2B5EF4-FFF2-40B4-BE49-F238E27FC236}">
              <a16:creationId xmlns:a16="http://schemas.microsoft.com/office/drawing/2014/main" id="{E3471B68-3BE0-4CAC-B091-7344218BD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839325" y="1066800"/>
          <a:ext cx="1748678" cy="55469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28868" y="119344"/>
    <xdr:ext cx="6529107" cy="1280831"/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4D9BF5A6-1858-4E42-82FE-602B2BA52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28868" y="119344"/>
    <xdr:ext cx="5567081" cy="1280831"/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28E1DFC-E4F4-4DB9-8846-15956549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absoluteAnchor>
  <xdr:oneCellAnchor>
    <xdr:from>
      <xdr:col>7</xdr:col>
      <xdr:colOff>114300</xdr:colOff>
      <xdr:row>7</xdr:row>
      <xdr:rowOff>95250</xdr:rowOff>
    </xdr:from>
    <xdr:ext cx="2085975" cy="5705475"/>
    <xdr:pic>
      <xdr:nvPicPr>
        <xdr:cNvPr id="3" name="Picture 1">
          <a:extLst>
            <a:ext uri="{FF2B5EF4-FFF2-40B4-BE49-F238E27FC236}">
              <a16:creationId xmlns:a16="http://schemas.microsoft.com/office/drawing/2014/main" id="{59A5ED4D-3FF3-4CAD-8D95-F6399C526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324975" y="1381125"/>
          <a:ext cx="2085975" cy="570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6200" y="66675"/>
    <xdr:ext cx="5652806" cy="1247775"/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EAB6EBFF-EE9E-41A5-9BBF-6C0605DAD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11905</xdr:colOff>
      <xdr:row>0</xdr:row>
      <xdr:rowOff>142875</xdr:rowOff>
    </xdr:from>
    <xdr:to>
      <xdr:col>4</xdr:col>
      <xdr:colOff>581025</xdr:colOff>
      <xdr:row>8</xdr:row>
      <xdr:rowOff>57150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8F065AC5-EDB6-4DAA-AB86-A33547F8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co%20laptop%20negro\disco%20c%20ln\Midocumento%20C%20-%202015\usb%2012-8-2015\Dorian-UPC01\10_Funciones%20DE_BUSQUEDA%20Ejemplos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Empresas"/>
      <sheetName val="Caso 1"/>
    </sheetNames>
    <sheetDataSet>
      <sheetData sheetId="0" refreshError="1"/>
      <sheetData sheetId="1">
        <row r="2">
          <cell r="A2" t="str">
            <v>EMP-01</v>
          </cell>
          <cell r="B2" t="str">
            <v>Ing. Hugo Pérez</v>
          </cell>
          <cell r="C2" t="str">
            <v>SEGRES SYSTEC S.A.</v>
          </cell>
          <cell r="D2" t="str">
            <v>Av. MARISCAL MILLER No 1862</v>
          </cell>
          <cell r="E2" t="str">
            <v>LINCE</v>
          </cell>
          <cell r="F2">
            <v>4708077</v>
          </cell>
        </row>
        <row r="3">
          <cell r="A3" t="str">
            <v>EMP-02</v>
          </cell>
          <cell r="B3" t="str">
            <v>Dra. Elizabeth Hermoza</v>
          </cell>
          <cell r="C3" t="str">
            <v>CARDIOMEDIC S.A.</v>
          </cell>
          <cell r="D3" t="str">
            <v>Jr. WASHINGTON No 1491</v>
          </cell>
          <cell r="E3" t="str">
            <v>LIMA CERCADO</v>
          </cell>
          <cell r="F3">
            <v>4339002</v>
          </cell>
        </row>
        <row r="4">
          <cell r="A4" t="str">
            <v>EMP-03</v>
          </cell>
          <cell r="B4" t="str">
            <v>Lic. Juan E. Robles</v>
          </cell>
          <cell r="C4" t="str">
            <v>CETCO S.A.</v>
          </cell>
          <cell r="D4" t="str">
            <v>Jr. JOSE DE LA TORRE UGARTE No 166</v>
          </cell>
          <cell r="E4" t="str">
            <v>LINCE</v>
          </cell>
          <cell r="F4">
            <v>2211620</v>
          </cell>
        </row>
        <row r="5">
          <cell r="A5" t="str">
            <v>EMP-04</v>
          </cell>
          <cell r="B5" t="str">
            <v>Ing. Jhonatan León</v>
          </cell>
          <cell r="C5" t="str">
            <v>CIA. INMOBILIARIA AGREM S.A.</v>
          </cell>
          <cell r="D5" t="str">
            <v>Av. ARENALES 1648</v>
          </cell>
          <cell r="E5" t="str">
            <v>LINCE</v>
          </cell>
          <cell r="F5">
            <v>2256987</v>
          </cell>
        </row>
        <row r="6">
          <cell r="A6" t="str">
            <v>EMP-05</v>
          </cell>
          <cell r="B6" t="str">
            <v>Dra. Margarita Flores</v>
          </cell>
          <cell r="C6" t="str">
            <v>CLINICA INTERNACIONAL</v>
          </cell>
          <cell r="D6" t="str">
            <v>Jr. WASHINGTON No 1463</v>
          </cell>
          <cell r="E6" t="str">
            <v>LIMA CERCADO</v>
          </cell>
          <cell r="F6">
            <v>4334306</v>
          </cell>
        </row>
        <row r="7">
          <cell r="A7" t="str">
            <v>EMP-06</v>
          </cell>
          <cell r="B7" t="str">
            <v>Sr. Carlos Vásquez</v>
          </cell>
          <cell r="C7" t="str">
            <v>CLUB LAWN TENNIS</v>
          </cell>
          <cell r="D7" t="str">
            <v>Av. REPUBLICA DE CHILE No 276</v>
          </cell>
          <cell r="E7" t="str">
            <v>JESUS MARIA</v>
          </cell>
          <cell r="F7">
            <v>3345689</v>
          </cell>
        </row>
        <row r="8">
          <cell r="A8" t="str">
            <v>EMP-07</v>
          </cell>
          <cell r="B8" t="str">
            <v>Ing. José Rey</v>
          </cell>
          <cell r="C8" t="str">
            <v>CORPORACION TEXTIL S.A.</v>
          </cell>
          <cell r="D8" t="str">
            <v>Calle CARLOS ALAYZA Y ROEL No 2555</v>
          </cell>
          <cell r="E8" t="str">
            <v>LINCE</v>
          </cell>
          <cell r="F8">
            <v>4753628</v>
          </cell>
        </row>
        <row r="9">
          <cell r="A9" t="str">
            <v>EMP-08</v>
          </cell>
          <cell r="B9" t="str">
            <v>Lic. Miguel Avila</v>
          </cell>
          <cell r="C9" t="str">
            <v>FARMINDUSTRIA S.A.</v>
          </cell>
          <cell r="D9" t="str">
            <v>Av. MARISCAL MILLER No 2151</v>
          </cell>
          <cell r="E9" t="str">
            <v>LINCE</v>
          </cell>
          <cell r="F9">
            <v>4701111</v>
          </cell>
        </row>
        <row r="10">
          <cell r="A10" t="str">
            <v>EMP-09</v>
          </cell>
          <cell r="B10" t="str">
            <v>Sr. Oscar Cáceres</v>
          </cell>
          <cell r="C10" t="str">
            <v>INMOBILIARIA EMPORIUM S.A.C.</v>
          </cell>
          <cell r="D10" t="str">
            <v>Jr. NAZCA 672 URB SANTA BEATRIZ</v>
          </cell>
          <cell r="E10" t="str">
            <v>JESUS MARIA</v>
          </cell>
          <cell r="F10">
            <v>3310719</v>
          </cell>
        </row>
        <row r="11">
          <cell r="A11" t="str">
            <v>EMP-10</v>
          </cell>
          <cell r="B11" t="str">
            <v>Ing. César Ramos</v>
          </cell>
          <cell r="C11" t="str">
            <v>MEDIA NETWORKS PERU S.A.C.</v>
          </cell>
          <cell r="D11" t="str">
            <v>Av. NAZCA No 698-704-712</v>
          </cell>
          <cell r="E11" t="str">
            <v>JESUS MARIA</v>
          </cell>
          <cell r="F11">
            <v>3146077</v>
          </cell>
        </row>
        <row r="12">
          <cell r="A12" t="str">
            <v>EMP-11</v>
          </cell>
          <cell r="B12" t="str">
            <v>Lic. David Sáenz</v>
          </cell>
          <cell r="C12" t="str">
            <v>PRAXIS COMERCIAL  S.A.</v>
          </cell>
          <cell r="D12" t="str">
            <v>Av. JOSE GALVEZ 1844</v>
          </cell>
          <cell r="E12" t="str">
            <v>LINCE</v>
          </cell>
          <cell r="F12">
            <v>2254758</v>
          </cell>
        </row>
        <row r="13">
          <cell r="A13" t="str">
            <v>EMP-12</v>
          </cell>
          <cell r="B13" t="str">
            <v>Dr. Jorge Torres</v>
          </cell>
          <cell r="C13" t="str">
            <v>RENIEC</v>
          </cell>
          <cell r="D13" t="str">
            <v>Calle TALARA 136</v>
          </cell>
          <cell r="E13" t="str">
            <v>JESUS MARIA</v>
          </cell>
          <cell r="F13">
            <v>3356897</v>
          </cell>
        </row>
        <row r="14">
          <cell r="A14" t="str">
            <v>EMP-13</v>
          </cell>
          <cell r="B14" t="str">
            <v>Sr. Saul Porras</v>
          </cell>
          <cell r="C14" t="str">
            <v>REPSOL COMERCIAL S.A.C.</v>
          </cell>
          <cell r="D14" t="str">
            <v>Calle MANUEL DEL PINO No 175</v>
          </cell>
          <cell r="E14" t="str">
            <v>LIMA CERCADO</v>
          </cell>
          <cell r="F14">
            <v>4215689</v>
          </cell>
        </row>
        <row r="15">
          <cell r="A15" t="str">
            <v>EMP-14</v>
          </cell>
          <cell r="B15" t="str">
            <v>Sr. Raúl Huertas</v>
          </cell>
          <cell r="C15" t="str">
            <v>RESOMEDIC SAC</v>
          </cell>
          <cell r="D15" t="str">
            <v>Av. PETIT THOUARS 195 URB STA BEATRIZ</v>
          </cell>
          <cell r="E15" t="str">
            <v>LIMA CERCADO</v>
          </cell>
          <cell r="F15">
            <v>4338722</v>
          </cell>
        </row>
        <row r="16">
          <cell r="A16" t="str">
            <v>EMP-15</v>
          </cell>
          <cell r="B16" t="str">
            <v>Dra. Patricia Cámero</v>
          </cell>
          <cell r="C16" t="str">
            <v>CLUB PILATES PATRICIA CÁMERO</v>
          </cell>
          <cell r="D16" t="str">
            <v>Av. Los Ruiseñores No 350</v>
          </cell>
          <cell r="E16" t="str">
            <v>San Isidro</v>
          </cell>
          <cell r="F16">
            <v>2230575</v>
          </cell>
        </row>
        <row r="17">
          <cell r="A17" t="str">
            <v>EMP-16</v>
          </cell>
          <cell r="B17" t="str">
            <v>Lic. Angel Bueno</v>
          </cell>
          <cell r="C17" t="str">
            <v>SENAMHI</v>
          </cell>
          <cell r="D17" t="str">
            <v>Jr. CAHUIDE 785</v>
          </cell>
          <cell r="E17" t="str">
            <v>JESUS MARIA</v>
          </cell>
          <cell r="F17">
            <v>3354689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L90"/>
  <sheetViews>
    <sheetView showGridLines="0" workbookViewId="0">
      <selection activeCell="G8" sqref="G8"/>
    </sheetView>
  </sheetViews>
  <sheetFormatPr baseColWidth="10" defaultRowHeight="15" x14ac:dyDescent="0.25"/>
  <cols>
    <col min="2" max="2" width="10.42578125" bestFit="1" customWidth="1"/>
    <col min="3" max="3" width="14.5703125" customWidth="1"/>
    <col min="4" max="4" width="33" bestFit="1" customWidth="1"/>
    <col min="5" max="5" width="18.42578125" customWidth="1"/>
    <col min="6" max="6" width="26.42578125" bestFit="1" customWidth="1"/>
    <col min="7" max="7" width="23.5703125" customWidth="1"/>
    <col min="8" max="9" width="11.42578125" customWidth="1"/>
    <col min="10" max="10" width="14" customWidth="1"/>
  </cols>
  <sheetData>
    <row r="1" spans="2:12" ht="23.25" x14ac:dyDescent="0.35">
      <c r="L1" s="10" t="s">
        <v>280</v>
      </c>
    </row>
    <row r="2" spans="2:12" x14ac:dyDescent="0.25">
      <c r="B2" s="2"/>
      <c r="C2" s="2"/>
      <c r="D2" s="7" t="s">
        <v>11</v>
      </c>
      <c r="E2" s="19" t="s">
        <v>284</v>
      </c>
      <c r="F2" s="19" t="s">
        <v>285</v>
      </c>
      <c r="G2" s="19" t="s">
        <v>286</v>
      </c>
      <c r="H2" s="2"/>
      <c r="I2" s="2"/>
    </row>
    <row r="3" spans="2:12" ht="28.5" x14ac:dyDescent="0.45">
      <c r="B3" s="2"/>
      <c r="C3" s="2"/>
      <c r="D3" s="267" t="s">
        <v>12</v>
      </c>
      <c r="E3" s="290">
        <f>COUNTIF($E$9:$E$90,D3)</f>
        <v>39</v>
      </c>
      <c r="F3" s="290">
        <f>SUMIF($E$9:$E$90,D3,$J$9:$J$90)</f>
        <v>20604770</v>
      </c>
      <c r="G3" s="290">
        <f>AVERAGEIF($E$9:$E$90,D3,$J$9:$J$90)</f>
        <v>528327.43589743588</v>
      </c>
      <c r="H3" s="2"/>
      <c r="I3" s="2"/>
      <c r="L3" s="1" t="s">
        <v>281</v>
      </c>
    </row>
    <row r="4" spans="2:12" ht="28.5" x14ac:dyDescent="0.45">
      <c r="B4" s="2"/>
      <c r="C4" s="2"/>
      <c r="D4" s="268" t="s">
        <v>13</v>
      </c>
      <c r="E4" s="290">
        <f t="shared" ref="E4:E6" si="0">COUNTIF($E$9:$E$90,D4)</f>
        <v>11</v>
      </c>
      <c r="F4" s="290">
        <f t="shared" ref="F4:F6" si="1">SUMIF($E$9:$E$90,D4,$J$9:$J$90)</f>
        <v>4540431</v>
      </c>
      <c r="G4" s="290">
        <f t="shared" ref="G4:G6" si="2">AVERAGEIF($E$9:$E$90,D4,$J$9:$J$90)</f>
        <v>412766.45454545453</v>
      </c>
      <c r="H4" s="2"/>
      <c r="I4" s="2"/>
      <c r="L4" s="1" t="s">
        <v>282</v>
      </c>
    </row>
    <row r="5" spans="2:12" ht="28.5" x14ac:dyDescent="0.45">
      <c r="B5" s="2"/>
      <c r="C5" s="2"/>
      <c r="D5" s="268" t="s">
        <v>14</v>
      </c>
      <c r="E5" s="290">
        <f t="shared" si="0"/>
        <v>17</v>
      </c>
      <c r="F5" s="290">
        <f t="shared" si="1"/>
        <v>8301660</v>
      </c>
      <c r="G5" s="290">
        <f t="shared" si="2"/>
        <v>488332.9411764706</v>
      </c>
      <c r="H5" s="2"/>
      <c r="I5" s="2"/>
      <c r="L5" s="1" t="s">
        <v>283</v>
      </c>
    </row>
    <row r="6" spans="2:12" ht="28.5" x14ac:dyDescent="0.45">
      <c r="B6" s="2"/>
      <c r="C6" s="2"/>
      <c r="D6" s="268" t="s">
        <v>15</v>
      </c>
      <c r="E6" s="290">
        <f t="shared" si="0"/>
        <v>15</v>
      </c>
      <c r="F6" s="290">
        <f t="shared" si="1"/>
        <v>7194316</v>
      </c>
      <c r="G6" s="290">
        <f t="shared" si="2"/>
        <v>479621.06666666665</v>
      </c>
      <c r="H6" s="2"/>
      <c r="I6" s="2"/>
    </row>
    <row r="7" spans="2:12" x14ac:dyDescent="0.25">
      <c r="B7" s="2"/>
      <c r="C7" s="2"/>
      <c r="D7" s="2"/>
      <c r="E7" s="2"/>
      <c r="F7" s="2"/>
      <c r="G7" s="2"/>
      <c r="H7" s="2"/>
      <c r="I7" s="2"/>
      <c r="J7" s="2"/>
    </row>
    <row r="8" spans="2:12" ht="30" x14ac:dyDescent="0.35">
      <c r="B8" s="6" t="s">
        <v>16</v>
      </c>
      <c r="C8" s="6" t="s">
        <v>17</v>
      </c>
      <c r="D8" s="6" t="s">
        <v>9</v>
      </c>
      <c r="E8" s="6" t="s">
        <v>11</v>
      </c>
      <c r="F8" s="6" t="s">
        <v>18</v>
      </c>
      <c r="G8" s="6" t="s">
        <v>19</v>
      </c>
      <c r="H8" s="6" t="s">
        <v>20</v>
      </c>
      <c r="I8" s="6" t="s">
        <v>21</v>
      </c>
      <c r="J8" s="6" t="s">
        <v>10</v>
      </c>
      <c r="L8" s="10" t="s">
        <v>582</v>
      </c>
    </row>
    <row r="9" spans="2:12" ht="23.25" x14ac:dyDescent="0.35">
      <c r="B9" s="3">
        <v>1</v>
      </c>
      <c r="C9" s="5">
        <v>42355</v>
      </c>
      <c r="D9" s="4" t="s">
        <v>67</v>
      </c>
      <c r="E9" s="20" t="s">
        <v>12</v>
      </c>
      <c r="F9" s="8" t="s">
        <v>22</v>
      </c>
      <c r="G9" s="3" t="s">
        <v>7</v>
      </c>
      <c r="H9" s="3">
        <v>7</v>
      </c>
      <c r="I9" s="4">
        <v>20</v>
      </c>
      <c r="J9" s="21">
        <v>717333</v>
      </c>
      <c r="L9" s="10" t="s">
        <v>583</v>
      </c>
    </row>
    <row r="10" spans="2:12" ht="23.25" x14ac:dyDescent="0.35">
      <c r="B10" s="3">
        <v>2</v>
      </c>
      <c r="C10" s="5">
        <v>42356</v>
      </c>
      <c r="D10" s="4" t="s">
        <v>68</v>
      </c>
      <c r="E10" s="20" t="s">
        <v>12</v>
      </c>
      <c r="F10" s="8" t="s">
        <v>23</v>
      </c>
      <c r="G10" s="3" t="s">
        <v>1</v>
      </c>
      <c r="H10" s="3">
        <v>19</v>
      </c>
      <c r="I10" s="4">
        <v>12</v>
      </c>
      <c r="J10" s="21">
        <v>463182</v>
      </c>
      <c r="L10" s="10" t="s">
        <v>584</v>
      </c>
    </row>
    <row r="11" spans="2:12" ht="23.25" x14ac:dyDescent="0.35">
      <c r="B11" s="3">
        <v>3</v>
      </c>
      <c r="C11" s="5">
        <v>42357</v>
      </c>
      <c r="D11" s="4" t="s">
        <v>69</v>
      </c>
      <c r="E11" s="20" t="s">
        <v>12</v>
      </c>
      <c r="F11" s="8" t="s">
        <v>23</v>
      </c>
      <c r="G11" s="3" t="s">
        <v>24</v>
      </c>
      <c r="H11" s="3">
        <v>12</v>
      </c>
      <c r="I11" s="4">
        <v>35</v>
      </c>
      <c r="J11" s="21">
        <v>449252</v>
      </c>
      <c r="L11" s="10"/>
    </row>
    <row r="12" spans="2:12" x14ac:dyDescent="0.25">
      <c r="B12" s="3">
        <v>4</v>
      </c>
      <c r="C12" s="5">
        <v>42358</v>
      </c>
      <c r="D12" s="4" t="s">
        <v>70</v>
      </c>
      <c r="E12" s="20" t="s">
        <v>13</v>
      </c>
      <c r="F12" s="8" t="s">
        <v>25</v>
      </c>
      <c r="G12" s="3" t="s">
        <v>26</v>
      </c>
      <c r="H12" s="3">
        <v>7.75</v>
      </c>
      <c r="I12" s="4">
        <v>20</v>
      </c>
      <c r="J12" s="21">
        <v>790528</v>
      </c>
    </row>
    <row r="13" spans="2:12" x14ac:dyDescent="0.25">
      <c r="B13" s="3">
        <v>5</v>
      </c>
      <c r="C13" s="5">
        <v>42359</v>
      </c>
      <c r="D13" s="4" t="s">
        <v>71</v>
      </c>
      <c r="E13" s="20" t="s">
        <v>13</v>
      </c>
      <c r="F13" s="8" t="s">
        <v>27</v>
      </c>
      <c r="G13" s="3" t="s">
        <v>28</v>
      </c>
      <c r="H13" s="3">
        <v>46</v>
      </c>
      <c r="I13" s="4">
        <v>7</v>
      </c>
      <c r="J13" s="21">
        <v>509211</v>
      </c>
    </row>
    <row r="14" spans="2:12" x14ac:dyDescent="0.25">
      <c r="B14" s="3">
        <v>6</v>
      </c>
      <c r="C14" s="5">
        <v>42360</v>
      </c>
      <c r="D14" s="4" t="s">
        <v>72</v>
      </c>
      <c r="E14" s="20" t="s">
        <v>13</v>
      </c>
      <c r="F14" s="8" t="s">
        <v>27</v>
      </c>
      <c r="G14" s="3" t="s">
        <v>29</v>
      </c>
      <c r="H14" s="3">
        <v>263.5</v>
      </c>
      <c r="I14" s="4">
        <v>2</v>
      </c>
      <c r="J14" s="21">
        <v>441309</v>
      </c>
    </row>
    <row r="15" spans="2:12" x14ac:dyDescent="0.25">
      <c r="B15" s="3">
        <v>7</v>
      </c>
      <c r="C15" s="5">
        <v>42361</v>
      </c>
      <c r="D15" s="4" t="s">
        <v>73</v>
      </c>
      <c r="E15" s="20" t="s">
        <v>13</v>
      </c>
      <c r="F15" s="8" t="s">
        <v>27</v>
      </c>
      <c r="G15" s="3" t="s">
        <v>30</v>
      </c>
      <c r="H15" s="3">
        <v>81</v>
      </c>
      <c r="I15" s="4">
        <v>5</v>
      </c>
      <c r="J15" s="21">
        <v>207660</v>
      </c>
    </row>
    <row r="16" spans="2:12" x14ac:dyDescent="0.25">
      <c r="B16" s="3">
        <v>8</v>
      </c>
      <c r="C16" s="5">
        <v>42362</v>
      </c>
      <c r="D16" s="4" t="s">
        <v>74</v>
      </c>
      <c r="E16" s="20" t="s">
        <v>12</v>
      </c>
      <c r="F16" s="8" t="s">
        <v>31</v>
      </c>
      <c r="G16" s="3" t="s">
        <v>32</v>
      </c>
      <c r="H16" s="3">
        <v>18</v>
      </c>
      <c r="I16" s="4">
        <v>28</v>
      </c>
      <c r="J16" s="21">
        <v>699374</v>
      </c>
    </row>
    <row r="17" spans="2:10" x14ac:dyDescent="0.25">
      <c r="B17" s="3">
        <v>9</v>
      </c>
      <c r="C17" s="5">
        <v>42363</v>
      </c>
      <c r="D17" s="4" t="s">
        <v>75</v>
      </c>
      <c r="E17" s="20" t="s">
        <v>12</v>
      </c>
      <c r="F17" s="8" t="s">
        <v>31</v>
      </c>
      <c r="G17" s="3" t="s">
        <v>4</v>
      </c>
      <c r="H17" s="3">
        <v>25</v>
      </c>
      <c r="I17" s="4">
        <v>6</v>
      </c>
      <c r="J17" s="21">
        <v>783532</v>
      </c>
    </row>
    <row r="18" spans="2:10" x14ac:dyDescent="0.25">
      <c r="B18" s="3">
        <v>10</v>
      </c>
      <c r="C18" s="5">
        <v>42364</v>
      </c>
      <c r="D18" s="4" t="s">
        <v>76</v>
      </c>
      <c r="E18" s="20" t="s">
        <v>12</v>
      </c>
      <c r="F18" s="8" t="s">
        <v>31</v>
      </c>
      <c r="G18" s="3" t="s">
        <v>33</v>
      </c>
      <c r="H18" s="3">
        <v>34</v>
      </c>
      <c r="I18" s="4">
        <v>30</v>
      </c>
      <c r="J18" s="21">
        <v>49622</v>
      </c>
    </row>
    <row r="19" spans="2:10" x14ac:dyDescent="0.25">
      <c r="B19" s="3">
        <v>11</v>
      </c>
      <c r="C19" s="5">
        <v>42365</v>
      </c>
      <c r="D19" s="4" t="s">
        <v>77</v>
      </c>
      <c r="E19" s="20" t="s">
        <v>12</v>
      </c>
      <c r="F19" s="8" t="s">
        <v>31</v>
      </c>
      <c r="G19" s="3" t="s">
        <v>34</v>
      </c>
      <c r="H19" s="3">
        <v>12.5</v>
      </c>
      <c r="I19" s="4">
        <v>24</v>
      </c>
      <c r="J19" s="21">
        <v>145132</v>
      </c>
    </row>
    <row r="20" spans="2:10" x14ac:dyDescent="0.25">
      <c r="B20" s="3">
        <v>12</v>
      </c>
      <c r="C20" s="5">
        <v>42366</v>
      </c>
      <c r="D20" s="4" t="s">
        <v>78</v>
      </c>
      <c r="E20" s="20" t="s">
        <v>14</v>
      </c>
      <c r="F20" s="8" t="s">
        <v>35</v>
      </c>
      <c r="G20" s="3" t="s">
        <v>1</v>
      </c>
      <c r="H20" s="3">
        <v>19</v>
      </c>
      <c r="I20" s="4">
        <v>10</v>
      </c>
      <c r="J20" s="21">
        <v>381965</v>
      </c>
    </row>
    <row r="21" spans="2:10" x14ac:dyDescent="0.25">
      <c r="B21" s="3">
        <v>13</v>
      </c>
      <c r="C21" s="5">
        <v>42367</v>
      </c>
      <c r="D21" s="4" t="s">
        <v>79</v>
      </c>
      <c r="E21" s="20" t="s">
        <v>14</v>
      </c>
      <c r="F21" s="8" t="s">
        <v>35</v>
      </c>
      <c r="G21" s="3" t="s">
        <v>5</v>
      </c>
      <c r="H21" s="3">
        <v>40</v>
      </c>
      <c r="I21" s="4">
        <v>20</v>
      </c>
      <c r="J21" s="21">
        <v>213396</v>
      </c>
    </row>
    <row r="22" spans="2:10" x14ac:dyDescent="0.25">
      <c r="B22" s="3">
        <v>14</v>
      </c>
      <c r="C22" s="5">
        <v>42368</v>
      </c>
      <c r="D22" s="4" t="s">
        <v>80</v>
      </c>
      <c r="E22" s="20" t="s">
        <v>14</v>
      </c>
      <c r="F22" s="8" t="s">
        <v>35</v>
      </c>
      <c r="G22" s="3" t="s">
        <v>33</v>
      </c>
      <c r="H22" s="3">
        <v>34</v>
      </c>
      <c r="I22" s="4">
        <v>21</v>
      </c>
      <c r="J22" s="21">
        <v>564977</v>
      </c>
    </row>
    <row r="23" spans="2:10" x14ac:dyDescent="0.25">
      <c r="B23" s="3">
        <v>15</v>
      </c>
      <c r="C23" s="5">
        <v>42369</v>
      </c>
      <c r="D23" s="4" t="s">
        <v>81</v>
      </c>
      <c r="E23" s="20" t="s">
        <v>14</v>
      </c>
      <c r="F23" s="8" t="s">
        <v>35</v>
      </c>
      <c r="G23" s="3" t="s">
        <v>7</v>
      </c>
      <c r="H23" s="3">
        <v>6</v>
      </c>
      <c r="I23" s="4">
        <v>10</v>
      </c>
      <c r="J23" s="21">
        <v>281211</v>
      </c>
    </row>
    <row r="24" spans="2:10" x14ac:dyDescent="0.25">
      <c r="B24" s="3">
        <v>16</v>
      </c>
      <c r="C24" s="5">
        <v>42370</v>
      </c>
      <c r="D24" s="4" t="s">
        <v>82</v>
      </c>
      <c r="E24" s="20" t="s">
        <v>12</v>
      </c>
      <c r="F24" s="8" t="s">
        <v>31</v>
      </c>
      <c r="G24" s="3" t="s">
        <v>36</v>
      </c>
      <c r="H24" s="3">
        <v>123.79</v>
      </c>
      <c r="I24" s="4">
        <v>8</v>
      </c>
      <c r="J24" s="21">
        <v>369033</v>
      </c>
    </row>
    <row r="25" spans="2:10" x14ac:dyDescent="0.25">
      <c r="B25" s="3">
        <v>17</v>
      </c>
      <c r="C25" s="5">
        <v>42371</v>
      </c>
      <c r="D25" s="4" t="s">
        <v>83</v>
      </c>
      <c r="E25" s="20" t="s">
        <v>12</v>
      </c>
      <c r="F25" s="8" t="s">
        <v>31</v>
      </c>
      <c r="G25" s="3" t="s">
        <v>37</v>
      </c>
      <c r="H25" s="3">
        <v>25.89</v>
      </c>
      <c r="I25" s="4">
        <v>20</v>
      </c>
      <c r="J25" s="21">
        <v>457671</v>
      </c>
    </row>
    <row r="26" spans="2:10" x14ac:dyDescent="0.25">
      <c r="B26" s="3">
        <v>18</v>
      </c>
      <c r="C26" s="5">
        <v>42372</v>
      </c>
      <c r="D26" s="4" t="s">
        <v>84</v>
      </c>
      <c r="E26" s="20" t="s">
        <v>12</v>
      </c>
      <c r="F26" s="8" t="s">
        <v>31</v>
      </c>
      <c r="G26" s="3" t="s">
        <v>38</v>
      </c>
      <c r="H26" s="3">
        <v>34.799999999999997</v>
      </c>
      <c r="I26" s="4">
        <v>15</v>
      </c>
      <c r="J26" s="21">
        <v>367818</v>
      </c>
    </row>
    <row r="27" spans="2:10" x14ac:dyDescent="0.25">
      <c r="B27" s="3">
        <v>19</v>
      </c>
      <c r="C27" s="5">
        <v>42373</v>
      </c>
      <c r="D27" s="4" t="s">
        <v>85</v>
      </c>
      <c r="E27" s="20" t="s">
        <v>12</v>
      </c>
      <c r="F27" s="8" t="s">
        <v>31</v>
      </c>
      <c r="G27" s="3" t="s">
        <v>37</v>
      </c>
      <c r="H27" s="3">
        <v>13.25</v>
      </c>
      <c r="I27" s="4">
        <v>30</v>
      </c>
      <c r="J27" s="21">
        <v>72430</v>
      </c>
    </row>
    <row r="28" spans="2:10" x14ac:dyDescent="0.25">
      <c r="B28" s="3">
        <v>20</v>
      </c>
      <c r="C28" s="5">
        <v>42374</v>
      </c>
      <c r="D28" s="4" t="s">
        <v>86</v>
      </c>
      <c r="E28" s="20" t="s">
        <v>14</v>
      </c>
      <c r="F28" s="8" t="s">
        <v>39</v>
      </c>
      <c r="G28" s="3" t="s">
        <v>6</v>
      </c>
      <c r="H28" s="3">
        <v>97</v>
      </c>
      <c r="I28" s="4">
        <v>3</v>
      </c>
      <c r="J28" s="21">
        <v>570506</v>
      </c>
    </row>
    <row r="29" spans="2:10" x14ac:dyDescent="0.25">
      <c r="B29" s="3">
        <v>21</v>
      </c>
      <c r="C29" s="5">
        <v>42375</v>
      </c>
      <c r="D29" s="4" t="s">
        <v>87</v>
      </c>
      <c r="E29" s="20" t="s">
        <v>14</v>
      </c>
      <c r="F29" s="8" t="s">
        <v>39</v>
      </c>
      <c r="G29" s="3" t="s">
        <v>3</v>
      </c>
      <c r="H29" s="3">
        <v>21.35</v>
      </c>
      <c r="I29" s="4">
        <v>30</v>
      </c>
      <c r="J29" s="21">
        <v>433828</v>
      </c>
    </row>
    <row r="30" spans="2:10" x14ac:dyDescent="0.25">
      <c r="B30" s="3">
        <v>22</v>
      </c>
      <c r="C30" s="5">
        <v>42376</v>
      </c>
      <c r="D30" s="4" t="s">
        <v>88</v>
      </c>
      <c r="E30" s="20" t="s">
        <v>12</v>
      </c>
      <c r="F30" s="8" t="s">
        <v>23</v>
      </c>
      <c r="G30" s="3" t="s">
        <v>1</v>
      </c>
      <c r="H30" s="3">
        <v>19</v>
      </c>
      <c r="I30" s="4">
        <v>5</v>
      </c>
      <c r="J30" s="21">
        <v>678188</v>
      </c>
    </row>
    <row r="31" spans="2:10" x14ac:dyDescent="0.25">
      <c r="B31" s="3">
        <v>23</v>
      </c>
      <c r="C31" s="5">
        <v>42377</v>
      </c>
      <c r="D31" s="4" t="s">
        <v>89</v>
      </c>
      <c r="E31" s="20" t="s">
        <v>12</v>
      </c>
      <c r="F31" s="8" t="s">
        <v>23</v>
      </c>
      <c r="G31" s="3" t="s">
        <v>40</v>
      </c>
      <c r="H31" s="3">
        <v>19.5</v>
      </c>
      <c r="I31" s="4">
        <v>10</v>
      </c>
      <c r="J31" s="21">
        <v>227562</v>
      </c>
    </row>
    <row r="32" spans="2:10" x14ac:dyDescent="0.25">
      <c r="B32" s="3">
        <v>24</v>
      </c>
      <c r="C32" s="5">
        <v>42378</v>
      </c>
      <c r="D32" s="4" t="s">
        <v>90</v>
      </c>
      <c r="E32" s="20" t="s">
        <v>12</v>
      </c>
      <c r="F32" s="8" t="s">
        <v>23</v>
      </c>
      <c r="G32" s="3" t="s">
        <v>41</v>
      </c>
      <c r="H32" s="3">
        <v>55</v>
      </c>
      <c r="I32" s="4">
        <v>42</v>
      </c>
      <c r="J32" s="21">
        <v>662389</v>
      </c>
    </row>
    <row r="33" spans="2:10" x14ac:dyDescent="0.25">
      <c r="B33" s="3">
        <v>25</v>
      </c>
      <c r="C33" s="5">
        <v>42379</v>
      </c>
      <c r="D33" s="4" t="s">
        <v>91</v>
      </c>
      <c r="E33" s="20" t="s">
        <v>12</v>
      </c>
      <c r="F33" s="8" t="s">
        <v>23</v>
      </c>
      <c r="G33" s="3" t="s">
        <v>42</v>
      </c>
      <c r="H33" s="3">
        <v>14</v>
      </c>
      <c r="I33" s="4">
        <v>10</v>
      </c>
      <c r="J33" s="21">
        <v>546632</v>
      </c>
    </row>
    <row r="34" spans="2:10" x14ac:dyDescent="0.25">
      <c r="B34" s="3">
        <v>26</v>
      </c>
      <c r="C34" s="5">
        <v>42380</v>
      </c>
      <c r="D34" s="4" t="s">
        <v>92</v>
      </c>
      <c r="E34" s="20" t="s">
        <v>14</v>
      </c>
      <c r="F34" s="8" t="s">
        <v>43</v>
      </c>
      <c r="G34" s="3" t="s">
        <v>44</v>
      </c>
      <c r="H34" s="3">
        <v>14</v>
      </c>
      <c r="I34" s="4">
        <v>15</v>
      </c>
      <c r="J34" s="21">
        <v>292711</v>
      </c>
    </row>
    <row r="35" spans="2:10" x14ac:dyDescent="0.25">
      <c r="B35" s="3">
        <v>27</v>
      </c>
      <c r="C35" s="5">
        <v>42381</v>
      </c>
      <c r="D35" s="4" t="s">
        <v>93</v>
      </c>
      <c r="E35" s="20" t="s">
        <v>14</v>
      </c>
      <c r="F35" s="8" t="s">
        <v>43</v>
      </c>
      <c r="G35" s="3" t="s">
        <v>45</v>
      </c>
      <c r="H35" s="3">
        <v>18</v>
      </c>
      <c r="I35" s="4">
        <v>4</v>
      </c>
      <c r="J35" s="21">
        <v>189245</v>
      </c>
    </row>
    <row r="36" spans="2:10" x14ac:dyDescent="0.25">
      <c r="B36" s="3">
        <v>28</v>
      </c>
      <c r="C36" s="5">
        <v>42382</v>
      </c>
      <c r="D36" s="4" t="s">
        <v>94</v>
      </c>
      <c r="E36" s="20" t="s">
        <v>12</v>
      </c>
      <c r="F36" s="8" t="s">
        <v>31</v>
      </c>
      <c r="G36" s="3" t="s">
        <v>45</v>
      </c>
      <c r="H36" s="3">
        <v>18</v>
      </c>
      <c r="I36" s="4">
        <v>30</v>
      </c>
      <c r="J36" s="21">
        <v>421271</v>
      </c>
    </row>
    <row r="37" spans="2:10" x14ac:dyDescent="0.25">
      <c r="B37" s="3">
        <v>29</v>
      </c>
      <c r="C37" s="5">
        <v>42383</v>
      </c>
      <c r="D37" s="4" t="s">
        <v>95</v>
      </c>
      <c r="E37" s="20" t="s">
        <v>12</v>
      </c>
      <c r="F37" s="8" t="s">
        <v>31</v>
      </c>
      <c r="G37" s="3" t="s">
        <v>46</v>
      </c>
      <c r="H37" s="3">
        <v>20</v>
      </c>
      <c r="I37" s="4">
        <v>42</v>
      </c>
      <c r="J37" s="21">
        <v>669168</v>
      </c>
    </row>
    <row r="38" spans="2:10" x14ac:dyDescent="0.25">
      <c r="B38" s="3">
        <v>30</v>
      </c>
      <c r="C38" s="5">
        <v>42384</v>
      </c>
      <c r="D38" s="4" t="s">
        <v>96</v>
      </c>
      <c r="E38" s="20" t="s">
        <v>12</v>
      </c>
      <c r="F38" s="8" t="s">
        <v>31</v>
      </c>
      <c r="G38" s="3" t="s">
        <v>47</v>
      </c>
      <c r="H38" s="3">
        <v>31.23</v>
      </c>
      <c r="I38" s="4">
        <v>20</v>
      </c>
      <c r="J38" s="21">
        <v>552110</v>
      </c>
    </row>
    <row r="39" spans="2:10" x14ac:dyDescent="0.25">
      <c r="B39" s="3">
        <v>31</v>
      </c>
      <c r="C39" s="5">
        <v>42385</v>
      </c>
      <c r="D39" s="4" t="s">
        <v>97</v>
      </c>
      <c r="E39" s="20" t="s">
        <v>14</v>
      </c>
      <c r="F39" s="8" t="s">
        <v>39</v>
      </c>
      <c r="G39" s="3" t="s">
        <v>0</v>
      </c>
      <c r="H39" s="3">
        <v>18</v>
      </c>
      <c r="I39" s="4">
        <v>40</v>
      </c>
      <c r="J39" s="21">
        <v>686941</v>
      </c>
    </row>
    <row r="40" spans="2:10" x14ac:dyDescent="0.25">
      <c r="B40" s="3">
        <v>32</v>
      </c>
      <c r="C40" s="5">
        <v>42386</v>
      </c>
      <c r="D40" s="4" t="s">
        <v>98</v>
      </c>
      <c r="E40" s="20" t="s">
        <v>14</v>
      </c>
      <c r="F40" s="8" t="s">
        <v>39</v>
      </c>
      <c r="G40" s="3" t="s">
        <v>48</v>
      </c>
      <c r="H40" s="3">
        <v>9</v>
      </c>
      <c r="I40" s="4">
        <v>50</v>
      </c>
      <c r="J40" s="21">
        <v>881156</v>
      </c>
    </row>
    <row r="41" spans="2:10" x14ac:dyDescent="0.25">
      <c r="B41" s="3">
        <v>33</v>
      </c>
      <c r="C41" s="5">
        <v>42387</v>
      </c>
      <c r="D41" s="4" t="s">
        <v>99</v>
      </c>
      <c r="E41" s="20" t="s">
        <v>14</v>
      </c>
      <c r="F41" s="8" t="s">
        <v>39</v>
      </c>
      <c r="G41" s="3" t="s">
        <v>7</v>
      </c>
      <c r="H41" s="3">
        <v>21</v>
      </c>
      <c r="I41" s="4">
        <v>10</v>
      </c>
      <c r="J41" s="21">
        <v>822802</v>
      </c>
    </row>
    <row r="42" spans="2:10" x14ac:dyDescent="0.25">
      <c r="B42" s="3">
        <v>34</v>
      </c>
      <c r="C42" s="5">
        <v>42388</v>
      </c>
      <c r="D42" s="4" t="s">
        <v>100</v>
      </c>
      <c r="E42" s="20" t="s">
        <v>14</v>
      </c>
      <c r="F42" s="8" t="s">
        <v>39</v>
      </c>
      <c r="G42" s="3" t="s">
        <v>34</v>
      </c>
      <c r="H42" s="3">
        <v>12.5</v>
      </c>
      <c r="I42" s="4">
        <v>20</v>
      </c>
      <c r="J42" s="21">
        <v>472645</v>
      </c>
    </row>
    <row r="43" spans="2:10" x14ac:dyDescent="0.25">
      <c r="B43" s="3">
        <v>35</v>
      </c>
      <c r="C43" s="5">
        <v>42389</v>
      </c>
      <c r="D43" s="4" t="s">
        <v>101</v>
      </c>
      <c r="E43" s="20" t="s">
        <v>15</v>
      </c>
      <c r="F43" s="8" t="s">
        <v>49</v>
      </c>
      <c r="G43" s="3" t="s">
        <v>48</v>
      </c>
      <c r="H43" s="3">
        <v>24</v>
      </c>
      <c r="I43" s="4">
        <v>10</v>
      </c>
      <c r="J43" s="21">
        <v>701770</v>
      </c>
    </row>
    <row r="44" spans="2:10" x14ac:dyDescent="0.25">
      <c r="B44" s="3">
        <v>36</v>
      </c>
      <c r="C44" s="5">
        <v>42390</v>
      </c>
      <c r="D44" s="4" t="s">
        <v>102</v>
      </c>
      <c r="E44" s="20" t="s">
        <v>15</v>
      </c>
      <c r="F44" s="8" t="s">
        <v>49</v>
      </c>
      <c r="G44" s="3" t="s">
        <v>50</v>
      </c>
      <c r="H44" s="3">
        <v>21.05</v>
      </c>
      <c r="I44" s="4">
        <v>21</v>
      </c>
      <c r="J44" s="21">
        <v>218387</v>
      </c>
    </row>
    <row r="45" spans="2:10" x14ac:dyDescent="0.25">
      <c r="B45" s="3">
        <v>37</v>
      </c>
      <c r="C45" s="5">
        <v>42391</v>
      </c>
      <c r="D45" s="4" t="s">
        <v>103</v>
      </c>
      <c r="E45" s="20" t="s">
        <v>15</v>
      </c>
      <c r="F45" s="8" t="s">
        <v>49</v>
      </c>
      <c r="G45" s="3" t="s">
        <v>24</v>
      </c>
      <c r="H45" s="3">
        <v>33.25</v>
      </c>
      <c r="I45" s="4">
        <v>15</v>
      </c>
      <c r="J45" s="21">
        <v>608021</v>
      </c>
    </row>
    <row r="46" spans="2:10" x14ac:dyDescent="0.25">
      <c r="B46" s="3">
        <v>38</v>
      </c>
      <c r="C46" s="5">
        <v>42392</v>
      </c>
      <c r="D46" s="4" t="s">
        <v>104</v>
      </c>
      <c r="E46" s="20" t="s">
        <v>15</v>
      </c>
      <c r="F46" s="8" t="s">
        <v>49</v>
      </c>
      <c r="G46" s="3" t="s">
        <v>51</v>
      </c>
      <c r="H46" s="3">
        <v>49.3</v>
      </c>
      <c r="I46" s="4">
        <v>20</v>
      </c>
      <c r="J46" s="21">
        <v>876298</v>
      </c>
    </row>
    <row r="47" spans="2:10" x14ac:dyDescent="0.25">
      <c r="B47" s="3">
        <v>39</v>
      </c>
      <c r="C47" s="5">
        <v>42393</v>
      </c>
      <c r="D47" s="4" t="s">
        <v>105</v>
      </c>
      <c r="E47" s="20" t="s">
        <v>15</v>
      </c>
      <c r="F47" s="8" t="s">
        <v>49</v>
      </c>
      <c r="G47" s="3" t="s">
        <v>24</v>
      </c>
      <c r="H47" s="3">
        <v>31</v>
      </c>
      <c r="I47" s="4">
        <v>10</v>
      </c>
      <c r="J47" s="21">
        <v>145990</v>
      </c>
    </row>
    <row r="48" spans="2:10" x14ac:dyDescent="0.25">
      <c r="B48" s="3">
        <v>40</v>
      </c>
      <c r="C48" s="5">
        <v>42394</v>
      </c>
      <c r="D48" s="4" t="s">
        <v>106</v>
      </c>
      <c r="E48" s="20" t="s">
        <v>12</v>
      </c>
      <c r="F48" s="8" t="s">
        <v>23</v>
      </c>
      <c r="G48" s="3" t="s">
        <v>37</v>
      </c>
      <c r="H48" s="3">
        <v>62.5</v>
      </c>
      <c r="I48" s="4">
        <v>25</v>
      </c>
      <c r="J48" s="21">
        <v>469194</v>
      </c>
    </row>
    <row r="49" spans="2:10" x14ac:dyDescent="0.25">
      <c r="B49" s="3">
        <v>41</v>
      </c>
      <c r="C49" s="5">
        <v>42395</v>
      </c>
      <c r="D49" s="4" t="s">
        <v>107</v>
      </c>
      <c r="E49" s="20" t="s">
        <v>12</v>
      </c>
      <c r="F49" s="8" t="s">
        <v>23</v>
      </c>
      <c r="G49" s="3" t="s">
        <v>52</v>
      </c>
      <c r="H49" s="3">
        <v>17.45</v>
      </c>
      <c r="I49" s="4">
        <v>30</v>
      </c>
      <c r="J49" s="21">
        <v>739447</v>
      </c>
    </row>
    <row r="50" spans="2:10" x14ac:dyDescent="0.25">
      <c r="B50" s="3">
        <v>42</v>
      </c>
      <c r="C50" s="5">
        <v>42396</v>
      </c>
      <c r="D50" s="4" t="s">
        <v>67</v>
      </c>
      <c r="E50" s="20" t="s">
        <v>13</v>
      </c>
      <c r="F50" s="8" t="s">
        <v>25</v>
      </c>
      <c r="G50" s="3" t="s">
        <v>37</v>
      </c>
      <c r="H50" s="3">
        <v>15</v>
      </c>
      <c r="I50" s="4">
        <v>10</v>
      </c>
      <c r="J50" s="21">
        <v>167464</v>
      </c>
    </row>
    <row r="51" spans="2:10" x14ac:dyDescent="0.25">
      <c r="B51" s="3">
        <v>43</v>
      </c>
      <c r="C51" s="5">
        <v>42397</v>
      </c>
      <c r="D51" s="4" t="s">
        <v>68</v>
      </c>
      <c r="E51" s="20" t="s">
        <v>12</v>
      </c>
      <c r="F51" s="8" t="s">
        <v>23</v>
      </c>
      <c r="G51" s="3" t="s">
        <v>53</v>
      </c>
      <c r="H51" s="3">
        <v>13</v>
      </c>
      <c r="I51" s="4">
        <v>40</v>
      </c>
      <c r="J51" s="21">
        <v>443646</v>
      </c>
    </row>
    <row r="52" spans="2:10" x14ac:dyDescent="0.25">
      <c r="B52" s="3">
        <v>44</v>
      </c>
      <c r="C52" s="5">
        <v>42398</v>
      </c>
      <c r="D52" s="4" t="s">
        <v>69</v>
      </c>
      <c r="E52" s="20" t="s">
        <v>12</v>
      </c>
      <c r="F52" s="8" t="s">
        <v>23</v>
      </c>
      <c r="G52" s="3" t="s">
        <v>54</v>
      </c>
      <c r="H52" s="3">
        <v>12.5</v>
      </c>
      <c r="I52" s="4">
        <v>35</v>
      </c>
      <c r="J52" s="21">
        <v>94176</v>
      </c>
    </row>
    <row r="53" spans="2:10" x14ac:dyDescent="0.25">
      <c r="B53" s="3">
        <v>45</v>
      </c>
      <c r="C53" s="5">
        <v>42399</v>
      </c>
      <c r="D53" s="4" t="s">
        <v>70</v>
      </c>
      <c r="E53" s="20" t="s">
        <v>12</v>
      </c>
      <c r="F53" s="8" t="s">
        <v>23</v>
      </c>
      <c r="G53" s="3" t="s">
        <v>24</v>
      </c>
      <c r="H53" s="3">
        <v>31</v>
      </c>
      <c r="I53" s="4">
        <v>70</v>
      </c>
      <c r="J53" s="21">
        <v>413501</v>
      </c>
    </row>
    <row r="54" spans="2:10" x14ac:dyDescent="0.25">
      <c r="B54" s="3">
        <v>46</v>
      </c>
      <c r="C54" s="5">
        <v>42400</v>
      </c>
      <c r="D54" s="4" t="s">
        <v>71</v>
      </c>
      <c r="E54" s="20" t="s">
        <v>15</v>
      </c>
      <c r="F54" s="8" t="s">
        <v>55</v>
      </c>
      <c r="G54" s="3" t="s">
        <v>42</v>
      </c>
      <c r="H54" s="3">
        <v>14</v>
      </c>
      <c r="I54" s="4">
        <v>5</v>
      </c>
      <c r="J54" s="21">
        <v>249286</v>
      </c>
    </row>
    <row r="55" spans="2:10" x14ac:dyDescent="0.25">
      <c r="B55" s="3">
        <v>47</v>
      </c>
      <c r="C55" s="5">
        <v>42401</v>
      </c>
      <c r="D55" s="4" t="s">
        <v>72</v>
      </c>
      <c r="E55" s="20" t="s">
        <v>15</v>
      </c>
      <c r="F55" s="8" t="s">
        <v>49</v>
      </c>
      <c r="G55" s="3" t="s">
        <v>1</v>
      </c>
      <c r="H55" s="3">
        <v>19</v>
      </c>
      <c r="I55" s="4">
        <v>20</v>
      </c>
      <c r="J55" s="21">
        <v>24967</v>
      </c>
    </row>
    <row r="56" spans="2:10" x14ac:dyDescent="0.25">
      <c r="B56" s="3">
        <v>48</v>
      </c>
      <c r="C56" s="5">
        <v>42402</v>
      </c>
      <c r="D56" s="4" t="s">
        <v>73</v>
      </c>
      <c r="E56" s="20" t="s">
        <v>15</v>
      </c>
      <c r="F56" s="8" t="s">
        <v>49</v>
      </c>
      <c r="G56" s="3" t="s">
        <v>34</v>
      </c>
      <c r="H56" s="3">
        <v>12.5</v>
      </c>
      <c r="I56" s="4">
        <v>18</v>
      </c>
      <c r="J56" s="21">
        <v>827756</v>
      </c>
    </row>
    <row r="57" spans="2:10" x14ac:dyDescent="0.25">
      <c r="B57" s="3">
        <v>49</v>
      </c>
      <c r="C57" s="5">
        <v>42403</v>
      </c>
      <c r="D57" s="4" t="s">
        <v>74</v>
      </c>
      <c r="E57" s="20" t="s">
        <v>13</v>
      </c>
      <c r="F57" s="8" t="s">
        <v>27</v>
      </c>
      <c r="G57" s="3" t="s">
        <v>7</v>
      </c>
      <c r="H57" s="3">
        <v>6</v>
      </c>
      <c r="I57" s="4">
        <v>5</v>
      </c>
      <c r="J57" s="21">
        <v>318203</v>
      </c>
    </row>
    <row r="58" spans="2:10" x14ac:dyDescent="0.25">
      <c r="B58" s="3">
        <v>50</v>
      </c>
      <c r="C58" s="5">
        <v>42404</v>
      </c>
      <c r="D58" s="4" t="s">
        <v>75</v>
      </c>
      <c r="E58" s="20" t="s">
        <v>12</v>
      </c>
      <c r="F58" s="8" t="s">
        <v>22</v>
      </c>
      <c r="G58" s="3" t="s">
        <v>37</v>
      </c>
      <c r="H58" s="3">
        <v>15</v>
      </c>
      <c r="I58" s="4">
        <v>3</v>
      </c>
      <c r="J58" s="21">
        <v>235662</v>
      </c>
    </row>
    <row r="59" spans="2:10" x14ac:dyDescent="0.25">
      <c r="B59" s="3">
        <v>51</v>
      </c>
      <c r="C59" s="5">
        <v>42405</v>
      </c>
      <c r="D59" s="4" t="s">
        <v>76</v>
      </c>
      <c r="E59" s="20" t="s">
        <v>12</v>
      </c>
      <c r="F59" s="8" t="s">
        <v>22</v>
      </c>
      <c r="G59" s="3" t="s">
        <v>0</v>
      </c>
      <c r="H59" s="3">
        <v>18</v>
      </c>
      <c r="I59" s="4">
        <v>20</v>
      </c>
      <c r="J59" s="21">
        <v>777980</v>
      </c>
    </row>
    <row r="60" spans="2:10" x14ac:dyDescent="0.25">
      <c r="B60" s="3">
        <v>52</v>
      </c>
      <c r="C60" s="5">
        <v>42406</v>
      </c>
      <c r="D60" s="4" t="s">
        <v>77</v>
      </c>
      <c r="E60" s="20" t="s">
        <v>12</v>
      </c>
      <c r="F60" s="8" t="s">
        <v>23</v>
      </c>
      <c r="G60" s="3" t="s">
        <v>50</v>
      </c>
      <c r="H60" s="3">
        <v>21.05</v>
      </c>
      <c r="I60" s="4">
        <v>21</v>
      </c>
      <c r="J60" s="21">
        <v>869443</v>
      </c>
    </row>
    <row r="61" spans="2:10" x14ac:dyDescent="0.25">
      <c r="B61" s="3">
        <v>53</v>
      </c>
      <c r="C61" s="5">
        <v>42407</v>
      </c>
      <c r="D61" s="4" t="s">
        <v>78</v>
      </c>
      <c r="E61" s="20" t="s">
        <v>12</v>
      </c>
      <c r="F61" s="8" t="s">
        <v>23</v>
      </c>
      <c r="G61" s="3" t="s">
        <v>24</v>
      </c>
      <c r="H61" s="3">
        <v>6</v>
      </c>
      <c r="I61" s="4">
        <v>40</v>
      </c>
      <c r="J61" s="21">
        <v>752157</v>
      </c>
    </row>
    <row r="62" spans="2:10" x14ac:dyDescent="0.25">
      <c r="B62" s="3">
        <v>54</v>
      </c>
      <c r="C62" s="5">
        <v>42408</v>
      </c>
      <c r="D62" s="4" t="s">
        <v>79</v>
      </c>
      <c r="E62" s="20" t="s">
        <v>12</v>
      </c>
      <c r="F62" s="8" t="s">
        <v>23</v>
      </c>
      <c r="G62" s="3" t="s">
        <v>34</v>
      </c>
      <c r="H62" s="3">
        <v>12.5</v>
      </c>
      <c r="I62" s="4">
        <v>20</v>
      </c>
      <c r="J62" s="21">
        <v>699796</v>
      </c>
    </row>
    <row r="63" spans="2:10" x14ac:dyDescent="0.25">
      <c r="B63" s="3">
        <v>55</v>
      </c>
      <c r="C63" s="5">
        <v>42409</v>
      </c>
      <c r="D63" s="4" t="s">
        <v>80</v>
      </c>
      <c r="E63" s="20" t="s">
        <v>12</v>
      </c>
      <c r="F63" s="8" t="s">
        <v>31</v>
      </c>
      <c r="G63" s="3" t="s">
        <v>2</v>
      </c>
      <c r="H63" s="3">
        <v>22</v>
      </c>
      <c r="I63" s="4">
        <v>30</v>
      </c>
      <c r="J63" s="21">
        <v>205991</v>
      </c>
    </row>
    <row r="64" spans="2:10" x14ac:dyDescent="0.25">
      <c r="B64" s="3">
        <v>56</v>
      </c>
      <c r="C64" s="5">
        <v>42410</v>
      </c>
      <c r="D64" s="4" t="s">
        <v>81</v>
      </c>
      <c r="E64" s="20" t="s">
        <v>12</v>
      </c>
      <c r="F64" s="8" t="s">
        <v>31</v>
      </c>
      <c r="G64" s="3" t="s">
        <v>56</v>
      </c>
      <c r="H64" s="3">
        <v>2.5</v>
      </c>
      <c r="I64" s="4">
        <v>40</v>
      </c>
      <c r="J64" s="21">
        <v>709036</v>
      </c>
    </row>
    <row r="65" spans="2:10" x14ac:dyDescent="0.25">
      <c r="B65" s="3">
        <v>57</v>
      </c>
      <c r="C65" s="5">
        <v>42411</v>
      </c>
      <c r="D65" s="4" t="s">
        <v>82</v>
      </c>
      <c r="E65" s="20" t="s">
        <v>12</v>
      </c>
      <c r="F65" s="8" t="s">
        <v>31</v>
      </c>
      <c r="G65" s="3" t="s">
        <v>24</v>
      </c>
      <c r="H65" s="3">
        <v>13.25</v>
      </c>
      <c r="I65" s="4">
        <v>15</v>
      </c>
      <c r="J65" s="21">
        <v>760785</v>
      </c>
    </row>
    <row r="66" spans="2:10" x14ac:dyDescent="0.25">
      <c r="B66" s="3">
        <v>58</v>
      </c>
      <c r="C66" s="5">
        <v>42412</v>
      </c>
      <c r="D66" s="4" t="s">
        <v>83</v>
      </c>
      <c r="E66" s="20" t="s">
        <v>15</v>
      </c>
      <c r="F66" s="8" t="s">
        <v>49</v>
      </c>
      <c r="G66" s="3" t="s">
        <v>44</v>
      </c>
      <c r="H66" s="3">
        <v>14</v>
      </c>
      <c r="I66" s="4">
        <v>15</v>
      </c>
      <c r="J66" s="21">
        <v>413762</v>
      </c>
    </row>
    <row r="67" spans="2:10" x14ac:dyDescent="0.25">
      <c r="B67" s="3">
        <v>59</v>
      </c>
      <c r="C67" s="5">
        <v>42413</v>
      </c>
      <c r="D67" s="4" t="s">
        <v>84</v>
      </c>
      <c r="E67" s="20" t="s">
        <v>15</v>
      </c>
      <c r="F67" s="8" t="s">
        <v>49</v>
      </c>
      <c r="G67" s="3" t="s">
        <v>0</v>
      </c>
      <c r="H67" s="3">
        <v>18</v>
      </c>
      <c r="I67" s="4">
        <v>10</v>
      </c>
      <c r="J67" s="21">
        <v>263216</v>
      </c>
    </row>
    <row r="68" spans="2:10" x14ac:dyDescent="0.25">
      <c r="B68" s="3">
        <v>60</v>
      </c>
      <c r="C68" s="5">
        <v>42414</v>
      </c>
      <c r="D68" s="4" t="s">
        <v>85</v>
      </c>
      <c r="E68" s="20" t="s">
        <v>15</v>
      </c>
      <c r="F68" s="8" t="s">
        <v>49</v>
      </c>
      <c r="G68" s="3" t="s">
        <v>57</v>
      </c>
      <c r="H68" s="3">
        <v>39</v>
      </c>
      <c r="I68" s="4">
        <v>12</v>
      </c>
      <c r="J68" s="21">
        <v>682751</v>
      </c>
    </row>
    <row r="69" spans="2:10" x14ac:dyDescent="0.25">
      <c r="B69" s="3">
        <v>61</v>
      </c>
      <c r="C69" s="5">
        <v>42415</v>
      </c>
      <c r="D69" s="4" t="s">
        <v>86</v>
      </c>
      <c r="E69" s="20" t="s">
        <v>13</v>
      </c>
      <c r="F69" s="8" t="s">
        <v>25</v>
      </c>
      <c r="G69" s="3" t="s">
        <v>7</v>
      </c>
      <c r="H69" s="3">
        <v>19.5</v>
      </c>
      <c r="I69" s="4">
        <v>80</v>
      </c>
      <c r="J69" s="21">
        <v>232461</v>
      </c>
    </row>
    <row r="70" spans="2:10" x14ac:dyDescent="0.25">
      <c r="B70" s="3">
        <v>62</v>
      </c>
      <c r="C70" s="5">
        <v>42416</v>
      </c>
      <c r="D70" s="4" t="s">
        <v>87</v>
      </c>
      <c r="E70" s="20" t="s">
        <v>13</v>
      </c>
      <c r="F70" s="8" t="s">
        <v>27</v>
      </c>
      <c r="G70" s="3" t="s">
        <v>58</v>
      </c>
      <c r="H70" s="3">
        <v>32</v>
      </c>
      <c r="I70" s="4">
        <v>6</v>
      </c>
      <c r="J70" s="21">
        <v>634905</v>
      </c>
    </row>
    <row r="71" spans="2:10" x14ac:dyDescent="0.25">
      <c r="B71" s="3">
        <v>63</v>
      </c>
      <c r="C71" s="5">
        <v>42417</v>
      </c>
      <c r="D71" s="4" t="s">
        <v>88</v>
      </c>
      <c r="E71" s="20" t="s">
        <v>13</v>
      </c>
      <c r="F71" s="8" t="s">
        <v>27</v>
      </c>
      <c r="G71" s="3" t="s">
        <v>52</v>
      </c>
      <c r="H71" s="3">
        <v>17.45</v>
      </c>
      <c r="I71" s="4">
        <v>6</v>
      </c>
      <c r="J71" s="21">
        <v>316052</v>
      </c>
    </row>
    <row r="72" spans="2:10" x14ac:dyDescent="0.25">
      <c r="B72" s="3">
        <v>64</v>
      </c>
      <c r="C72" s="5">
        <v>42418</v>
      </c>
      <c r="D72" s="4" t="s">
        <v>89</v>
      </c>
      <c r="E72" s="20" t="s">
        <v>12</v>
      </c>
      <c r="F72" s="8" t="s">
        <v>31</v>
      </c>
      <c r="G72" s="3" t="s">
        <v>59</v>
      </c>
      <c r="H72" s="3">
        <v>21.5</v>
      </c>
      <c r="I72" s="4">
        <v>25</v>
      </c>
      <c r="J72" s="21">
        <v>802384</v>
      </c>
    </row>
    <row r="73" spans="2:10" x14ac:dyDescent="0.25">
      <c r="B73" s="3">
        <v>65</v>
      </c>
      <c r="C73" s="5">
        <v>42419</v>
      </c>
      <c r="D73" s="4" t="s">
        <v>90</v>
      </c>
      <c r="E73" s="20" t="s">
        <v>15</v>
      </c>
      <c r="F73" s="8" t="s">
        <v>60</v>
      </c>
      <c r="G73" s="3" t="s">
        <v>33</v>
      </c>
      <c r="H73" s="3">
        <v>34</v>
      </c>
      <c r="I73" s="4">
        <v>10</v>
      </c>
      <c r="J73" s="21">
        <v>898955</v>
      </c>
    </row>
    <row r="74" spans="2:10" x14ac:dyDescent="0.25">
      <c r="B74" s="3">
        <v>66</v>
      </c>
      <c r="C74" s="5">
        <v>42420</v>
      </c>
      <c r="D74" s="4" t="s">
        <v>91</v>
      </c>
      <c r="E74" s="20" t="s">
        <v>15</v>
      </c>
      <c r="F74" s="8" t="s">
        <v>60</v>
      </c>
      <c r="G74" s="3" t="s">
        <v>37</v>
      </c>
      <c r="H74" s="3">
        <v>25.89</v>
      </c>
      <c r="I74" s="4">
        <v>1</v>
      </c>
      <c r="J74" s="21">
        <v>115064</v>
      </c>
    </row>
    <row r="75" spans="2:10" x14ac:dyDescent="0.25">
      <c r="B75" s="3">
        <v>67</v>
      </c>
      <c r="C75" s="5">
        <v>42421</v>
      </c>
      <c r="D75" s="4" t="s">
        <v>92</v>
      </c>
      <c r="E75" s="20" t="s">
        <v>12</v>
      </c>
      <c r="F75" s="8" t="s">
        <v>23</v>
      </c>
      <c r="G75" s="3" t="s">
        <v>61</v>
      </c>
      <c r="H75" s="3">
        <v>4.5</v>
      </c>
      <c r="I75" s="4">
        <v>35</v>
      </c>
      <c r="J75" s="21">
        <v>386094</v>
      </c>
    </row>
    <row r="76" spans="2:10" x14ac:dyDescent="0.25">
      <c r="B76" s="3">
        <v>68</v>
      </c>
      <c r="C76" s="5">
        <v>42422</v>
      </c>
      <c r="D76" s="4" t="s">
        <v>93</v>
      </c>
      <c r="E76" s="20" t="s">
        <v>12</v>
      </c>
      <c r="F76" s="8" t="s">
        <v>23</v>
      </c>
      <c r="G76" s="3" t="s">
        <v>57</v>
      </c>
      <c r="H76" s="3">
        <v>39</v>
      </c>
      <c r="I76" s="4">
        <v>15</v>
      </c>
      <c r="J76" s="21">
        <v>685171</v>
      </c>
    </row>
    <row r="77" spans="2:10" x14ac:dyDescent="0.25">
      <c r="B77" s="3">
        <v>69</v>
      </c>
      <c r="C77" s="5">
        <v>42423</v>
      </c>
      <c r="D77" s="4" t="s">
        <v>94</v>
      </c>
      <c r="E77" s="20" t="s">
        <v>14</v>
      </c>
      <c r="F77" s="8" t="s">
        <v>43</v>
      </c>
      <c r="G77" s="3" t="s">
        <v>40</v>
      </c>
      <c r="H77" s="3">
        <v>16.25</v>
      </c>
      <c r="I77" s="4">
        <v>24</v>
      </c>
      <c r="J77" s="21">
        <v>48842</v>
      </c>
    </row>
    <row r="78" spans="2:10" x14ac:dyDescent="0.25">
      <c r="B78" s="3">
        <v>70</v>
      </c>
      <c r="C78" s="5">
        <v>42424</v>
      </c>
      <c r="D78" s="4" t="s">
        <v>95</v>
      </c>
      <c r="E78" s="20" t="s">
        <v>12</v>
      </c>
      <c r="F78" s="8" t="s">
        <v>23</v>
      </c>
      <c r="G78" s="3" t="s">
        <v>7</v>
      </c>
      <c r="H78" s="3">
        <v>7</v>
      </c>
      <c r="I78" s="4">
        <v>12</v>
      </c>
      <c r="J78" s="21">
        <v>754827</v>
      </c>
    </row>
    <row r="79" spans="2:10" x14ac:dyDescent="0.25">
      <c r="B79" s="3">
        <v>71</v>
      </c>
      <c r="C79" s="5">
        <v>42425</v>
      </c>
      <c r="D79" s="4" t="s">
        <v>96</v>
      </c>
      <c r="E79" s="20" t="s">
        <v>12</v>
      </c>
      <c r="F79" s="8" t="s">
        <v>23</v>
      </c>
      <c r="G79" s="3" t="s">
        <v>48</v>
      </c>
      <c r="H79" s="3">
        <v>19</v>
      </c>
      <c r="I79" s="4">
        <v>25</v>
      </c>
      <c r="J79" s="21">
        <v>659575</v>
      </c>
    </row>
    <row r="80" spans="2:10" x14ac:dyDescent="0.25">
      <c r="B80" s="3">
        <v>72</v>
      </c>
      <c r="C80" s="5">
        <v>42426</v>
      </c>
      <c r="D80" s="4" t="s">
        <v>97</v>
      </c>
      <c r="E80" s="20" t="s">
        <v>15</v>
      </c>
      <c r="F80" s="8" t="s">
        <v>55</v>
      </c>
      <c r="G80" s="3" t="s">
        <v>62</v>
      </c>
      <c r="H80" s="3">
        <v>18</v>
      </c>
      <c r="I80" s="4">
        <v>5</v>
      </c>
      <c r="J80" s="21">
        <v>521053</v>
      </c>
    </row>
    <row r="81" spans="2:10" x14ac:dyDescent="0.25">
      <c r="B81" s="3">
        <v>73</v>
      </c>
      <c r="C81" s="5">
        <v>42427</v>
      </c>
      <c r="D81" s="4" t="s">
        <v>98</v>
      </c>
      <c r="E81" s="20" t="s">
        <v>15</v>
      </c>
      <c r="F81" s="8" t="s">
        <v>55</v>
      </c>
      <c r="G81" s="3" t="s">
        <v>63</v>
      </c>
      <c r="H81" s="3">
        <v>9.5</v>
      </c>
      <c r="I81" s="4">
        <v>5</v>
      </c>
      <c r="J81" s="21">
        <v>647040</v>
      </c>
    </row>
    <row r="82" spans="2:10" x14ac:dyDescent="0.25">
      <c r="B82" s="3">
        <v>74</v>
      </c>
      <c r="C82" s="5">
        <v>42428</v>
      </c>
      <c r="D82" s="4" t="s">
        <v>99</v>
      </c>
      <c r="E82" s="20" t="s">
        <v>14</v>
      </c>
      <c r="F82" s="8" t="s">
        <v>35</v>
      </c>
      <c r="G82" s="3" t="s">
        <v>64</v>
      </c>
      <c r="H82" s="3">
        <v>32.799999999999997</v>
      </c>
      <c r="I82" s="4">
        <v>2</v>
      </c>
      <c r="J82" s="21">
        <v>818299</v>
      </c>
    </row>
    <row r="83" spans="2:10" x14ac:dyDescent="0.25">
      <c r="B83" s="3">
        <v>75</v>
      </c>
      <c r="C83" s="5">
        <v>42430</v>
      </c>
      <c r="D83" s="4" t="s">
        <v>100</v>
      </c>
      <c r="E83" s="20" t="s">
        <v>14</v>
      </c>
      <c r="F83" s="8" t="s">
        <v>35</v>
      </c>
      <c r="G83" s="3" t="s">
        <v>24</v>
      </c>
      <c r="H83" s="3">
        <v>28.5</v>
      </c>
      <c r="I83" s="4">
        <v>30</v>
      </c>
      <c r="J83" s="21">
        <v>425847</v>
      </c>
    </row>
    <row r="84" spans="2:10" x14ac:dyDescent="0.25">
      <c r="B84" s="3">
        <v>76</v>
      </c>
      <c r="C84" s="5">
        <v>42431</v>
      </c>
      <c r="D84" s="4" t="s">
        <v>101</v>
      </c>
      <c r="E84" s="20" t="s">
        <v>12</v>
      </c>
      <c r="F84" s="8" t="s">
        <v>22</v>
      </c>
      <c r="G84" s="3" t="s">
        <v>0</v>
      </c>
      <c r="H84" s="3">
        <v>18</v>
      </c>
      <c r="I84" s="4">
        <v>21</v>
      </c>
      <c r="J84" s="21">
        <v>520577</v>
      </c>
    </row>
    <row r="85" spans="2:10" x14ac:dyDescent="0.25">
      <c r="B85" s="3">
        <v>77</v>
      </c>
      <c r="C85" s="5">
        <v>42432</v>
      </c>
      <c r="D85" s="4" t="s">
        <v>102</v>
      </c>
      <c r="E85" s="20" t="s">
        <v>12</v>
      </c>
      <c r="F85" s="8" t="s">
        <v>22</v>
      </c>
      <c r="G85" s="3" t="s">
        <v>40</v>
      </c>
      <c r="H85" s="3">
        <v>9</v>
      </c>
      <c r="I85" s="4">
        <v>8</v>
      </c>
      <c r="J85" s="21">
        <v>821888</v>
      </c>
    </row>
    <row r="86" spans="2:10" x14ac:dyDescent="0.25">
      <c r="B86" s="3">
        <v>78</v>
      </c>
      <c r="C86" s="5">
        <v>42433</v>
      </c>
      <c r="D86" s="4" t="s">
        <v>103</v>
      </c>
      <c r="E86" s="20" t="s">
        <v>12</v>
      </c>
      <c r="F86" s="8" t="s">
        <v>22</v>
      </c>
      <c r="G86" s="3" t="s">
        <v>48</v>
      </c>
      <c r="H86" s="3">
        <v>62.5</v>
      </c>
      <c r="I86" s="4">
        <v>4</v>
      </c>
      <c r="J86" s="21">
        <v>471741</v>
      </c>
    </row>
    <row r="87" spans="2:10" x14ac:dyDescent="0.25">
      <c r="B87" s="3">
        <v>79</v>
      </c>
      <c r="C87" s="5">
        <v>42434</v>
      </c>
      <c r="D87" s="4" t="s">
        <v>104</v>
      </c>
      <c r="E87" s="20" t="s">
        <v>13</v>
      </c>
      <c r="F87" s="8" t="s">
        <v>25</v>
      </c>
      <c r="G87" s="3" t="s">
        <v>65</v>
      </c>
      <c r="H87" s="3">
        <v>14</v>
      </c>
      <c r="I87" s="4">
        <v>20</v>
      </c>
      <c r="J87" s="21">
        <v>186417</v>
      </c>
    </row>
    <row r="88" spans="2:10" x14ac:dyDescent="0.25">
      <c r="B88" s="3">
        <v>80</v>
      </c>
      <c r="C88" s="5">
        <v>42435</v>
      </c>
      <c r="D88" s="4" t="s">
        <v>105</v>
      </c>
      <c r="E88" s="20" t="s">
        <v>13</v>
      </c>
      <c r="F88" s="8" t="s">
        <v>25</v>
      </c>
      <c r="G88" s="3" t="s">
        <v>7</v>
      </c>
      <c r="H88" s="3">
        <v>45.6</v>
      </c>
      <c r="I88" s="4">
        <v>8</v>
      </c>
      <c r="J88" s="21">
        <v>736221</v>
      </c>
    </row>
    <row r="89" spans="2:10" x14ac:dyDescent="0.25">
      <c r="B89" s="3">
        <v>81</v>
      </c>
      <c r="C89" s="5">
        <v>42436</v>
      </c>
      <c r="D89" s="4" t="s">
        <v>106</v>
      </c>
      <c r="E89" s="20" t="s">
        <v>14</v>
      </c>
      <c r="F89" s="8" t="s">
        <v>39</v>
      </c>
      <c r="G89" s="3" t="s">
        <v>24</v>
      </c>
      <c r="H89" s="3">
        <v>21</v>
      </c>
      <c r="I89" s="4">
        <v>21</v>
      </c>
      <c r="J89" s="21">
        <v>360175</v>
      </c>
    </row>
    <row r="90" spans="2:10" x14ac:dyDescent="0.25">
      <c r="B90" s="3">
        <v>82</v>
      </c>
      <c r="C90" s="5">
        <v>42437</v>
      </c>
      <c r="D90" s="4" t="s">
        <v>107</v>
      </c>
      <c r="E90" s="20" t="s">
        <v>14</v>
      </c>
      <c r="F90" s="8" t="s">
        <v>39</v>
      </c>
      <c r="G90" s="3" t="s">
        <v>24</v>
      </c>
      <c r="H90" s="3">
        <v>6</v>
      </c>
      <c r="I90" s="4">
        <v>15</v>
      </c>
      <c r="J90" s="21">
        <v>857114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9F0D-3174-42D4-BF8D-6B7E4087A8A3}">
  <dimension ref="B1:N37"/>
  <sheetViews>
    <sheetView showGridLines="0" zoomScale="110" zoomScaleNormal="110" workbookViewId="0">
      <selection activeCell="B24" activeCellId="3" sqref="B7 B9 B19 B24"/>
    </sheetView>
  </sheetViews>
  <sheetFormatPr baseColWidth="10" defaultColWidth="10.28515625" defaultRowHeight="12.75" x14ac:dyDescent="0.2"/>
  <cols>
    <col min="1" max="1" width="3.85546875" style="76" customWidth="1"/>
    <col min="2" max="2" width="7.85546875" style="76" customWidth="1"/>
    <col min="3" max="3" width="20.42578125" style="76" customWidth="1"/>
    <col min="4" max="4" width="14.5703125" style="76" customWidth="1"/>
    <col min="5" max="5" width="39.140625" style="76" customWidth="1"/>
    <col min="6" max="6" width="10" style="76" customWidth="1"/>
    <col min="7" max="7" width="9.5703125" style="76" customWidth="1"/>
    <col min="8" max="8" width="13.28515625" style="76" customWidth="1"/>
    <col min="9" max="13" width="10.28515625" style="76"/>
    <col min="14" max="14" width="3" style="76" customWidth="1"/>
    <col min="15" max="16384" width="10.28515625" style="76"/>
  </cols>
  <sheetData>
    <row r="1" spans="2:14" x14ac:dyDescent="0.2">
      <c r="B1" s="105"/>
      <c r="C1" s="105"/>
      <c r="D1" s="105"/>
      <c r="E1" s="105"/>
      <c r="F1" s="105"/>
    </row>
    <row r="3" spans="2:14" ht="15.75" thickBot="1" x14ac:dyDescent="0.3">
      <c r="B3" s="106" t="s">
        <v>384</v>
      </c>
      <c r="C3" s="106" t="s">
        <v>385</v>
      </c>
      <c r="D3" s="106" t="s">
        <v>386</v>
      </c>
      <c r="E3" s="106" t="s">
        <v>387</v>
      </c>
      <c r="F3" s="106" t="s">
        <v>388</v>
      </c>
      <c r="G3" s="107"/>
      <c r="H3" s="108" t="s">
        <v>389</v>
      </c>
      <c r="I3" s="109" t="s">
        <v>129</v>
      </c>
      <c r="J3" s="109" t="s">
        <v>120</v>
      </c>
      <c r="K3" s="109" t="s">
        <v>126</v>
      </c>
      <c r="L3" s="109" t="s">
        <v>123</v>
      </c>
      <c r="N3" s="76">
        <v>1</v>
      </c>
    </row>
    <row r="4" spans="2:14" ht="13.5" thickBot="1" x14ac:dyDescent="0.25">
      <c r="B4" s="110" t="s">
        <v>390</v>
      </c>
      <c r="C4" s="111" t="s">
        <v>391</v>
      </c>
      <c r="D4" s="112" t="s">
        <v>129</v>
      </c>
      <c r="E4" s="113" t="s">
        <v>392</v>
      </c>
      <c r="F4" s="114">
        <v>95</v>
      </c>
      <c r="G4" s="107"/>
      <c r="H4" s="115" t="s">
        <v>393</v>
      </c>
      <c r="I4" s="116">
        <v>0.01</v>
      </c>
      <c r="J4" s="116">
        <v>0.02</v>
      </c>
      <c r="K4" s="116">
        <v>0.05</v>
      </c>
      <c r="L4" s="116">
        <v>0.1</v>
      </c>
      <c r="N4" s="76">
        <v>2</v>
      </c>
    </row>
    <row r="5" spans="2:14" ht="13.5" thickTop="1" x14ac:dyDescent="0.2">
      <c r="B5" s="117" t="s">
        <v>394</v>
      </c>
      <c r="C5" s="118" t="s">
        <v>391</v>
      </c>
      <c r="D5" s="119" t="s">
        <v>129</v>
      </c>
      <c r="E5" s="113" t="s">
        <v>395</v>
      </c>
      <c r="F5" s="120">
        <v>120</v>
      </c>
      <c r="G5" s="121"/>
    </row>
    <row r="6" spans="2:14" x14ac:dyDescent="0.2">
      <c r="B6" s="117" t="s">
        <v>396</v>
      </c>
      <c r="C6" s="118" t="s">
        <v>391</v>
      </c>
      <c r="D6" s="119" t="s">
        <v>129</v>
      </c>
      <c r="E6" s="122" t="s">
        <v>397</v>
      </c>
      <c r="F6" s="120">
        <v>140</v>
      </c>
      <c r="G6" s="121"/>
    </row>
    <row r="7" spans="2:14" ht="13.5" thickBot="1" x14ac:dyDescent="0.25">
      <c r="B7" s="123" t="s">
        <v>398</v>
      </c>
      <c r="C7" s="124" t="s">
        <v>391</v>
      </c>
      <c r="D7" s="125" t="s">
        <v>129</v>
      </c>
      <c r="E7" s="126" t="s">
        <v>399</v>
      </c>
      <c r="F7" s="127">
        <v>185</v>
      </c>
      <c r="G7" s="128"/>
    </row>
    <row r="8" spans="2:14" ht="13.5" thickTop="1" x14ac:dyDescent="0.2">
      <c r="B8" s="110" t="s">
        <v>400</v>
      </c>
      <c r="C8" s="111" t="s">
        <v>401</v>
      </c>
      <c r="D8" s="112" t="s">
        <v>120</v>
      </c>
      <c r="E8" s="111" t="s">
        <v>402</v>
      </c>
      <c r="F8" s="129">
        <v>55</v>
      </c>
      <c r="G8" s="128"/>
    </row>
    <row r="9" spans="2:14" x14ac:dyDescent="0.2">
      <c r="B9" s="110" t="s">
        <v>403</v>
      </c>
      <c r="C9" s="118" t="s">
        <v>401</v>
      </c>
      <c r="D9" s="119" t="s">
        <v>120</v>
      </c>
      <c r="E9" s="118" t="s">
        <v>404</v>
      </c>
      <c r="F9" s="130">
        <v>15</v>
      </c>
      <c r="G9" s="128"/>
    </row>
    <row r="10" spans="2:14" x14ac:dyDescent="0.2">
      <c r="B10" s="110" t="s">
        <v>405</v>
      </c>
      <c r="C10" s="118" t="s">
        <v>401</v>
      </c>
      <c r="D10" s="119" t="s">
        <v>120</v>
      </c>
      <c r="E10" s="118" t="s">
        <v>406</v>
      </c>
      <c r="F10" s="130">
        <v>32</v>
      </c>
      <c r="G10" s="128"/>
    </row>
    <row r="11" spans="2:14" x14ac:dyDescent="0.2">
      <c r="B11" s="117" t="s">
        <v>407</v>
      </c>
      <c r="C11" s="118" t="s">
        <v>401</v>
      </c>
      <c r="D11" s="131" t="s">
        <v>120</v>
      </c>
      <c r="E11" s="118" t="s">
        <v>408</v>
      </c>
      <c r="F11" s="130">
        <v>12</v>
      </c>
      <c r="G11" s="128"/>
    </row>
    <row r="12" spans="2:14" x14ac:dyDescent="0.2">
      <c r="B12" s="117" t="s">
        <v>409</v>
      </c>
      <c r="C12" s="118" t="s">
        <v>401</v>
      </c>
      <c r="D12" s="131" t="s">
        <v>120</v>
      </c>
      <c r="E12" s="118" t="s">
        <v>410</v>
      </c>
      <c r="F12" s="130">
        <v>28</v>
      </c>
      <c r="G12" s="128"/>
    </row>
    <row r="13" spans="2:14" x14ac:dyDescent="0.2">
      <c r="B13" s="117" t="s">
        <v>411</v>
      </c>
      <c r="C13" s="132" t="s">
        <v>412</v>
      </c>
      <c r="D13" s="131" t="s">
        <v>120</v>
      </c>
      <c r="E13" s="132" t="s">
        <v>413</v>
      </c>
      <c r="F13" s="130">
        <v>80</v>
      </c>
      <c r="G13" s="128"/>
    </row>
    <row r="14" spans="2:14" x14ac:dyDescent="0.2">
      <c r="B14" s="117" t="s">
        <v>414</v>
      </c>
      <c r="C14" s="132" t="s">
        <v>412</v>
      </c>
      <c r="D14" s="131" t="s">
        <v>120</v>
      </c>
      <c r="E14" s="132" t="s">
        <v>415</v>
      </c>
      <c r="F14" s="130">
        <v>90</v>
      </c>
      <c r="G14" s="128"/>
    </row>
    <row r="15" spans="2:14" ht="13.5" thickBot="1" x14ac:dyDescent="0.25">
      <c r="B15" s="123" t="s">
        <v>416</v>
      </c>
      <c r="C15" s="126" t="s">
        <v>412</v>
      </c>
      <c r="D15" s="133" t="s">
        <v>120</v>
      </c>
      <c r="E15" s="126" t="s">
        <v>417</v>
      </c>
      <c r="F15" s="134">
        <v>110</v>
      </c>
      <c r="G15" s="128"/>
    </row>
    <row r="16" spans="2:14" ht="13.5" thickTop="1" x14ac:dyDescent="0.2">
      <c r="B16" s="117" t="s">
        <v>418</v>
      </c>
      <c r="C16" s="118" t="s">
        <v>419</v>
      </c>
      <c r="D16" s="119" t="s">
        <v>126</v>
      </c>
      <c r="E16" s="118" t="s">
        <v>420</v>
      </c>
      <c r="F16" s="130">
        <v>50</v>
      </c>
      <c r="G16" s="128"/>
    </row>
    <row r="17" spans="2:7" x14ac:dyDescent="0.2">
      <c r="B17" s="117" t="s">
        <v>421</v>
      </c>
      <c r="C17" s="118" t="s">
        <v>419</v>
      </c>
      <c r="D17" s="119" t="s">
        <v>126</v>
      </c>
      <c r="E17" s="118" t="s">
        <v>422</v>
      </c>
      <c r="F17" s="130">
        <v>125</v>
      </c>
      <c r="G17" s="128"/>
    </row>
    <row r="18" spans="2:7" x14ac:dyDescent="0.2">
      <c r="B18" s="117" t="s">
        <v>423</v>
      </c>
      <c r="C18" s="118" t="s">
        <v>419</v>
      </c>
      <c r="D18" s="119" t="s">
        <v>126</v>
      </c>
      <c r="E18" s="135" t="s">
        <v>424</v>
      </c>
      <c r="F18" s="130">
        <v>175</v>
      </c>
      <c r="G18" s="128"/>
    </row>
    <row r="19" spans="2:7" ht="13.5" thickBot="1" x14ac:dyDescent="0.25">
      <c r="B19" s="123" t="s">
        <v>425</v>
      </c>
      <c r="C19" s="124" t="s">
        <v>419</v>
      </c>
      <c r="D19" s="125" t="s">
        <v>126</v>
      </c>
      <c r="E19" s="124" t="s">
        <v>426</v>
      </c>
      <c r="F19" s="134">
        <v>220</v>
      </c>
      <c r="G19" s="128"/>
    </row>
    <row r="20" spans="2:7" ht="13.5" thickTop="1" x14ac:dyDescent="0.2">
      <c r="B20" s="110" t="s">
        <v>427</v>
      </c>
      <c r="C20" s="136" t="s">
        <v>428</v>
      </c>
      <c r="D20" s="137" t="s">
        <v>126</v>
      </c>
      <c r="E20" s="132" t="s">
        <v>429</v>
      </c>
      <c r="F20" s="129">
        <v>32</v>
      </c>
      <c r="G20" s="128"/>
    </row>
    <row r="21" spans="2:7" x14ac:dyDescent="0.2">
      <c r="B21" s="110" t="s">
        <v>430</v>
      </c>
      <c r="C21" s="132" t="s">
        <v>428</v>
      </c>
      <c r="D21" s="131" t="s">
        <v>126</v>
      </c>
      <c r="E21" s="132" t="s">
        <v>431</v>
      </c>
      <c r="F21" s="130">
        <v>40</v>
      </c>
      <c r="G21" s="128"/>
    </row>
    <row r="22" spans="2:7" x14ac:dyDescent="0.2">
      <c r="B22" s="110" t="s">
        <v>432</v>
      </c>
      <c r="C22" s="132" t="s">
        <v>428</v>
      </c>
      <c r="D22" s="131" t="s">
        <v>126</v>
      </c>
      <c r="E22" s="132" t="s">
        <v>433</v>
      </c>
      <c r="F22" s="130">
        <v>74</v>
      </c>
      <c r="G22" s="128"/>
    </row>
    <row r="23" spans="2:7" x14ac:dyDescent="0.2">
      <c r="B23" s="110" t="s">
        <v>434</v>
      </c>
      <c r="C23" s="111" t="s">
        <v>435</v>
      </c>
      <c r="D23" s="112" t="s">
        <v>123</v>
      </c>
      <c r="E23" s="111" t="s">
        <v>436</v>
      </c>
      <c r="F23" s="129">
        <v>30</v>
      </c>
      <c r="G23" s="128"/>
    </row>
    <row r="24" spans="2:7" x14ac:dyDescent="0.2">
      <c r="B24" s="117" t="s">
        <v>437</v>
      </c>
      <c r="C24" s="132" t="s">
        <v>435</v>
      </c>
      <c r="D24" s="131" t="s">
        <v>123</v>
      </c>
      <c r="E24" s="132" t="s">
        <v>438</v>
      </c>
      <c r="F24" s="130">
        <v>28</v>
      </c>
      <c r="G24" s="128"/>
    </row>
    <row r="25" spans="2:7" x14ac:dyDescent="0.2">
      <c r="B25" s="117" t="s">
        <v>439</v>
      </c>
      <c r="C25" s="132" t="s">
        <v>435</v>
      </c>
      <c r="D25" s="131" t="s">
        <v>123</v>
      </c>
      <c r="E25" s="132" t="s">
        <v>440</v>
      </c>
      <c r="F25" s="130">
        <v>95</v>
      </c>
      <c r="G25" s="128"/>
    </row>
    <row r="26" spans="2:7" x14ac:dyDescent="0.2">
      <c r="B26" s="117" t="s">
        <v>441</v>
      </c>
      <c r="C26" s="118" t="s">
        <v>442</v>
      </c>
      <c r="D26" s="119" t="s">
        <v>123</v>
      </c>
      <c r="E26" s="132" t="s">
        <v>443</v>
      </c>
      <c r="F26" s="130">
        <v>55</v>
      </c>
      <c r="G26" s="128"/>
    </row>
    <row r="27" spans="2:7" x14ac:dyDescent="0.2">
      <c r="B27" s="117" t="s">
        <v>444</v>
      </c>
      <c r="C27" s="118" t="s">
        <v>442</v>
      </c>
      <c r="D27" s="119" t="s">
        <v>123</v>
      </c>
      <c r="E27" s="132" t="s">
        <v>445</v>
      </c>
      <c r="F27" s="130">
        <v>15</v>
      </c>
      <c r="G27" s="128"/>
    </row>
    <row r="28" spans="2:7" x14ac:dyDescent="0.2">
      <c r="B28" s="117" t="s">
        <v>446</v>
      </c>
      <c r="C28" s="118" t="s">
        <v>442</v>
      </c>
      <c r="D28" s="119" t="s">
        <v>123</v>
      </c>
      <c r="E28" s="132" t="s">
        <v>447</v>
      </c>
      <c r="F28" s="130">
        <v>20</v>
      </c>
      <c r="G28" s="128"/>
    </row>
    <row r="29" spans="2:7" x14ac:dyDescent="0.2">
      <c r="B29" s="138" t="s">
        <v>448</v>
      </c>
      <c r="C29" s="139" t="s">
        <v>442</v>
      </c>
      <c r="D29" s="140" t="s">
        <v>123</v>
      </c>
      <c r="E29" s="141" t="s">
        <v>449</v>
      </c>
      <c r="F29" s="142">
        <v>15</v>
      </c>
    </row>
    <row r="30" spans="2:7" x14ac:dyDescent="0.2">
      <c r="B30" s="143"/>
      <c r="C30" s="144"/>
      <c r="D30" s="144"/>
    </row>
    <row r="31" spans="2:7" x14ac:dyDescent="0.2">
      <c r="B31" s="143">
        <v>1</v>
      </c>
      <c r="C31" s="144">
        <v>2</v>
      </c>
      <c r="D31" s="144">
        <v>3</v>
      </c>
      <c r="E31" s="76">
        <v>4</v>
      </c>
      <c r="F31" s="76">
        <v>5</v>
      </c>
    </row>
    <row r="32" spans="2:7" x14ac:dyDescent="0.2">
      <c r="B32" s="143"/>
      <c r="C32" s="144"/>
      <c r="D32" s="144"/>
    </row>
    <row r="33" spans="2:4" x14ac:dyDescent="0.2">
      <c r="B33" s="143"/>
      <c r="C33" s="144"/>
      <c r="D33" s="144"/>
    </row>
    <row r="34" spans="2:4" x14ac:dyDescent="0.2">
      <c r="B34" s="143"/>
      <c r="C34" s="144"/>
      <c r="D34" s="144"/>
    </row>
    <row r="35" spans="2:4" x14ac:dyDescent="0.2">
      <c r="B35" s="143"/>
      <c r="C35" s="144"/>
      <c r="D35" s="144"/>
    </row>
    <row r="36" spans="2:4" x14ac:dyDescent="0.2">
      <c r="B36" s="143"/>
      <c r="C36" s="144"/>
      <c r="D36" s="144"/>
    </row>
    <row r="37" spans="2:4" x14ac:dyDescent="0.2">
      <c r="B37" s="143"/>
      <c r="C37" s="144"/>
      <c r="D37" s="144"/>
    </row>
  </sheetData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B1B2-64E1-43AE-86EE-A20F4E24C5D9}">
  <dimension ref="A1:F19"/>
  <sheetViews>
    <sheetView zoomScale="120" zoomScaleNormal="120" workbookViewId="0">
      <selection activeCell="D2" sqref="D2:D17"/>
    </sheetView>
  </sheetViews>
  <sheetFormatPr baseColWidth="10" defaultRowHeight="12.75" x14ac:dyDescent="0.2"/>
  <cols>
    <col min="1" max="1" width="10.5703125" style="148" customWidth="1"/>
    <col min="2" max="2" width="19.5703125" style="148" bestFit="1" customWidth="1"/>
    <col min="3" max="3" width="29.140625" style="148" bestFit="1" customWidth="1"/>
    <col min="4" max="4" width="36.140625" style="148" bestFit="1" customWidth="1"/>
    <col min="5" max="5" width="14.140625" style="148" customWidth="1"/>
    <col min="6" max="6" width="13" style="148" customWidth="1"/>
    <col min="7" max="16384" width="11.42578125" style="148"/>
  </cols>
  <sheetData>
    <row r="1" spans="1:6" x14ac:dyDescent="0.2">
      <c r="A1" s="145" t="s">
        <v>450</v>
      </c>
      <c r="B1" s="146" t="s">
        <v>451</v>
      </c>
      <c r="C1" s="146" t="s">
        <v>452</v>
      </c>
      <c r="D1" s="146" t="s">
        <v>453</v>
      </c>
      <c r="E1" s="146" t="s">
        <v>454</v>
      </c>
      <c r="F1" s="147" t="s">
        <v>455</v>
      </c>
    </row>
    <row r="2" spans="1:6" x14ac:dyDescent="0.2">
      <c r="A2" s="328" t="s">
        <v>456</v>
      </c>
      <c r="B2" s="149" t="s">
        <v>457</v>
      </c>
      <c r="C2" s="150" t="s">
        <v>458</v>
      </c>
      <c r="D2" s="150" t="s">
        <v>459</v>
      </c>
      <c r="E2" s="151" t="s">
        <v>460</v>
      </c>
      <c r="F2" s="152">
        <v>4708077</v>
      </c>
    </row>
    <row r="3" spans="1:6" x14ac:dyDescent="0.2">
      <c r="A3" s="329" t="s">
        <v>461</v>
      </c>
      <c r="B3" s="153" t="s">
        <v>462</v>
      </c>
      <c r="C3" s="154" t="s">
        <v>463</v>
      </c>
      <c r="D3" s="154" t="s">
        <v>464</v>
      </c>
      <c r="E3" s="155" t="s">
        <v>465</v>
      </c>
      <c r="F3" s="156">
        <v>4339002</v>
      </c>
    </row>
    <row r="4" spans="1:6" x14ac:dyDescent="0.2">
      <c r="A4" s="328" t="s">
        <v>466</v>
      </c>
      <c r="B4" s="149" t="s">
        <v>467</v>
      </c>
      <c r="C4" s="150" t="s">
        <v>468</v>
      </c>
      <c r="D4" s="150" t="s">
        <v>469</v>
      </c>
      <c r="E4" s="151" t="s">
        <v>460</v>
      </c>
      <c r="F4" s="152">
        <v>2211620</v>
      </c>
    </row>
    <row r="5" spans="1:6" x14ac:dyDescent="0.2">
      <c r="A5" s="329" t="s">
        <v>470</v>
      </c>
      <c r="B5" s="153" t="s">
        <v>471</v>
      </c>
      <c r="C5" s="154" t="s">
        <v>472</v>
      </c>
      <c r="D5" s="154" t="s">
        <v>473</v>
      </c>
      <c r="E5" s="155" t="s">
        <v>460</v>
      </c>
      <c r="F5" s="156">
        <v>2256987</v>
      </c>
    </row>
    <row r="6" spans="1:6" x14ac:dyDescent="0.2">
      <c r="A6" s="328" t="s">
        <v>474</v>
      </c>
      <c r="B6" s="149" t="s">
        <v>475</v>
      </c>
      <c r="C6" s="150" t="s">
        <v>476</v>
      </c>
      <c r="D6" s="150" t="s">
        <v>477</v>
      </c>
      <c r="E6" s="151" t="s">
        <v>465</v>
      </c>
      <c r="F6" s="152">
        <v>4334306</v>
      </c>
    </row>
    <row r="7" spans="1:6" x14ac:dyDescent="0.2">
      <c r="A7" s="329" t="s">
        <v>478</v>
      </c>
      <c r="B7" s="153" t="s">
        <v>479</v>
      </c>
      <c r="C7" s="154" t="s">
        <v>480</v>
      </c>
      <c r="D7" s="154" t="s">
        <v>481</v>
      </c>
      <c r="E7" s="155" t="s">
        <v>482</v>
      </c>
      <c r="F7" s="156">
        <v>3345689</v>
      </c>
    </row>
    <row r="8" spans="1:6" x14ac:dyDescent="0.2">
      <c r="A8" s="328" t="s">
        <v>483</v>
      </c>
      <c r="B8" s="149" t="s">
        <v>484</v>
      </c>
      <c r="C8" s="150" t="s">
        <v>485</v>
      </c>
      <c r="D8" s="150" t="s">
        <v>486</v>
      </c>
      <c r="E8" s="151" t="s">
        <v>460</v>
      </c>
      <c r="F8" s="152">
        <v>4753628</v>
      </c>
    </row>
    <row r="9" spans="1:6" x14ac:dyDescent="0.2">
      <c r="A9" s="329" t="s">
        <v>487</v>
      </c>
      <c r="B9" s="153" t="s">
        <v>488</v>
      </c>
      <c r="C9" s="154" t="s">
        <v>489</v>
      </c>
      <c r="D9" s="154" t="s">
        <v>490</v>
      </c>
      <c r="E9" s="155" t="s">
        <v>460</v>
      </c>
      <c r="F9" s="156">
        <v>4701111</v>
      </c>
    </row>
    <row r="10" spans="1:6" x14ac:dyDescent="0.2">
      <c r="A10" s="328" t="s">
        <v>491</v>
      </c>
      <c r="B10" s="149" t="s">
        <v>492</v>
      </c>
      <c r="C10" s="150" t="s">
        <v>493</v>
      </c>
      <c r="D10" s="150" t="s">
        <v>494</v>
      </c>
      <c r="E10" s="151" t="s">
        <v>482</v>
      </c>
      <c r="F10" s="152">
        <v>3310719</v>
      </c>
    </row>
    <row r="11" spans="1:6" x14ac:dyDescent="0.2">
      <c r="A11" s="329" t="s">
        <v>495</v>
      </c>
      <c r="B11" s="153" t="s">
        <v>496</v>
      </c>
      <c r="C11" s="154" t="s">
        <v>497</v>
      </c>
      <c r="D11" s="154" t="s">
        <v>498</v>
      </c>
      <c r="E11" s="155" t="s">
        <v>482</v>
      </c>
      <c r="F11" s="156">
        <v>3146077</v>
      </c>
    </row>
    <row r="12" spans="1:6" x14ac:dyDescent="0.2">
      <c r="A12" s="328" t="s">
        <v>499</v>
      </c>
      <c r="B12" s="149" t="s">
        <v>500</v>
      </c>
      <c r="C12" s="150" t="s">
        <v>501</v>
      </c>
      <c r="D12" s="150" t="s">
        <v>502</v>
      </c>
      <c r="E12" s="151" t="s">
        <v>460</v>
      </c>
      <c r="F12" s="152">
        <v>2254758</v>
      </c>
    </row>
    <row r="13" spans="1:6" x14ac:dyDescent="0.2">
      <c r="A13" s="329" t="s">
        <v>503</v>
      </c>
      <c r="B13" s="153" t="s">
        <v>504</v>
      </c>
      <c r="C13" s="154" t="s">
        <v>505</v>
      </c>
      <c r="D13" s="154" t="s">
        <v>506</v>
      </c>
      <c r="E13" s="155" t="s">
        <v>482</v>
      </c>
      <c r="F13" s="156">
        <v>3356897</v>
      </c>
    </row>
    <row r="14" spans="1:6" x14ac:dyDescent="0.2">
      <c r="A14" s="328" t="s">
        <v>507</v>
      </c>
      <c r="B14" s="149" t="s">
        <v>508</v>
      </c>
      <c r="C14" s="150" t="s">
        <v>509</v>
      </c>
      <c r="D14" s="150" t="s">
        <v>510</v>
      </c>
      <c r="E14" s="151" t="s">
        <v>465</v>
      </c>
      <c r="F14" s="152">
        <v>4215689</v>
      </c>
    </row>
    <row r="15" spans="1:6" x14ac:dyDescent="0.2">
      <c r="A15" s="329" t="s">
        <v>511</v>
      </c>
      <c r="B15" s="153" t="s">
        <v>512</v>
      </c>
      <c r="C15" s="154" t="s">
        <v>513</v>
      </c>
      <c r="D15" s="154" t="s">
        <v>514</v>
      </c>
      <c r="E15" s="155" t="s">
        <v>465</v>
      </c>
      <c r="F15" s="156">
        <v>4338722</v>
      </c>
    </row>
    <row r="16" spans="1:6" x14ac:dyDescent="0.2">
      <c r="A16" s="328" t="s">
        <v>515</v>
      </c>
      <c r="B16" s="149" t="s">
        <v>516</v>
      </c>
      <c r="C16" s="150" t="s">
        <v>517</v>
      </c>
      <c r="D16" s="150" t="s">
        <v>518</v>
      </c>
      <c r="E16" s="151" t="s">
        <v>519</v>
      </c>
      <c r="F16" s="152">
        <v>2230575</v>
      </c>
    </row>
    <row r="17" spans="1:6" ht="13.5" thickBot="1" x14ac:dyDescent="0.25">
      <c r="A17" s="330" t="s">
        <v>520</v>
      </c>
      <c r="B17" s="157" t="s">
        <v>521</v>
      </c>
      <c r="C17" s="158" t="s">
        <v>522</v>
      </c>
      <c r="D17" s="158" t="s">
        <v>523</v>
      </c>
      <c r="E17" s="159" t="s">
        <v>482</v>
      </c>
      <c r="F17" s="160">
        <v>3354689</v>
      </c>
    </row>
    <row r="18" spans="1:6" ht="13.5" thickTop="1" x14ac:dyDescent="0.2"/>
    <row r="19" spans="1:6" x14ac:dyDescent="0.2">
      <c r="A19" s="148">
        <v>1</v>
      </c>
      <c r="B19" s="148">
        <v>2</v>
      </c>
      <c r="C19" s="148">
        <v>3</v>
      </c>
      <c r="D19" s="148">
        <v>4</v>
      </c>
      <c r="E19" s="148">
        <v>5</v>
      </c>
      <c r="F19" s="148">
        <v>6</v>
      </c>
    </row>
  </sheetData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25B4-266C-4D6A-93BD-EE00A5690B0F}">
  <sheetPr>
    <tabColor rgb="FF002060"/>
  </sheetPr>
  <dimension ref="A1:J28"/>
  <sheetViews>
    <sheetView showGridLines="0" tabSelected="1" zoomScale="130" zoomScaleNormal="130" workbookViewId="0">
      <selection activeCell="G18" sqref="G18"/>
    </sheetView>
  </sheetViews>
  <sheetFormatPr baseColWidth="10" defaultColWidth="0" defaultRowHeight="12.75" customHeight="1" zeroHeight="1" x14ac:dyDescent="0.2"/>
  <cols>
    <col min="1" max="1" width="2.42578125" style="161" customWidth="1"/>
    <col min="2" max="2" width="10.5703125" style="161" customWidth="1"/>
    <col min="3" max="3" width="18.5703125" style="161" customWidth="1"/>
    <col min="4" max="4" width="17.5703125" style="161" customWidth="1"/>
    <col min="5" max="5" width="33.42578125" style="161" customWidth="1"/>
    <col min="6" max="7" width="12.5703125" style="161" customWidth="1"/>
    <col min="8" max="8" width="11.85546875" style="161" customWidth="1"/>
    <col min="9" max="9" width="14.28515625" style="162" customWidth="1"/>
    <col min="10" max="10" width="5.42578125" style="161" customWidth="1"/>
    <col min="11" max="16384" width="11.42578125" style="161" hidden="1"/>
  </cols>
  <sheetData>
    <row r="1" spans="1:9" x14ac:dyDescent="0.2"/>
    <row r="2" spans="1:9" x14ac:dyDescent="0.2"/>
    <row r="3" spans="1:9" x14ac:dyDescent="0.2"/>
    <row r="4" spans="1:9" x14ac:dyDescent="0.2"/>
    <row r="5" spans="1:9" x14ac:dyDescent="0.2"/>
    <row r="6" spans="1:9" x14ac:dyDescent="0.2"/>
    <row r="7" spans="1:9" x14ac:dyDescent="0.2"/>
    <row r="8" spans="1:9" x14ac:dyDescent="0.2"/>
    <row r="9" spans="1:9" ht="13.5" thickBot="1" x14ac:dyDescent="0.25">
      <c r="B9" s="163"/>
      <c r="C9" s="163"/>
      <c r="D9" s="163"/>
      <c r="E9" s="163"/>
      <c r="F9" s="163"/>
      <c r="G9" s="163"/>
      <c r="H9" s="163"/>
      <c r="I9" s="164"/>
    </row>
    <row r="10" spans="1:9" ht="24" thickTop="1" x14ac:dyDescent="0.35">
      <c r="A10" s="165"/>
      <c r="B10" s="166" t="s">
        <v>524</v>
      </c>
      <c r="C10" s="167"/>
      <c r="D10" s="167"/>
      <c r="E10" s="167"/>
      <c r="F10" s="168"/>
      <c r="G10" s="168"/>
      <c r="H10" s="168"/>
      <c r="I10" s="169"/>
    </row>
    <row r="11" spans="1:9" x14ac:dyDescent="0.2">
      <c r="A11" s="165"/>
      <c r="B11" s="170" t="s">
        <v>525</v>
      </c>
      <c r="C11" s="171"/>
      <c r="D11" s="172" t="s">
        <v>526</v>
      </c>
      <c r="E11" s="171"/>
      <c r="I11" s="173"/>
    </row>
    <row r="12" spans="1:9" x14ac:dyDescent="0.2">
      <c r="A12" s="165"/>
      <c r="D12" s="171"/>
      <c r="E12" s="171"/>
      <c r="I12" s="173"/>
    </row>
    <row r="13" spans="1:9" ht="16.5" x14ac:dyDescent="0.3">
      <c r="A13" s="165"/>
      <c r="B13" s="174" t="s">
        <v>527</v>
      </c>
      <c r="C13" s="175" t="s">
        <v>491</v>
      </c>
      <c r="D13" s="171"/>
      <c r="E13" s="171"/>
      <c r="H13" s="174" t="s">
        <v>528</v>
      </c>
      <c r="I13" s="176">
        <v>1</v>
      </c>
    </row>
    <row r="14" spans="1:9" ht="16.5" x14ac:dyDescent="0.3">
      <c r="A14" s="165"/>
      <c r="B14" s="174" t="s">
        <v>529</v>
      </c>
      <c r="C14" s="284" t="str">
        <f>IFERROR(VLOOKUP(C13,EMPRESA,3,0),"No existe Código Empresa, Dígite otro")</f>
        <v>INMOBILIARIA EMPORIUM S.A.C.</v>
      </c>
      <c r="D14" s="284"/>
      <c r="H14" s="174" t="s">
        <v>530</v>
      </c>
      <c r="I14" s="177">
        <f ca="1">TODAY()</f>
        <v>44968</v>
      </c>
    </row>
    <row r="15" spans="1:9" ht="17.25" customHeight="1" x14ac:dyDescent="0.3">
      <c r="A15" s="165"/>
      <c r="B15" s="174" t="s">
        <v>531</v>
      </c>
      <c r="C15" s="332" t="str">
        <f>IFERROR(VLOOKUP(C13,EMPRESA,4,0) &amp; " | "&amp;VLOOKUP(C13,EMPRESA,5,0),"No existe Código Empresa, Dígite otro")</f>
        <v>Jr. NAZCA 672 URB SANTA BEATRIZ | JESUS MARIA</v>
      </c>
      <c r="D15" s="333"/>
      <c r="E15" s="333"/>
      <c r="I15" s="173"/>
    </row>
    <row r="16" spans="1:9" ht="12.75" customHeight="1" thickBot="1" x14ac:dyDescent="0.25">
      <c r="A16" s="165"/>
      <c r="B16" s="178"/>
      <c r="C16" s="178"/>
      <c r="D16" s="178"/>
      <c r="E16" s="178"/>
      <c r="F16" s="178"/>
      <c r="G16" s="178"/>
      <c r="H16" s="178"/>
      <c r="I16" s="179"/>
    </row>
    <row r="17" spans="1:9" ht="16.5" thickTop="1" thickBot="1" x14ac:dyDescent="0.3">
      <c r="A17" s="165"/>
      <c r="B17" s="180" t="s">
        <v>450</v>
      </c>
      <c r="C17" s="181" t="s">
        <v>385</v>
      </c>
      <c r="D17" s="181" t="s">
        <v>386</v>
      </c>
      <c r="E17" s="181" t="s">
        <v>532</v>
      </c>
      <c r="F17" s="181" t="s">
        <v>388</v>
      </c>
      <c r="G17" s="181" t="s">
        <v>533</v>
      </c>
      <c r="H17" s="181" t="s">
        <v>534</v>
      </c>
      <c r="I17" s="182" t="s">
        <v>535</v>
      </c>
    </row>
    <row r="18" spans="1:9" ht="15.75" thickTop="1" x14ac:dyDescent="0.2">
      <c r="A18" s="165"/>
      <c r="B18" s="183" t="s">
        <v>398</v>
      </c>
      <c r="C18" s="184" t="str">
        <f>IFERROR(VLOOKUP(B18,PRODUCTO,2,0),"")</f>
        <v>PLACA PRINCIPAL</v>
      </c>
      <c r="D18" s="185" t="str">
        <f>IFERROR(VLOOKUP(B18,PRODUCTO,3,0),"")</f>
        <v>A</v>
      </c>
      <c r="E18" s="184" t="str">
        <f>IFERROR(VLOOKUP(B18,PRODUCTO,4,0),"")</f>
        <v>PENTIUM IV 3 GHZ - 2 GB INTEL</v>
      </c>
      <c r="F18" s="184">
        <f>IFERROR(VLOOKUP(B18,PRODUCTO,5,0),"")</f>
        <v>185</v>
      </c>
      <c r="G18" s="186">
        <f>IFERROR(HLOOKUP(D18,CATE,2,0),"")</f>
        <v>0.01</v>
      </c>
      <c r="H18" s="187">
        <v>2</v>
      </c>
      <c r="I18" s="188">
        <f>IFERROR(F18*H18*(1-G18),"")</f>
        <v>366.3</v>
      </c>
    </row>
    <row r="19" spans="1:9" ht="15" x14ac:dyDescent="0.2">
      <c r="A19" s="165"/>
      <c r="B19" s="189" t="s">
        <v>403</v>
      </c>
      <c r="C19" s="184" t="str">
        <f>IFERROR(VLOOKUP(B19,PRODUCTO,2,0),"")</f>
        <v>UNIDAD DE DISCO</v>
      </c>
      <c r="D19" s="185" t="str">
        <f>IFERROR(VLOOKUP(B19,PRODUCTO,3,0),"")</f>
        <v>B</v>
      </c>
      <c r="E19" s="184" t="str">
        <f>IFERROR(VLOOKUP(B19,PRODUCTO,4,0),"")</f>
        <v>DISCO EXTRAIBLE 1 GB KINGSTON</v>
      </c>
      <c r="F19" s="184">
        <f>IFERROR(VLOOKUP(B19,PRODUCTO,5,0),"")</f>
        <v>15</v>
      </c>
      <c r="G19" s="190">
        <f>IFERROR(HLOOKUP(D19,CATE,2,0),"")</f>
        <v>0.02</v>
      </c>
      <c r="H19" s="191">
        <v>4</v>
      </c>
      <c r="I19" s="192">
        <f t="shared" ref="I18:I24" si="0">IFERROR(F19*H19*(1-G19),"")</f>
        <v>58.8</v>
      </c>
    </row>
    <row r="20" spans="1:9" ht="15" x14ac:dyDescent="0.2">
      <c r="A20" s="165"/>
      <c r="B20" s="189" t="s">
        <v>425</v>
      </c>
      <c r="C20" s="184" t="str">
        <f>IFERROR(VLOOKUP(B20,PRODUCTO,2,0),"")</f>
        <v>MONITOR</v>
      </c>
      <c r="D20" s="185" t="str">
        <f>IFERROR(VLOOKUP(B20,PRODUCTO,3,0),"")</f>
        <v>C</v>
      </c>
      <c r="E20" s="184" t="str">
        <f>IFERROR(VLOOKUP(B20,PRODUCTO,4,0),"")</f>
        <v>LCD 17" SAMSUNG</v>
      </c>
      <c r="F20" s="184">
        <f>IFERROR(VLOOKUP(B20,PRODUCTO,5,0),"")</f>
        <v>220</v>
      </c>
      <c r="G20" s="190">
        <f>IFERROR(HLOOKUP(D20,CATE,2,0),"")</f>
        <v>0.05</v>
      </c>
      <c r="H20" s="191">
        <v>5</v>
      </c>
      <c r="I20" s="192">
        <f t="shared" si="0"/>
        <v>1045</v>
      </c>
    </row>
    <row r="21" spans="1:9" ht="15" x14ac:dyDescent="0.2">
      <c r="A21" s="165"/>
      <c r="B21" s="189"/>
      <c r="C21" s="184" t="str">
        <f>IFERROR(VLOOKUP(B21,PRODUCTO,2,0),"")</f>
        <v/>
      </c>
      <c r="D21" s="185" t="str">
        <f>IFERROR(VLOOKUP(B21,PRODUCTO,3,0),"")</f>
        <v/>
      </c>
      <c r="E21" s="184" t="str">
        <f>IFERROR(VLOOKUP(B21,PRODUCTO,4,0),"")</f>
        <v/>
      </c>
      <c r="F21" s="184" t="str">
        <f>IFERROR(VLOOKUP(B21,PRODUCTO,5,0),"")</f>
        <v/>
      </c>
      <c r="G21" s="190" t="str">
        <f>IFERROR(HLOOKUP(D21,CATE,2,0),"")</f>
        <v/>
      </c>
      <c r="H21" s="191"/>
      <c r="I21" s="192" t="str">
        <f t="shared" si="0"/>
        <v/>
      </c>
    </row>
    <row r="22" spans="1:9" ht="15" x14ac:dyDescent="0.2">
      <c r="A22" s="165"/>
      <c r="B22" s="189"/>
      <c r="C22" s="193" t="str">
        <f>IFERROR(VLOOKUP(B22,PRODUCTO,2,0),"")</f>
        <v/>
      </c>
      <c r="D22" s="194" t="str">
        <f>IFERROR(VLOOKUP(B22,PRODUCTO,3,0),"")</f>
        <v/>
      </c>
      <c r="E22" s="193" t="str">
        <f>IFERROR(VLOOKUP(B22,PRODUCTO,4,0),"")</f>
        <v/>
      </c>
      <c r="F22" s="193" t="str">
        <f>IFERROR(VLOOKUP(B22,PRODUCTO,5,0),"")</f>
        <v/>
      </c>
      <c r="G22" s="190" t="str">
        <f>IFERROR(HLOOKUP(D22,CATE,2,0),"")</f>
        <v/>
      </c>
      <c r="H22" s="191"/>
      <c r="I22" s="195" t="str">
        <f t="shared" si="0"/>
        <v/>
      </c>
    </row>
    <row r="23" spans="1:9" ht="15" x14ac:dyDescent="0.2">
      <c r="A23" s="165"/>
      <c r="B23" s="189"/>
      <c r="C23" s="193" t="str">
        <f>IFERROR(VLOOKUP(B23,PRODUCTO,2,0),"")</f>
        <v/>
      </c>
      <c r="D23" s="194" t="str">
        <f>IFERROR(VLOOKUP(B23,PRODUCTO,3,0),"")</f>
        <v/>
      </c>
      <c r="E23" s="193" t="str">
        <f>IFERROR(VLOOKUP(B23,PRODUCTO,4,0),"")</f>
        <v/>
      </c>
      <c r="F23" s="193" t="str">
        <f>IFERROR(VLOOKUP(B23,PRODUCTO,5,0),"")</f>
        <v/>
      </c>
      <c r="G23" s="190" t="str">
        <f>IFERROR(HLOOKUP(D23,CATE,2,0),"")</f>
        <v/>
      </c>
      <c r="H23" s="191"/>
      <c r="I23" s="195" t="str">
        <f t="shared" si="0"/>
        <v/>
      </c>
    </row>
    <row r="24" spans="1:9" ht="15.75" thickBot="1" x14ac:dyDescent="0.25">
      <c r="A24" s="165"/>
      <c r="B24" s="196"/>
      <c r="C24" s="197" t="str">
        <f>IFERROR(VLOOKUP(B24,PRODUCTO,2,0),"")</f>
        <v/>
      </c>
      <c r="D24" s="198" t="str">
        <f>IFERROR(VLOOKUP(B24,PRODUCTO,3,0),"")</f>
        <v/>
      </c>
      <c r="E24" s="197" t="str">
        <f>IFERROR(VLOOKUP(B24,PRODUCTO,4,0),"")</f>
        <v/>
      </c>
      <c r="F24" s="197" t="str">
        <f>IFERROR(VLOOKUP(B24,PRODUCTO,5,0),"")</f>
        <v/>
      </c>
      <c r="G24" s="199" t="str">
        <f>IFERROR(HLOOKUP(D24,CATE,2,0),"")</f>
        <v/>
      </c>
      <c r="H24" s="200"/>
      <c r="I24" s="201" t="str">
        <f t="shared" si="0"/>
        <v/>
      </c>
    </row>
    <row r="25" spans="1:9" ht="13.5" thickTop="1" x14ac:dyDescent="0.2">
      <c r="A25" s="165"/>
      <c r="F25" s="202"/>
      <c r="G25" s="285" t="s">
        <v>536</v>
      </c>
      <c r="H25" s="285"/>
      <c r="I25" s="188">
        <f>SUM(I18:I24)</f>
        <v>1470.1</v>
      </c>
    </row>
    <row r="26" spans="1:9" ht="13.5" thickBot="1" x14ac:dyDescent="0.25">
      <c r="A26" s="165"/>
      <c r="B26" s="203" t="s">
        <v>537</v>
      </c>
      <c r="C26" s="203"/>
      <c r="D26" s="203"/>
      <c r="E26" s="203"/>
      <c r="F26" s="204"/>
      <c r="G26" s="286" t="s">
        <v>538</v>
      </c>
      <c r="H26" s="287"/>
      <c r="I26" s="331">
        <f>18%*I25</f>
        <v>264.61799999999999</v>
      </c>
    </row>
    <row r="27" spans="1:9" ht="14.25" thickTop="1" thickBot="1" x14ac:dyDescent="0.25">
      <c r="A27" s="165"/>
      <c r="B27" s="163"/>
      <c r="C27" s="163"/>
      <c r="D27" s="163"/>
      <c r="E27" s="163"/>
      <c r="F27" s="205"/>
      <c r="G27" s="288" t="s">
        <v>539</v>
      </c>
      <c r="H27" s="289"/>
      <c r="I27" s="206">
        <f>I25+I26</f>
        <v>1734.7179999999998</v>
      </c>
    </row>
    <row r="28" spans="1:9" ht="13.5" thickTop="1" x14ac:dyDescent="0.2"/>
  </sheetData>
  <mergeCells count="5">
    <mergeCell ref="C14:D14"/>
    <mergeCell ref="G25:H25"/>
    <mergeCell ref="G26:H26"/>
    <mergeCell ref="G27:H27"/>
    <mergeCell ref="C15:E15"/>
  </mergeCells>
  <printOptions gridLinesSet="0"/>
  <pageMargins left="0.75" right="0.75" top="1" bottom="1" header="0.511811024" footer="0.511811024"/>
  <pageSetup orientation="portrait" horizontalDpi="120" verticalDpi="144" r:id="rId1"/>
  <headerFooter alignWithMargins="0">
    <oddHeader>&amp;A</oddHead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38A7-573F-45B1-8299-43F1B198F920}">
  <sheetPr>
    <tabColor rgb="FFFFFF00"/>
  </sheetPr>
  <dimension ref="A1:G37"/>
  <sheetViews>
    <sheetView showGridLines="0" zoomScale="120" zoomScaleNormal="120" workbookViewId="0">
      <selection activeCell="D25" sqref="D25"/>
    </sheetView>
  </sheetViews>
  <sheetFormatPr baseColWidth="10" defaultColWidth="11.42578125" defaultRowHeight="15" customHeight="1" x14ac:dyDescent="0.25"/>
  <cols>
    <col min="1" max="1" width="19.85546875" style="260" customWidth="1"/>
    <col min="2" max="2" width="11.42578125" style="260" customWidth="1"/>
    <col min="3" max="3" width="25.5703125" style="260" customWidth="1"/>
    <col min="4" max="4" width="33.85546875" customWidth="1"/>
    <col min="5" max="5" width="7.140625" customWidth="1"/>
    <col min="6" max="6" width="24" customWidth="1"/>
    <col min="7" max="7" width="11.42578125" style="260" customWidth="1"/>
    <col min="8" max="16384" width="11.42578125" style="260"/>
  </cols>
  <sheetData>
    <row r="1" spans="1:7" x14ac:dyDescent="0.25">
      <c r="D1" s="260"/>
      <c r="E1" s="260"/>
      <c r="F1" s="260"/>
    </row>
    <row r="2" spans="1:7" x14ac:dyDescent="0.25">
      <c r="D2" s="260"/>
      <c r="E2" s="260"/>
      <c r="F2" s="260"/>
    </row>
    <row r="3" spans="1:7" x14ac:dyDescent="0.25">
      <c r="D3" s="260"/>
      <c r="E3" s="260"/>
      <c r="F3" s="260"/>
    </row>
    <row r="4" spans="1:7" x14ac:dyDescent="0.25">
      <c r="D4" s="260"/>
      <c r="E4" s="260"/>
      <c r="F4" s="260"/>
    </row>
    <row r="5" spans="1:7" x14ac:dyDescent="0.25">
      <c r="D5" s="260"/>
      <c r="E5" s="260"/>
      <c r="F5" s="260"/>
    </row>
    <row r="6" spans="1:7" x14ac:dyDescent="0.25">
      <c r="D6" s="260"/>
      <c r="E6" s="260"/>
      <c r="F6" s="260"/>
    </row>
    <row r="7" spans="1:7" x14ac:dyDescent="0.25">
      <c r="D7" s="260"/>
      <c r="E7" s="260"/>
      <c r="F7" s="260"/>
    </row>
    <row r="8" spans="1:7" ht="15.75" x14ac:dyDescent="0.25">
      <c r="A8" s="261" t="s">
        <v>573</v>
      </c>
      <c r="B8" s="269" t="s">
        <v>585</v>
      </c>
      <c r="C8" s="269"/>
      <c r="D8" s="269"/>
      <c r="E8" s="262"/>
      <c r="F8" s="262"/>
      <c r="G8" s="262"/>
    </row>
    <row r="9" spans="1:7" ht="8.25" customHeight="1" x14ac:dyDescent="0.25">
      <c r="A9" s="263"/>
      <c r="B9" s="264"/>
      <c r="C9" s="264"/>
      <c r="D9" s="264"/>
      <c r="E9" s="264"/>
      <c r="F9" s="262"/>
      <c r="G9" s="262"/>
    </row>
    <row r="10" spans="1:7" ht="15.75" x14ac:dyDescent="0.25">
      <c r="A10" s="261" t="s">
        <v>574</v>
      </c>
      <c r="B10" s="269" t="s">
        <v>575</v>
      </c>
      <c r="C10" s="269"/>
      <c r="D10" s="261" t="s">
        <v>581</v>
      </c>
      <c r="E10" s="269" t="s">
        <v>576</v>
      </c>
      <c r="F10" s="269"/>
      <c r="G10" s="262"/>
    </row>
    <row r="11" spans="1:7" ht="15.75" thickBot="1" x14ac:dyDescent="0.3">
      <c r="A11" s="264"/>
      <c r="B11" s="264"/>
      <c r="C11" s="264"/>
      <c r="D11" s="264"/>
      <c r="E11" s="264"/>
      <c r="F11" s="262"/>
      <c r="G11" s="262"/>
    </row>
    <row r="12" spans="1:7" ht="24" customHeight="1" thickBot="1" x14ac:dyDescent="0.4">
      <c r="A12" s="263" t="s">
        <v>570</v>
      </c>
      <c r="B12" s="264"/>
      <c r="C12" s="264"/>
      <c r="D12" s="266" t="str">
        <f>UPPER(E10)</f>
        <v>PACHECO CONTRERAS</v>
      </c>
      <c r="E12" s="262"/>
      <c r="F12" s="262"/>
      <c r="G12" s="262"/>
    </row>
    <row r="13" spans="1:7" ht="15.75" thickBot="1" x14ac:dyDescent="0.3">
      <c r="A13" s="263"/>
      <c r="B13" s="264"/>
      <c r="C13" s="264"/>
      <c r="D13" s="264"/>
      <c r="E13" s="262"/>
      <c r="F13" s="262"/>
      <c r="G13" s="262"/>
    </row>
    <row r="14" spans="1:7" ht="24" customHeight="1" thickBot="1" x14ac:dyDescent="0.4">
      <c r="A14" s="263" t="s">
        <v>571</v>
      </c>
      <c r="B14" s="264"/>
      <c r="C14" s="264"/>
      <c r="D14" s="266" t="str">
        <f>PROPER(B10)</f>
        <v>Johnny Martin</v>
      </c>
      <c r="E14" s="262"/>
      <c r="F14" s="262"/>
      <c r="G14" s="262"/>
    </row>
    <row r="15" spans="1:7" ht="15.75" thickBot="1" x14ac:dyDescent="0.3">
      <c r="A15" s="263"/>
      <c r="B15" s="264"/>
      <c r="C15" s="264"/>
      <c r="D15" s="264"/>
      <c r="E15" s="262"/>
      <c r="F15" s="262"/>
      <c r="G15" s="262"/>
    </row>
    <row r="16" spans="1:7" ht="24" customHeight="1" thickBot="1" x14ac:dyDescent="0.4">
      <c r="A16" s="263" t="s">
        <v>578</v>
      </c>
      <c r="B16" s="264"/>
      <c r="C16" s="264"/>
      <c r="D16" s="273" t="str">
        <f>LOWER(B8)</f>
        <v>universidad nacional de ingeniería</v>
      </c>
      <c r="E16" s="274"/>
      <c r="F16" s="275"/>
      <c r="G16" s="262"/>
    </row>
    <row r="17" spans="1:7" ht="15.75" thickBot="1" x14ac:dyDescent="0.3">
      <c r="A17" s="263"/>
      <c r="B17" s="264"/>
      <c r="C17" s="264"/>
      <c r="D17" s="264"/>
      <c r="E17" s="262"/>
      <c r="F17" s="262"/>
      <c r="G17" s="262"/>
    </row>
    <row r="18" spans="1:7" ht="24" customHeight="1" thickBot="1" x14ac:dyDescent="0.4">
      <c r="A18" s="263" t="s">
        <v>577</v>
      </c>
      <c r="B18" s="264"/>
      <c r="C18" s="264"/>
      <c r="D18" s="266" t="str">
        <f>LEFT(B8,11)</f>
        <v>UNIVERSIDAD</v>
      </c>
      <c r="E18" s="262"/>
      <c r="F18" s="262"/>
      <c r="G18" s="262"/>
    </row>
    <row r="19" spans="1:7" ht="15.75" thickBot="1" x14ac:dyDescent="0.3">
      <c r="A19" s="263"/>
      <c r="B19" s="264"/>
      <c r="C19" s="264"/>
      <c r="D19" s="264"/>
      <c r="E19" s="264"/>
      <c r="F19" s="262"/>
      <c r="G19" s="262"/>
    </row>
    <row r="20" spans="1:7" ht="24" customHeight="1" thickBot="1" x14ac:dyDescent="0.4">
      <c r="A20" s="263" t="s">
        <v>579</v>
      </c>
      <c r="B20" s="264"/>
      <c r="C20" s="264"/>
      <c r="D20" s="266" t="str">
        <f>RIGHT(B8,10)</f>
        <v>INGENIERÍA</v>
      </c>
      <c r="E20" s="264"/>
      <c r="F20" s="262"/>
      <c r="G20" s="262"/>
    </row>
    <row r="21" spans="1:7" ht="15.75" thickBot="1" x14ac:dyDescent="0.3">
      <c r="A21" s="263"/>
      <c r="B21" s="264"/>
      <c r="C21" s="264"/>
      <c r="D21" s="264"/>
      <c r="E21" s="264"/>
      <c r="F21" s="262"/>
      <c r="G21" s="262"/>
    </row>
    <row r="22" spans="1:7" ht="24" customHeight="1" thickBot="1" x14ac:dyDescent="0.4">
      <c r="A22" s="263" t="s">
        <v>580</v>
      </c>
      <c r="B22" s="264"/>
      <c r="C22" s="264"/>
      <c r="D22" s="266" t="str">
        <f>MID(B8,13,8)</f>
        <v>NACIONAL</v>
      </c>
      <c r="E22" s="264"/>
      <c r="F22" s="262"/>
      <c r="G22" s="262"/>
    </row>
    <row r="23" spans="1:7" ht="15.75" thickBot="1" x14ac:dyDescent="0.3">
      <c r="A23" s="265"/>
      <c r="B23" s="264"/>
      <c r="C23" s="264"/>
      <c r="D23" s="264"/>
      <c r="E23" s="264"/>
      <c r="F23" s="262"/>
      <c r="G23" s="262"/>
    </row>
    <row r="24" spans="1:7" ht="24" customHeight="1" thickBot="1" x14ac:dyDescent="0.4">
      <c r="A24" s="263" t="s">
        <v>572</v>
      </c>
      <c r="B24" s="264"/>
      <c r="C24" s="264"/>
      <c r="D24" s="270" t="str">
        <f>D12&amp;", "&amp;D14</f>
        <v>PACHECO CONTRERAS, Johnny Martin</v>
      </c>
      <c r="E24" s="271"/>
      <c r="F24" s="272"/>
      <c r="G24" s="262"/>
    </row>
    <row r="25" spans="1:7" x14ac:dyDescent="0.25">
      <c r="A25" s="265"/>
      <c r="B25" s="264"/>
      <c r="C25" s="264"/>
      <c r="D25" s="264"/>
      <c r="E25" s="264"/>
      <c r="F25" s="262"/>
      <c r="G25" s="262"/>
    </row>
    <row r="26" spans="1:7" x14ac:dyDescent="0.25">
      <c r="A26" s="262"/>
      <c r="B26" s="262"/>
      <c r="C26" s="262"/>
      <c r="D26" s="262"/>
      <c r="E26" s="262"/>
      <c r="F26" s="262"/>
      <c r="G26" s="262"/>
    </row>
    <row r="27" spans="1:7" x14ac:dyDescent="0.25">
      <c r="D27" s="260"/>
      <c r="E27" s="260"/>
      <c r="F27" s="260"/>
    </row>
    <row r="28" spans="1:7" x14ac:dyDescent="0.25">
      <c r="D28" s="260"/>
      <c r="E28" s="260"/>
      <c r="F28" s="260"/>
    </row>
    <row r="29" spans="1:7" x14ac:dyDescent="0.25">
      <c r="D29" s="260"/>
      <c r="E29" s="260"/>
      <c r="F29" s="260"/>
    </row>
    <row r="30" spans="1:7" x14ac:dyDescent="0.25">
      <c r="D30" s="260"/>
      <c r="E30" s="260"/>
      <c r="F30" s="260"/>
    </row>
    <row r="31" spans="1:7" x14ac:dyDescent="0.25">
      <c r="D31" s="260"/>
      <c r="E31" s="260"/>
      <c r="F31" s="260"/>
    </row>
    <row r="32" spans="1:7" x14ac:dyDescent="0.25">
      <c r="D32" s="260"/>
      <c r="E32" s="260"/>
      <c r="F32" s="260"/>
    </row>
    <row r="33" spans="4:6" x14ac:dyDescent="0.25">
      <c r="D33" s="260"/>
      <c r="E33" s="260"/>
      <c r="F33" s="260"/>
    </row>
    <row r="34" spans="4:6" x14ac:dyDescent="0.25"/>
    <row r="35" spans="4:6" x14ac:dyDescent="0.25"/>
    <row r="36" spans="4:6" x14ac:dyDescent="0.25"/>
    <row r="37" spans="4:6" x14ac:dyDescent="0.25"/>
  </sheetData>
  <mergeCells count="5">
    <mergeCell ref="B8:D8"/>
    <mergeCell ref="B10:C10"/>
    <mergeCell ref="E10:F10"/>
    <mergeCell ref="D24:F24"/>
    <mergeCell ref="D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3AC6-6904-4EFA-BF2F-B0CEF6FC6B33}">
  <sheetPr>
    <tabColor rgb="FFFFFF00"/>
  </sheetPr>
  <dimension ref="A1:K44"/>
  <sheetViews>
    <sheetView showGridLines="0" topLeftCell="A8" zoomScale="130" zoomScaleNormal="130" workbookViewId="0">
      <selection activeCell="E32" sqref="E32:G32"/>
    </sheetView>
  </sheetViews>
  <sheetFormatPr baseColWidth="10" defaultColWidth="0" defaultRowHeight="15" customHeight="1" zeroHeight="1" x14ac:dyDescent="0.25"/>
  <cols>
    <col min="1" max="1" width="25.42578125" customWidth="1"/>
    <col min="2" max="2" width="18.140625" customWidth="1"/>
    <col min="3" max="3" width="13.28515625" customWidth="1"/>
    <col min="4" max="4" width="19.5703125" customWidth="1"/>
    <col min="5" max="5" width="5.140625" customWidth="1"/>
    <col min="6" max="6" width="2.5703125" customWidth="1"/>
    <col min="7" max="7" width="16.85546875" customWidth="1"/>
    <col min="8" max="8" width="12.140625" customWidth="1"/>
    <col min="9" max="9" width="18.5703125" bestFit="1" customWidth="1"/>
    <col min="10" max="10" width="3.85546875" customWidth="1"/>
    <col min="11" max="11" width="10.140625" customWidth="1"/>
    <col min="12" max="16384" width="11.42578125" hidden="1"/>
  </cols>
  <sheetData>
    <row r="1" spans="1:11" ht="26.25" x14ac:dyDescent="0.4">
      <c r="A1" s="207" t="s">
        <v>540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6.75" customHeight="1" x14ac:dyDescent="0.25">
      <c r="A2" s="209"/>
      <c r="G2" s="210"/>
      <c r="K2" s="211"/>
    </row>
    <row r="3" spans="1:11" ht="18" x14ac:dyDescent="0.25">
      <c r="A3" s="212" t="s">
        <v>541</v>
      </c>
      <c r="D3" s="215" t="s">
        <v>543</v>
      </c>
      <c r="E3" s="294">
        <f ca="1">HOUR(B6)</f>
        <v>20</v>
      </c>
      <c r="F3" s="295"/>
      <c r="G3" s="296"/>
      <c r="H3" t="s">
        <v>586</v>
      </c>
      <c r="K3" s="211"/>
    </row>
    <row r="4" spans="1:11" ht="18" x14ac:dyDescent="0.25">
      <c r="A4" s="213" t="s">
        <v>542</v>
      </c>
      <c r="B4" s="214">
        <f ca="1">TODAY()</f>
        <v>44968</v>
      </c>
      <c r="D4" s="215" t="s">
        <v>545</v>
      </c>
      <c r="E4" s="294">
        <f ca="1">MINUTE(B6)</f>
        <v>52</v>
      </c>
      <c r="F4" s="295"/>
      <c r="G4" s="296"/>
      <c r="H4" t="s">
        <v>587</v>
      </c>
      <c r="I4" s="26">
        <v>44968</v>
      </c>
      <c r="K4" s="211"/>
    </row>
    <row r="5" spans="1:11" ht="8.25" customHeight="1" x14ac:dyDescent="0.25">
      <c r="A5" s="209"/>
      <c r="C5" s="216"/>
      <c r="K5" s="211"/>
    </row>
    <row r="6" spans="1:11" ht="15" customHeight="1" x14ac:dyDescent="0.25">
      <c r="A6" s="217" t="s">
        <v>544</v>
      </c>
      <c r="B6" s="218">
        <f ca="1">NOW()</f>
        <v>44968.869566435184</v>
      </c>
      <c r="D6" s="215" t="s">
        <v>546</v>
      </c>
      <c r="E6" s="294">
        <f ca="1">SECOND(B6)</f>
        <v>11</v>
      </c>
      <c r="F6" s="295"/>
      <c r="G6" s="296"/>
      <c r="H6" t="s">
        <v>588</v>
      </c>
      <c r="K6" s="211"/>
    </row>
    <row r="7" spans="1:11" ht="15" customHeight="1" x14ac:dyDescent="0.25">
      <c r="E7" s="215"/>
      <c r="F7" s="215"/>
      <c r="G7" s="215"/>
      <c r="K7" s="211"/>
    </row>
    <row r="8" spans="1:11" ht="12.75" customHeight="1" x14ac:dyDescent="0.25">
      <c r="A8" s="209"/>
      <c r="K8" s="211"/>
    </row>
    <row r="9" spans="1:11" ht="13.5" customHeight="1" x14ac:dyDescent="0.25">
      <c r="A9" s="219"/>
      <c r="B9" s="220"/>
      <c r="C9" s="220"/>
      <c r="D9" s="221"/>
      <c r="K9" s="211"/>
    </row>
    <row r="10" spans="1:11" ht="15" customHeight="1" x14ac:dyDescent="0.25">
      <c r="A10" s="222" t="s">
        <v>547</v>
      </c>
      <c r="D10" s="223"/>
      <c r="I10" s="18"/>
      <c r="J10" s="18"/>
      <c r="K10" s="211"/>
    </row>
    <row r="11" spans="1:11" ht="10.5" customHeight="1" x14ac:dyDescent="0.25">
      <c r="A11" s="224"/>
      <c r="D11" s="223"/>
      <c r="K11" s="211"/>
    </row>
    <row r="12" spans="1:11" x14ac:dyDescent="0.25">
      <c r="A12" s="225" t="s">
        <v>548</v>
      </c>
      <c r="B12" s="226">
        <v>44714</v>
      </c>
      <c r="D12" s="223"/>
      <c r="K12" s="211"/>
    </row>
    <row r="13" spans="1:11" x14ac:dyDescent="0.25">
      <c r="A13" s="225" t="s">
        <v>549</v>
      </c>
      <c r="B13" s="227">
        <v>90</v>
      </c>
      <c r="C13" s="228"/>
      <c r="D13" s="223"/>
      <c r="K13" s="211"/>
    </row>
    <row r="14" spans="1:11" x14ac:dyDescent="0.25">
      <c r="A14" s="225"/>
      <c r="B14" s="229"/>
      <c r="C14" s="228"/>
      <c r="D14" s="223"/>
      <c r="K14" s="211"/>
    </row>
    <row r="15" spans="1:11" ht="15.75" x14ac:dyDescent="0.25">
      <c r="A15" s="280" t="s">
        <v>550</v>
      </c>
      <c r="B15" s="281"/>
      <c r="C15" s="297">
        <f>B12+B13</f>
        <v>44804</v>
      </c>
      <c r="D15" s="223"/>
      <c r="K15" s="211"/>
    </row>
    <row r="16" spans="1:11" ht="10.5" customHeight="1" x14ac:dyDescent="0.25">
      <c r="A16" s="224"/>
      <c r="D16" s="223"/>
      <c r="F16" s="219"/>
      <c r="G16" s="220"/>
      <c r="H16" s="220"/>
      <c r="I16" s="220"/>
      <c r="J16" s="221"/>
      <c r="K16" s="211"/>
    </row>
    <row r="17" spans="1:11" ht="15" customHeight="1" x14ac:dyDescent="0.25">
      <c r="A17" s="230" t="s">
        <v>551</v>
      </c>
      <c r="B17" s="231">
        <v>44665</v>
      </c>
      <c r="C17" s="232" t="s">
        <v>552</v>
      </c>
      <c r="D17" s="233"/>
      <c r="F17" s="224"/>
      <c r="G17" s="282" t="str">
        <f>"N°de días transcurridos desde el "&amp;TEXT(B12,"dddd dd ""de"" mmmm")&amp;" hasta  el "&amp;TEXT(C26,"dddd dd ""de"" mmmm")</f>
        <v>N°de días transcurridos desde el jueves 02 de Junio hasta  el jueves 13 de Octubre</v>
      </c>
      <c r="H17" s="282"/>
      <c r="I17" s="282"/>
      <c r="J17" s="234"/>
      <c r="K17" s="211"/>
    </row>
    <row r="18" spans="1:11" x14ac:dyDescent="0.25">
      <c r="A18" s="224"/>
      <c r="B18" s="231">
        <v>44665</v>
      </c>
      <c r="C18" s="232" t="s">
        <v>553</v>
      </c>
      <c r="D18" s="223"/>
      <c r="F18" s="224"/>
      <c r="G18" s="282"/>
      <c r="H18" s="282"/>
      <c r="I18" s="282"/>
      <c r="J18" s="234"/>
      <c r="K18" s="211"/>
    </row>
    <row r="19" spans="1:11" x14ac:dyDescent="0.25">
      <c r="A19" s="224"/>
      <c r="B19" s="231">
        <v>44741</v>
      </c>
      <c r="C19" s="232" t="s">
        <v>554</v>
      </c>
      <c r="D19" s="223"/>
      <c r="F19" s="224"/>
      <c r="J19" s="223"/>
      <c r="K19" s="211"/>
    </row>
    <row r="20" spans="1:11" x14ac:dyDescent="0.25">
      <c r="A20" s="224"/>
      <c r="B20" s="231">
        <v>44748</v>
      </c>
      <c r="C20" s="232" t="s">
        <v>555</v>
      </c>
      <c r="D20" s="223"/>
      <c r="F20" s="224"/>
      <c r="G20" s="283" t="s">
        <v>556</v>
      </c>
      <c r="H20" s="283"/>
      <c r="I20" s="235">
        <f>NETWORKDAYS(B12,C26,B17:B24)</f>
        <v>91</v>
      </c>
      <c r="J20" s="236"/>
      <c r="K20" s="211"/>
    </row>
    <row r="21" spans="1:11" ht="15" customHeight="1" x14ac:dyDescent="0.25">
      <c r="A21" s="224"/>
      <c r="B21" s="231">
        <v>44770</v>
      </c>
      <c r="C21" s="232" t="s">
        <v>557</v>
      </c>
      <c r="D21" s="223"/>
      <c r="F21" s="224"/>
      <c r="G21" s="283"/>
      <c r="H21" s="283"/>
      <c r="J21" s="223"/>
      <c r="K21" s="211"/>
    </row>
    <row r="22" spans="1:11" x14ac:dyDescent="0.25">
      <c r="A22" s="224"/>
      <c r="B22" s="231">
        <v>44771</v>
      </c>
      <c r="C22" s="232" t="s">
        <v>558</v>
      </c>
      <c r="D22" s="223"/>
      <c r="F22" s="224"/>
      <c r="J22" s="223"/>
      <c r="K22" s="211"/>
    </row>
    <row r="23" spans="1:11" ht="16.5" customHeight="1" x14ac:dyDescent="0.25">
      <c r="A23" s="224"/>
      <c r="B23" s="231">
        <v>44803</v>
      </c>
      <c r="C23" s="232" t="s">
        <v>559</v>
      </c>
      <c r="D23" s="223"/>
      <c r="F23" s="224"/>
      <c r="G23" s="283" t="s">
        <v>560</v>
      </c>
      <c r="H23" s="283"/>
      <c r="I23" s="237">
        <f>DAYS360(B12,C26)</f>
        <v>131</v>
      </c>
      <c r="J23" s="236"/>
      <c r="K23" s="211"/>
    </row>
    <row r="24" spans="1:11" ht="16.5" customHeight="1" x14ac:dyDescent="0.25">
      <c r="A24" s="224"/>
      <c r="B24" s="231">
        <v>44866</v>
      </c>
      <c r="C24" s="232" t="s">
        <v>561</v>
      </c>
      <c r="D24" s="223"/>
      <c r="E24" s="238"/>
      <c r="F24" s="239"/>
      <c r="G24" s="283"/>
      <c r="H24" s="283"/>
      <c r="J24" s="223"/>
      <c r="K24" s="211"/>
    </row>
    <row r="25" spans="1:11" ht="16.5" customHeight="1" x14ac:dyDescent="0.25">
      <c r="A25" s="224"/>
      <c r="B25" s="240"/>
      <c r="D25" s="223"/>
      <c r="E25" s="238"/>
      <c r="F25" s="239"/>
      <c r="G25" s="238"/>
      <c r="H25" s="238"/>
      <c r="J25" s="223"/>
      <c r="K25" s="211"/>
    </row>
    <row r="26" spans="1:11" ht="15" customHeight="1" x14ac:dyDescent="0.25">
      <c r="A26" s="276" t="s">
        <v>562</v>
      </c>
      <c r="B26" s="277"/>
      <c r="C26" s="297">
        <f>WORKDAY(B12,B13,B17:B24)</f>
        <v>44847</v>
      </c>
      <c r="D26" s="223"/>
      <c r="E26" s="238"/>
      <c r="F26" s="239"/>
      <c r="G26" s="241" t="s">
        <v>563</v>
      </c>
      <c r="I26" s="237">
        <f>C26-B12</f>
        <v>133</v>
      </c>
      <c r="J26" s="236"/>
      <c r="K26" s="211"/>
    </row>
    <row r="27" spans="1:11" x14ac:dyDescent="0.25">
      <c r="A27" s="278"/>
      <c r="B27" s="279"/>
      <c r="C27" s="242"/>
      <c r="D27" s="243"/>
      <c r="E27" s="238"/>
      <c r="F27" s="244"/>
      <c r="G27" s="242"/>
      <c r="H27" s="242"/>
      <c r="I27" s="242"/>
      <c r="J27" s="245"/>
      <c r="K27" s="211"/>
    </row>
    <row r="28" spans="1:11" x14ac:dyDescent="0.25">
      <c r="A28" s="209"/>
      <c r="C28" s="246"/>
      <c r="E28" s="238"/>
      <c r="F28" s="238"/>
      <c r="K28" s="211"/>
    </row>
    <row r="29" spans="1:11" ht="6" customHeight="1" x14ac:dyDescent="0.25">
      <c r="A29" s="209"/>
      <c r="C29" s="246"/>
      <c r="E29" s="238"/>
      <c r="F29" s="238"/>
      <c r="K29" s="211"/>
    </row>
    <row r="30" spans="1:11" ht="18.75" x14ac:dyDescent="0.3">
      <c r="A30" s="247" t="s">
        <v>564</v>
      </c>
      <c r="B30" s="248"/>
      <c r="C30" s="249"/>
      <c r="D30" s="248"/>
      <c r="E30" s="250"/>
      <c r="F30" s="250"/>
      <c r="G30" s="248"/>
      <c r="H30" s="248"/>
      <c r="I30" s="248"/>
      <c r="J30" s="248"/>
      <c r="K30" s="251"/>
    </row>
    <row r="31" spans="1:11" ht="9" customHeight="1" x14ac:dyDescent="0.25">
      <c r="A31" s="209"/>
      <c r="B31" s="246"/>
      <c r="K31" s="211"/>
    </row>
    <row r="32" spans="1:11" x14ac:dyDescent="0.25">
      <c r="D32" s="215" t="s">
        <v>565</v>
      </c>
      <c r="E32" s="298">
        <f>WEEKDAY(C26,2)</f>
        <v>4</v>
      </c>
      <c r="F32" s="299"/>
      <c r="G32" s="300"/>
      <c r="H32" s="302" t="s">
        <v>592</v>
      </c>
      <c r="K32" s="211"/>
    </row>
    <row r="33" spans="1:11" ht="15.75" x14ac:dyDescent="0.25">
      <c r="D33" s="215" t="s">
        <v>566</v>
      </c>
      <c r="E33" s="291" t="str">
        <f>TEXT(C26,"DDDD")</f>
        <v>jueves</v>
      </c>
      <c r="F33" s="292"/>
      <c r="G33" s="293"/>
      <c r="H33" s="303" t="s">
        <v>593</v>
      </c>
      <c r="K33" s="211"/>
    </row>
    <row r="34" spans="1:11" ht="14.25" customHeight="1" x14ac:dyDescent="0.25">
      <c r="A34" s="209"/>
      <c r="E34" t="str">
        <f>TEXT(C26,"dddd d""de"" mmmm")</f>
        <v>jueves 13de Octubre</v>
      </c>
      <c r="K34" s="211"/>
    </row>
    <row r="35" spans="1:11" x14ac:dyDescent="0.25">
      <c r="A35" s="253" t="s">
        <v>567</v>
      </c>
      <c r="B35" s="254">
        <f>DAY(C26)</f>
        <v>13</v>
      </c>
      <c r="C35" t="s">
        <v>568</v>
      </c>
      <c r="D35" s="301" t="str">
        <f>TEXT(C26,"MMMM")</f>
        <v>Octubre</v>
      </c>
      <c r="F35" s="228"/>
      <c r="G35" s="228" t="s">
        <v>569</v>
      </c>
      <c r="H35" s="254">
        <f>YEAR(C26)</f>
        <v>2022</v>
      </c>
      <c r="K35" s="211"/>
    </row>
    <row r="36" spans="1:11" x14ac:dyDescent="0.25">
      <c r="A36" s="209"/>
      <c r="B36" s="252" t="s">
        <v>589</v>
      </c>
      <c r="C36" s="255"/>
      <c r="D36" s="252" t="s">
        <v>590</v>
      </c>
      <c r="G36" s="252"/>
      <c r="H36" t="s">
        <v>591</v>
      </c>
      <c r="K36" s="211"/>
    </row>
    <row r="37" spans="1:11" ht="9.75" customHeight="1" thickBot="1" x14ac:dyDescent="0.3">
      <c r="A37" s="256"/>
      <c r="B37" s="257"/>
      <c r="C37" s="258"/>
      <c r="D37" s="258"/>
      <c r="E37" s="258"/>
      <c r="F37" s="258"/>
      <c r="G37" s="258"/>
      <c r="H37" s="258"/>
      <c r="I37" s="258"/>
      <c r="J37" s="258"/>
      <c r="K37" s="259"/>
    </row>
    <row r="38" spans="1:11" ht="15.75" hidden="1" thickTop="1" x14ac:dyDescent="0.25"/>
    <row r="39" spans="1:11" ht="15.75" hidden="1" thickTop="1" x14ac:dyDescent="0.25"/>
    <row r="40" spans="1:11" ht="15.75" hidden="1" thickTop="1" x14ac:dyDescent="0.25"/>
    <row r="41" spans="1:11" ht="15.75" thickTop="1" x14ac:dyDescent="0.25"/>
    <row r="42" spans="1:11" x14ac:dyDescent="0.25"/>
    <row r="43" spans="1:11" x14ac:dyDescent="0.25"/>
    <row r="44" spans="1:11" x14ac:dyDescent="0.25"/>
  </sheetData>
  <mergeCells count="10">
    <mergeCell ref="A26:B27"/>
    <mergeCell ref="E32:G32"/>
    <mergeCell ref="E33:G33"/>
    <mergeCell ref="E6:G6"/>
    <mergeCell ref="E3:G3"/>
    <mergeCell ref="E4:G4"/>
    <mergeCell ref="A15:B15"/>
    <mergeCell ref="G17:I18"/>
    <mergeCell ref="G20:H21"/>
    <mergeCell ref="G23:H24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U59"/>
  <sheetViews>
    <sheetView showGridLines="0" topLeftCell="J1" zoomScale="110" zoomScaleNormal="110" workbookViewId="0">
      <selection activeCell="R4" sqref="R4"/>
    </sheetView>
  </sheetViews>
  <sheetFormatPr baseColWidth="10" defaultRowHeight="15" x14ac:dyDescent="0.25"/>
  <cols>
    <col min="1" max="1" width="20.5703125" customWidth="1"/>
    <col min="2" max="2" width="22.28515625" bestFit="1" customWidth="1"/>
    <col min="3" max="3" width="29.85546875" bestFit="1" customWidth="1"/>
    <col min="4" max="4" width="27.140625" bestFit="1" customWidth="1"/>
    <col min="5" max="5" width="16.7109375" bestFit="1" customWidth="1"/>
    <col min="6" max="6" width="13.140625" bestFit="1" customWidth="1"/>
    <col min="7" max="7" width="5.140625" bestFit="1" customWidth="1"/>
    <col min="8" max="8" width="16.5703125" bestFit="1" customWidth="1"/>
    <col min="10" max="10" width="14.140625" customWidth="1"/>
    <col min="12" max="12" width="15.5703125" customWidth="1"/>
    <col min="13" max="13" width="16.85546875" customWidth="1"/>
    <col min="14" max="16" width="14.5703125" customWidth="1"/>
    <col min="17" max="17" width="15.7109375" customWidth="1"/>
    <col min="18" max="18" width="14.85546875" bestFit="1" customWidth="1"/>
  </cols>
  <sheetData>
    <row r="1" spans="1:21" ht="23.25" x14ac:dyDescent="0.35">
      <c r="B1" s="10" t="s">
        <v>109</v>
      </c>
      <c r="C1" s="11" t="s">
        <v>110</v>
      </c>
      <c r="L1" t="s">
        <v>243</v>
      </c>
      <c r="M1" s="309">
        <f ca="1">TODAY()</f>
        <v>44968</v>
      </c>
      <c r="T1" s="29" t="s">
        <v>302</v>
      </c>
      <c r="U1" t="s">
        <v>308</v>
      </c>
    </row>
    <row r="2" spans="1:21" ht="21" x14ac:dyDescent="0.35">
      <c r="N2" s="27"/>
      <c r="P2" t="s">
        <v>247</v>
      </c>
      <c r="Q2" t="s">
        <v>244</v>
      </c>
      <c r="R2" s="18" t="s">
        <v>301</v>
      </c>
      <c r="T2" s="29" t="s">
        <v>303</v>
      </c>
      <c r="U2" t="s">
        <v>307</v>
      </c>
    </row>
    <row r="3" spans="1:21" x14ac:dyDescent="0.25">
      <c r="A3" s="12" t="s">
        <v>111</v>
      </c>
      <c r="B3" s="12" t="s">
        <v>112</v>
      </c>
      <c r="C3" s="12" t="s">
        <v>113</v>
      </c>
      <c r="D3" s="12" t="s">
        <v>114</v>
      </c>
      <c r="E3" s="12" t="s">
        <v>115</v>
      </c>
      <c r="F3" s="12" t="s">
        <v>116</v>
      </c>
      <c r="G3" s="12" t="s">
        <v>117</v>
      </c>
      <c r="H3" s="12" t="s">
        <v>291</v>
      </c>
      <c r="I3" s="25" t="s">
        <v>292</v>
      </c>
      <c r="J3" s="25" t="s">
        <v>293</v>
      </c>
      <c r="K3" s="25" t="s">
        <v>294</v>
      </c>
      <c r="L3" s="25" t="s">
        <v>295</v>
      </c>
      <c r="M3" s="25" t="s">
        <v>296</v>
      </c>
      <c r="N3" s="25" t="s">
        <v>297</v>
      </c>
      <c r="O3" s="25" t="s">
        <v>298</v>
      </c>
      <c r="P3" s="25" t="s">
        <v>299</v>
      </c>
      <c r="Q3" s="25" t="s">
        <v>300</v>
      </c>
      <c r="R3" s="25" t="s">
        <v>595</v>
      </c>
      <c r="T3" s="28" t="s">
        <v>123</v>
      </c>
      <c r="U3" t="s">
        <v>306</v>
      </c>
    </row>
    <row r="4" spans="1:21" ht="21" x14ac:dyDescent="0.25">
      <c r="A4" s="22"/>
      <c r="B4" s="9" t="s">
        <v>118</v>
      </c>
      <c r="C4" s="9" t="s">
        <v>287</v>
      </c>
      <c r="D4" s="14" t="str">
        <f>UPPER(B4)</f>
        <v>ALTAMIRANO TEODORO</v>
      </c>
      <c r="E4" s="15" t="str">
        <f>PROPER(C4)</f>
        <v>Jessica Edith</v>
      </c>
      <c r="F4" s="308">
        <v>18397</v>
      </c>
      <c r="G4" s="17" t="s">
        <v>120</v>
      </c>
      <c r="H4" s="304" t="str">
        <f>IFERROR(MID(E4,SEARCH(" ",E4,1)+1,1),"")</f>
        <v>E</v>
      </c>
      <c r="I4" s="24">
        <f>YEAR(F4)</f>
        <v>1950</v>
      </c>
      <c r="J4" s="24">
        <f>MONTH(F4)</f>
        <v>5</v>
      </c>
      <c r="K4" s="24">
        <f>DAY(F4)</f>
        <v>14</v>
      </c>
      <c r="L4" s="24" t="str">
        <f>TEXT(F4,"Mmm")</f>
        <v>May</v>
      </c>
      <c r="M4" s="304" t="str">
        <f>TEXT(F4,"DDDD")</f>
        <v>domingo</v>
      </c>
      <c r="N4" s="306">
        <f ca="1">DATEDIF(F4,$M$1,"d")</f>
        <v>26571</v>
      </c>
      <c r="O4" s="307">
        <f ca="1">DATEDIF(F4,$M$1,"m")</f>
        <v>872</v>
      </c>
      <c r="P4" s="24">
        <f ca="1">DATEDIF(F4,$M$1,"y")</f>
        <v>72</v>
      </c>
      <c r="Q4" s="24">
        <f ca="1">DATEDIF(F4,$M$1,"ym")</f>
        <v>8</v>
      </c>
      <c r="R4" s="24">
        <f ca="1">DATEDIF(F4,$M$1,"md")</f>
        <v>28</v>
      </c>
      <c r="T4" s="29" t="s">
        <v>304</v>
      </c>
      <c r="U4" t="s">
        <v>309</v>
      </c>
    </row>
    <row r="5" spans="1:21" ht="21" x14ac:dyDescent="0.25">
      <c r="A5" s="13"/>
      <c r="B5" s="9" t="s">
        <v>121</v>
      </c>
      <c r="C5" s="9" t="s">
        <v>122</v>
      </c>
      <c r="D5" s="14" t="str">
        <f t="shared" ref="D5:D28" si="0">UPPER(B5)</f>
        <v>ALVAREZ FIGUEROA</v>
      </c>
      <c r="E5" s="15" t="str">
        <f t="shared" ref="E5:E28" si="1">PROPER(C5)</f>
        <v>Bertha</v>
      </c>
      <c r="F5" s="16">
        <v>19862</v>
      </c>
      <c r="G5" s="17" t="s">
        <v>123</v>
      </c>
      <c r="H5" s="304" t="str">
        <f t="shared" ref="H5:H28" si="2">IFERROR(MID(E5,SEARCH(" ",E5,1)+1,1),"")</f>
        <v/>
      </c>
      <c r="I5" s="24">
        <f t="shared" ref="I5:I28" si="3">YEAR(F5)</f>
        <v>1954</v>
      </c>
      <c r="J5" s="24">
        <f t="shared" ref="J5:J28" si="4">MONTH(F5)</f>
        <v>5</v>
      </c>
      <c r="K5" s="24">
        <f t="shared" ref="K5:K28" si="5">DAY(F5)</f>
        <v>18</v>
      </c>
      <c r="L5" s="24" t="str">
        <f t="shared" ref="L5:L28" si="6">TEXT(F5,"Mmm")</f>
        <v>May</v>
      </c>
      <c r="M5" s="304" t="str">
        <f t="shared" ref="M5:M28" si="7">TEXT(F5,"DDDD")</f>
        <v>martes</v>
      </c>
      <c r="N5" s="306">
        <f t="shared" ref="N5:N28" ca="1" si="8">DATEDIF(F5,$M$1,"d")</f>
        <v>25106</v>
      </c>
      <c r="O5" s="24">
        <f t="shared" ref="O5:O28" ca="1" si="9">DATEDIF(F5,$M$1,"m")</f>
        <v>824</v>
      </c>
      <c r="P5" s="24">
        <f t="shared" ref="P5:P28" ca="1" si="10">DATEDIF(F5,$M$1,"y")</f>
        <v>68</v>
      </c>
      <c r="Q5" s="24">
        <f t="shared" ref="Q5:Q28" ca="1" si="11">DATEDIF(F5,$M$1,"ym")</f>
        <v>8</v>
      </c>
      <c r="R5" s="24">
        <f t="shared" ref="R5:R28" ca="1" si="12">DATEDIF(F5,$M$1,"md")</f>
        <v>24</v>
      </c>
      <c r="T5" s="29" t="s">
        <v>305</v>
      </c>
      <c r="U5" t="s">
        <v>310</v>
      </c>
    </row>
    <row r="6" spans="1:21" ht="21" x14ac:dyDescent="0.25">
      <c r="A6" s="13"/>
      <c r="B6" s="9" t="s">
        <v>124</v>
      </c>
      <c r="C6" s="9" t="s">
        <v>125</v>
      </c>
      <c r="D6" s="14" t="str">
        <f t="shared" si="0"/>
        <v>CUBAS CIEZA</v>
      </c>
      <c r="E6" s="15" t="str">
        <f t="shared" si="1"/>
        <v>Onilda</v>
      </c>
      <c r="F6" s="16">
        <v>21403</v>
      </c>
      <c r="G6" s="17" t="s">
        <v>126</v>
      </c>
      <c r="H6" s="304" t="str">
        <f t="shared" si="2"/>
        <v/>
      </c>
      <c r="I6" s="24">
        <f t="shared" si="3"/>
        <v>1958</v>
      </c>
      <c r="J6" s="24">
        <f t="shared" si="4"/>
        <v>8</v>
      </c>
      <c r="K6" s="24">
        <f t="shared" si="5"/>
        <v>6</v>
      </c>
      <c r="L6" s="24" t="str">
        <f t="shared" si="6"/>
        <v>Ago</v>
      </c>
      <c r="M6" s="304" t="str">
        <f t="shared" si="7"/>
        <v>miércoles</v>
      </c>
      <c r="N6" s="306">
        <f t="shared" ca="1" si="8"/>
        <v>23565</v>
      </c>
      <c r="O6" s="24">
        <f t="shared" ca="1" si="9"/>
        <v>774</v>
      </c>
      <c r="P6" s="24">
        <f t="shared" ca="1" si="10"/>
        <v>64</v>
      </c>
      <c r="Q6" s="24">
        <f t="shared" ca="1" si="11"/>
        <v>6</v>
      </c>
      <c r="R6" s="24">
        <f t="shared" ca="1" si="12"/>
        <v>5</v>
      </c>
    </row>
    <row r="7" spans="1:21" ht="21" x14ac:dyDescent="0.25">
      <c r="A7" s="13"/>
      <c r="B7" s="9" t="s">
        <v>127</v>
      </c>
      <c r="C7" s="9" t="s">
        <v>128</v>
      </c>
      <c r="D7" s="14" t="str">
        <f t="shared" si="0"/>
        <v>CUEVA DE LA CRUZ</v>
      </c>
      <c r="E7" s="15" t="str">
        <f t="shared" si="1"/>
        <v>Ana</v>
      </c>
      <c r="F7" s="16">
        <v>22935</v>
      </c>
      <c r="G7" s="17" t="s">
        <v>129</v>
      </c>
      <c r="H7" s="304" t="str">
        <f t="shared" si="2"/>
        <v/>
      </c>
      <c r="I7" s="24">
        <f t="shared" si="3"/>
        <v>1962</v>
      </c>
      <c r="J7" s="24">
        <f t="shared" si="4"/>
        <v>10</v>
      </c>
      <c r="K7" s="24">
        <f t="shared" si="5"/>
        <v>16</v>
      </c>
      <c r="L7" s="24" t="str">
        <f t="shared" si="6"/>
        <v>Oct</v>
      </c>
      <c r="M7" s="304" t="str">
        <f t="shared" si="7"/>
        <v>martes</v>
      </c>
      <c r="N7" s="306">
        <f t="shared" ca="1" si="8"/>
        <v>22033</v>
      </c>
      <c r="O7" s="24">
        <f t="shared" ca="1" si="9"/>
        <v>723</v>
      </c>
      <c r="P7" s="24">
        <f t="shared" ca="1" si="10"/>
        <v>60</v>
      </c>
      <c r="Q7" s="24">
        <f t="shared" ca="1" si="11"/>
        <v>3</v>
      </c>
      <c r="R7" s="24">
        <f t="shared" ca="1" si="12"/>
        <v>26</v>
      </c>
    </row>
    <row r="8" spans="1:21" ht="21" x14ac:dyDescent="0.25">
      <c r="A8" s="13"/>
      <c r="B8" s="9" t="s">
        <v>130</v>
      </c>
      <c r="C8" s="9" t="s">
        <v>131</v>
      </c>
      <c r="D8" s="14" t="str">
        <f t="shared" si="0"/>
        <v>ESPINOZA ARROÉ</v>
      </c>
      <c r="E8" s="15" t="str">
        <f t="shared" si="1"/>
        <v>Kelly</v>
      </c>
      <c r="F8" s="16">
        <v>24033</v>
      </c>
      <c r="G8" s="17" t="s">
        <v>126</v>
      </c>
      <c r="H8" s="304" t="str">
        <f t="shared" si="2"/>
        <v/>
      </c>
      <c r="I8" s="24">
        <f t="shared" si="3"/>
        <v>1965</v>
      </c>
      <c r="J8" s="24">
        <f t="shared" si="4"/>
        <v>10</v>
      </c>
      <c r="K8" s="24">
        <f t="shared" si="5"/>
        <v>18</v>
      </c>
      <c r="L8" s="24" t="str">
        <f t="shared" si="6"/>
        <v>Oct</v>
      </c>
      <c r="M8" s="304" t="str">
        <f t="shared" si="7"/>
        <v>lunes</v>
      </c>
      <c r="N8" s="306">
        <f t="shared" ca="1" si="8"/>
        <v>20935</v>
      </c>
      <c r="O8" s="24">
        <f t="shared" ca="1" si="9"/>
        <v>687</v>
      </c>
      <c r="P8" s="24">
        <f t="shared" ca="1" si="10"/>
        <v>57</v>
      </c>
      <c r="Q8" s="24">
        <f t="shared" ca="1" si="11"/>
        <v>3</v>
      </c>
      <c r="R8" s="24">
        <f t="shared" ca="1" si="12"/>
        <v>24</v>
      </c>
      <c r="T8" s="305" t="s">
        <v>594</v>
      </c>
    </row>
    <row r="9" spans="1:21" ht="21" x14ac:dyDescent="0.25">
      <c r="A9" s="13"/>
      <c r="B9" s="9" t="s">
        <v>132</v>
      </c>
      <c r="C9" s="9" t="s">
        <v>133</v>
      </c>
      <c r="D9" s="14" t="str">
        <f t="shared" si="0"/>
        <v>FIESTAS TRUJILLO</v>
      </c>
      <c r="E9" s="15" t="str">
        <f t="shared" si="1"/>
        <v>Iris Sharon</v>
      </c>
      <c r="F9" s="16">
        <v>25806</v>
      </c>
      <c r="G9" s="17" t="s">
        <v>126</v>
      </c>
      <c r="H9" s="304" t="str">
        <f t="shared" si="2"/>
        <v>S</v>
      </c>
      <c r="I9" s="24">
        <f t="shared" si="3"/>
        <v>1970</v>
      </c>
      <c r="J9" s="24">
        <f t="shared" si="4"/>
        <v>8</v>
      </c>
      <c r="K9" s="24">
        <f t="shared" si="5"/>
        <v>26</v>
      </c>
      <c r="L9" s="24" t="str">
        <f t="shared" si="6"/>
        <v>Ago</v>
      </c>
      <c r="M9" s="304" t="str">
        <f t="shared" si="7"/>
        <v>miércoles</v>
      </c>
      <c r="N9" s="306">
        <f t="shared" ca="1" si="8"/>
        <v>19162</v>
      </c>
      <c r="O9" s="24">
        <f t="shared" ca="1" si="9"/>
        <v>629</v>
      </c>
      <c r="P9" s="24">
        <f t="shared" ca="1" si="10"/>
        <v>52</v>
      </c>
      <c r="Q9" s="24">
        <f t="shared" ca="1" si="11"/>
        <v>5</v>
      </c>
      <c r="R9" s="24">
        <f t="shared" ca="1" si="12"/>
        <v>16</v>
      </c>
    </row>
    <row r="10" spans="1:21" ht="21" x14ac:dyDescent="0.25">
      <c r="A10" s="13"/>
      <c r="B10" s="9" t="s">
        <v>134</v>
      </c>
      <c r="C10" s="9" t="s">
        <v>135</v>
      </c>
      <c r="D10" s="14" t="str">
        <f t="shared" si="0"/>
        <v>GALVEZ CANCHALLA</v>
      </c>
      <c r="E10" s="15" t="str">
        <f t="shared" si="1"/>
        <v>Rocio Gisella</v>
      </c>
      <c r="F10" s="16">
        <v>26871</v>
      </c>
      <c r="G10" s="17" t="s">
        <v>120</v>
      </c>
      <c r="H10" s="304" t="str">
        <f t="shared" si="2"/>
        <v>G</v>
      </c>
      <c r="I10" s="24">
        <f t="shared" si="3"/>
        <v>1973</v>
      </c>
      <c r="J10" s="24">
        <f t="shared" si="4"/>
        <v>7</v>
      </c>
      <c r="K10" s="24">
        <f t="shared" si="5"/>
        <v>26</v>
      </c>
      <c r="L10" s="24" t="str">
        <f t="shared" si="6"/>
        <v>Jul</v>
      </c>
      <c r="M10" s="304" t="str">
        <f t="shared" si="7"/>
        <v>jueves</v>
      </c>
      <c r="N10" s="306">
        <f t="shared" ca="1" si="8"/>
        <v>18097</v>
      </c>
      <c r="O10" s="24">
        <f t="shared" ca="1" si="9"/>
        <v>594</v>
      </c>
      <c r="P10" s="24">
        <f t="shared" ca="1" si="10"/>
        <v>49</v>
      </c>
      <c r="Q10" s="24">
        <f t="shared" ca="1" si="11"/>
        <v>6</v>
      </c>
      <c r="R10" s="24">
        <f t="shared" ca="1" si="12"/>
        <v>16</v>
      </c>
    </row>
    <row r="11" spans="1:21" ht="21" x14ac:dyDescent="0.25">
      <c r="A11" s="13"/>
      <c r="B11" s="9" t="s">
        <v>136</v>
      </c>
      <c r="C11" s="9" t="s">
        <v>137</v>
      </c>
      <c r="D11" s="14" t="str">
        <f t="shared" si="0"/>
        <v>HUAMANCHUMO CASTRO</v>
      </c>
      <c r="E11" s="15" t="str">
        <f t="shared" si="1"/>
        <v>Walter Guillermo</v>
      </c>
      <c r="F11" s="16">
        <v>28161</v>
      </c>
      <c r="G11" s="17" t="s">
        <v>123</v>
      </c>
      <c r="H11" s="304" t="str">
        <f t="shared" si="2"/>
        <v>G</v>
      </c>
      <c r="I11" s="24">
        <f t="shared" si="3"/>
        <v>1977</v>
      </c>
      <c r="J11" s="24">
        <f t="shared" si="4"/>
        <v>2</v>
      </c>
      <c r="K11" s="24">
        <f t="shared" si="5"/>
        <v>5</v>
      </c>
      <c r="L11" s="24" t="str">
        <f t="shared" si="6"/>
        <v>Feb</v>
      </c>
      <c r="M11" s="304" t="str">
        <f t="shared" si="7"/>
        <v>sábado</v>
      </c>
      <c r="N11" s="306">
        <f t="shared" ca="1" si="8"/>
        <v>16807</v>
      </c>
      <c r="O11" s="24">
        <f t="shared" ca="1" si="9"/>
        <v>552</v>
      </c>
      <c r="P11" s="24">
        <f t="shared" ca="1" si="10"/>
        <v>46</v>
      </c>
      <c r="Q11" s="24">
        <f t="shared" ca="1" si="11"/>
        <v>0</v>
      </c>
      <c r="R11" s="24">
        <f t="shared" ca="1" si="12"/>
        <v>6</v>
      </c>
    </row>
    <row r="12" spans="1:21" ht="21" x14ac:dyDescent="0.25">
      <c r="A12" s="13"/>
      <c r="B12" s="9" t="s">
        <v>138</v>
      </c>
      <c r="C12" s="9" t="s">
        <v>139</v>
      </c>
      <c r="D12" s="14" t="str">
        <f t="shared" si="0"/>
        <v>JACINTO AVILES</v>
      </c>
      <c r="E12" s="15" t="str">
        <f t="shared" si="1"/>
        <v>Raul</v>
      </c>
      <c r="F12" s="16">
        <v>29183</v>
      </c>
      <c r="G12" s="17" t="s">
        <v>126</v>
      </c>
      <c r="H12" s="304" t="str">
        <f t="shared" si="2"/>
        <v/>
      </c>
      <c r="I12" s="24">
        <f t="shared" si="3"/>
        <v>1979</v>
      </c>
      <c r="J12" s="24">
        <f t="shared" si="4"/>
        <v>11</v>
      </c>
      <c r="K12" s="24">
        <f t="shared" si="5"/>
        <v>24</v>
      </c>
      <c r="L12" s="24" t="str">
        <f t="shared" si="6"/>
        <v>Nov</v>
      </c>
      <c r="M12" s="304" t="str">
        <f t="shared" si="7"/>
        <v>sábado</v>
      </c>
      <c r="N12" s="306">
        <f t="shared" ca="1" si="8"/>
        <v>15785</v>
      </c>
      <c r="O12" s="24">
        <f t="shared" ca="1" si="9"/>
        <v>518</v>
      </c>
      <c r="P12" s="24">
        <f t="shared" ca="1" si="10"/>
        <v>43</v>
      </c>
      <c r="Q12" s="24">
        <f t="shared" ca="1" si="11"/>
        <v>2</v>
      </c>
      <c r="R12" s="24">
        <f t="shared" ca="1" si="12"/>
        <v>18</v>
      </c>
    </row>
    <row r="13" spans="1:21" ht="21" x14ac:dyDescent="0.25">
      <c r="A13" s="13"/>
      <c r="B13" s="9" t="s">
        <v>140</v>
      </c>
      <c r="C13" s="9" t="s">
        <v>141</v>
      </c>
      <c r="D13" s="14" t="str">
        <f t="shared" si="0"/>
        <v>LOVERA SANDOVAL</v>
      </c>
      <c r="E13" s="15" t="str">
        <f t="shared" si="1"/>
        <v>Lorena</v>
      </c>
      <c r="F13" s="16">
        <v>30920</v>
      </c>
      <c r="G13" s="17" t="s">
        <v>120</v>
      </c>
      <c r="H13" s="304" t="str">
        <f t="shared" si="2"/>
        <v/>
      </c>
      <c r="I13" s="24">
        <f t="shared" si="3"/>
        <v>1984</v>
      </c>
      <c r="J13" s="24">
        <f t="shared" si="4"/>
        <v>8</v>
      </c>
      <c r="K13" s="24">
        <f t="shared" si="5"/>
        <v>26</v>
      </c>
      <c r="L13" s="24" t="str">
        <f t="shared" si="6"/>
        <v>Ago</v>
      </c>
      <c r="M13" s="304" t="str">
        <f t="shared" si="7"/>
        <v>domingo</v>
      </c>
      <c r="N13" s="306">
        <f t="shared" ca="1" si="8"/>
        <v>14048</v>
      </c>
      <c r="O13" s="24">
        <f t="shared" ca="1" si="9"/>
        <v>461</v>
      </c>
      <c r="P13" s="24">
        <f t="shared" ca="1" si="10"/>
        <v>38</v>
      </c>
      <c r="Q13" s="24">
        <f t="shared" ca="1" si="11"/>
        <v>5</v>
      </c>
      <c r="R13" s="24">
        <f t="shared" ca="1" si="12"/>
        <v>16</v>
      </c>
    </row>
    <row r="14" spans="1:21" ht="21" x14ac:dyDescent="0.25">
      <c r="A14" s="13"/>
      <c r="B14" s="9" t="s">
        <v>142</v>
      </c>
      <c r="C14" s="9" t="s">
        <v>143</v>
      </c>
      <c r="D14" s="14" t="str">
        <f t="shared" si="0"/>
        <v>MANYA PANTA</v>
      </c>
      <c r="E14" s="15" t="str">
        <f t="shared" si="1"/>
        <v>Franz Omar</v>
      </c>
      <c r="F14" s="16">
        <v>32657</v>
      </c>
      <c r="G14" s="17" t="s">
        <v>129</v>
      </c>
      <c r="H14" s="304" t="str">
        <f t="shared" si="2"/>
        <v>O</v>
      </c>
      <c r="I14" s="24">
        <f t="shared" si="3"/>
        <v>1989</v>
      </c>
      <c r="J14" s="24">
        <f t="shared" si="4"/>
        <v>5</v>
      </c>
      <c r="K14" s="24">
        <f t="shared" si="5"/>
        <v>29</v>
      </c>
      <c r="L14" s="24" t="str">
        <f t="shared" si="6"/>
        <v>May</v>
      </c>
      <c r="M14" s="304" t="str">
        <f t="shared" si="7"/>
        <v>lunes</v>
      </c>
      <c r="N14" s="306">
        <f t="shared" ca="1" si="8"/>
        <v>12311</v>
      </c>
      <c r="O14" s="24">
        <f t="shared" ca="1" si="9"/>
        <v>404</v>
      </c>
      <c r="P14" s="24">
        <f t="shared" ca="1" si="10"/>
        <v>33</v>
      </c>
      <c r="Q14" s="24">
        <f t="shared" ca="1" si="11"/>
        <v>8</v>
      </c>
      <c r="R14" s="24">
        <f t="shared" ca="1" si="12"/>
        <v>13</v>
      </c>
    </row>
    <row r="15" spans="1:21" ht="21" x14ac:dyDescent="0.25">
      <c r="A15" s="13"/>
      <c r="B15" s="9" t="s">
        <v>144</v>
      </c>
      <c r="C15" s="9" t="s">
        <v>145</v>
      </c>
      <c r="D15" s="14" t="str">
        <f t="shared" si="0"/>
        <v>MEDINA SALGADO</v>
      </c>
      <c r="E15" s="15" t="str">
        <f t="shared" si="1"/>
        <v>Liliana Vanessa</v>
      </c>
      <c r="F15" s="16">
        <v>34394</v>
      </c>
      <c r="G15" s="17" t="s">
        <v>120</v>
      </c>
      <c r="H15" s="304" t="str">
        <f t="shared" si="2"/>
        <v>V</v>
      </c>
      <c r="I15" s="24">
        <f t="shared" si="3"/>
        <v>1994</v>
      </c>
      <c r="J15" s="24">
        <f t="shared" si="4"/>
        <v>3</v>
      </c>
      <c r="K15" s="24">
        <f t="shared" si="5"/>
        <v>1</v>
      </c>
      <c r="L15" s="24" t="str">
        <f t="shared" si="6"/>
        <v>Mar</v>
      </c>
      <c r="M15" s="304" t="str">
        <f t="shared" si="7"/>
        <v>martes</v>
      </c>
      <c r="N15" s="306">
        <f t="shared" ca="1" si="8"/>
        <v>10574</v>
      </c>
      <c r="O15" s="24">
        <f t="shared" ca="1" si="9"/>
        <v>347</v>
      </c>
      <c r="P15" s="24">
        <f t="shared" ca="1" si="10"/>
        <v>28</v>
      </c>
      <c r="Q15" s="24">
        <f t="shared" ca="1" si="11"/>
        <v>11</v>
      </c>
      <c r="R15" s="24">
        <f t="shared" ca="1" si="12"/>
        <v>10</v>
      </c>
    </row>
    <row r="16" spans="1:21" ht="21" x14ac:dyDescent="0.25">
      <c r="A16" s="13"/>
      <c r="B16" s="9" t="s">
        <v>146</v>
      </c>
      <c r="C16" s="9" t="s">
        <v>147</v>
      </c>
      <c r="D16" s="14" t="str">
        <f t="shared" si="0"/>
        <v>MIRANDA CORRALES NIEVES</v>
      </c>
      <c r="E16" s="15" t="str">
        <f t="shared" si="1"/>
        <v>Claudia Patricia</v>
      </c>
      <c r="F16" s="16">
        <v>36131</v>
      </c>
      <c r="G16" s="17" t="s">
        <v>126</v>
      </c>
      <c r="H16" s="304" t="str">
        <f t="shared" si="2"/>
        <v>P</v>
      </c>
      <c r="I16" s="24">
        <f t="shared" si="3"/>
        <v>1998</v>
      </c>
      <c r="J16" s="24">
        <f t="shared" si="4"/>
        <v>12</v>
      </c>
      <c r="K16" s="24">
        <f t="shared" si="5"/>
        <v>2</v>
      </c>
      <c r="L16" s="24" t="str">
        <f t="shared" si="6"/>
        <v>Dic</v>
      </c>
      <c r="M16" s="304" t="str">
        <f t="shared" si="7"/>
        <v>miércoles</v>
      </c>
      <c r="N16" s="306">
        <f t="shared" ca="1" si="8"/>
        <v>8837</v>
      </c>
      <c r="O16" s="24">
        <f t="shared" ca="1" si="9"/>
        <v>290</v>
      </c>
      <c r="P16" s="24">
        <f t="shared" ca="1" si="10"/>
        <v>24</v>
      </c>
      <c r="Q16" s="24">
        <f t="shared" ca="1" si="11"/>
        <v>2</v>
      </c>
      <c r="R16" s="24">
        <f t="shared" ca="1" si="12"/>
        <v>9</v>
      </c>
    </row>
    <row r="17" spans="1:18" ht="21" x14ac:dyDescent="0.25">
      <c r="A17" s="13"/>
      <c r="B17" s="9" t="s">
        <v>148</v>
      </c>
      <c r="C17" s="9" t="s">
        <v>149</v>
      </c>
      <c r="D17" s="14" t="str">
        <f t="shared" si="0"/>
        <v>MIRANDA FERNANDEZ</v>
      </c>
      <c r="E17" s="15" t="str">
        <f t="shared" si="1"/>
        <v>Roberto Carlos</v>
      </c>
      <c r="F17" s="16">
        <v>27735</v>
      </c>
      <c r="G17" s="17" t="s">
        <v>129</v>
      </c>
      <c r="H17" s="304" t="str">
        <f t="shared" si="2"/>
        <v>C</v>
      </c>
      <c r="I17" s="24">
        <f t="shared" si="3"/>
        <v>1975</v>
      </c>
      <c r="J17" s="24">
        <f t="shared" si="4"/>
        <v>12</v>
      </c>
      <c r="K17" s="24">
        <f t="shared" si="5"/>
        <v>7</v>
      </c>
      <c r="L17" s="24" t="str">
        <f t="shared" si="6"/>
        <v>Dic</v>
      </c>
      <c r="M17" s="304" t="str">
        <f t="shared" si="7"/>
        <v>domingo</v>
      </c>
      <c r="N17" s="306">
        <f t="shared" ca="1" si="8"/>
        <v>17233</v>
      </c>
      <c r="O17" s="24">
        <f t="shared" ca="1" si="9"/>
        <v>566</v>
      </c>
      <c r="P17" s="24">
        <f t="shared" ca="1" si="10"/>
        <v>47</v>
      </c>
      <c r="Q17" s="24">
        <f t="shared" ca="1" si="11"/>
        <v>2</v>
      </c>
      <c r="R17" s="24">
        <f t="shared" ca="1" si="12"/>
        <v>4</v>
      </c>
    </row>
    <row r="18" spans="1:18" ht="21" x14ac:dyDescent="0.25">
      <c r="A18" s="13"/>
      <c r="B18" s="9" t="s">
        <v>150</v>
      </c>
      <c r="C18" s="9" t="s">
        <v>151</v>
      </c>
      <c r="D18" s="14" t="str">
        <f t="shared" si="0"/>
        <v>MURRIETA BARDALES</v>
      </c>
      <c r="E18" s="15" t="str">
        <f t="shared" si="1"/>
        <v>Emily Victoria</v>
      </c>
      <c r="F18" s="16">
        <v>32150</v>
      </c>
      <c r="G18" s="17" t="s">
        <v>120</v>
      </c>
      <c r="H18" s="304" t="str">
        <f t="shared" si="2"/>
        <v>V</v>
      </c>
      <c r="I18" s="24">
        <f t="shared" si="3"/>
        <v>1988</v>
      </c>
      <c r="J18" s="24">
        <f t="shared" si="4"/>
        <v>1</v>
      </c>
      <c r="K18" s="24">
        <f t="shared" si="5"/>
        <v>8</v>
      </c>
      <c r="L18" s="24" t="str">
        <f t="shared" si="6"/>
        <v>Ene</v>
      </c>
      <c r="M18" s="304" t="str">
        <f t="shared" si="7"/>
        <v>viernes</v>
      </c>
      <c r="N18" s="306">
        <f t="shared" ca="1" si="8"/>
        <v>12818</v>
      </c>
      <c r="O18" s="24">
        <f t="shared" ca="1" si="9"/>
        <v>421</v>
      </c>
      <c r="P18" s="24">
        <f t="shared" ca="1" si="10"/>
        <v>35</v>
      </c>
      <c r="Q18" s="24">
        <f t="shared" ca="1" si="11"/>
        <v>1</v>
      </c>
      <c r="R18" s="24">
        <f t="shared" ca="1" si="12"/>
        <v>3</v>
      </c>
    </row>
    <row r="19" spans="1:18" ht="21" x14ac:dyDescent="0.25">
      <c r="A19" s="13"/>
      <c r="B19" s="9" t="s">
        <v>152</v>
      </c>
      <c r="C19" s="9" t="s">
        <v>153</v>
      </c>
      <c r="D19" s="14" t="str">
        <f t="shared" si="0"/>
        <v>OLIVARES CUSICAHUA</v>
      </c>
      <c r="E19" s="15" t="str">
        <f t="shared" si="1"/>
        <v>Jhonatan</v>
      </c>
      <c r="F19" s="16">
        <v>32724</v>
      </c>
      <c r="G19" s="17" t="s">
        <v>126</v>
      </c>
      <c r="H19" s="304" t="str">
        <f t="shared" si="2"/>
        <v/>
      </c>
      <c r="I19" s="24">
        <f t="shared" si="3"/>
        <v>1989</v>
      </c>
      <c r="J19" s="24">
        <f t="shared" si="4"/>
        <v>8</v>
      </c>
      <c r="K19" s="24">
        <f t="shared" si="5"/>
        <v>4</v>
      </c>
      <c r="L19" s="24" t="str">
        <f t="shared" si="6"/>
        <v>Ago</v>
      </c>
      <c r="M19" s="304" t="str">
        <f t="shared" si="7"/>
        <v>viernes</v>
      </c>
      <c r="N19" s="306">
        <f t="shared" ca="1" si="8"/>
        <v>12244</v>
      </c>
      <c r="O19" s="24">
        <f t="shared" ca="1" si="9"/>
        <v>402</v>
      </c>
      <c r="P19" s="24">
        <f t="shared" ca="1" si="10"/>
        <v>33</v>
      </c>
      <c r="Q19" s="24">
        <f t="shared" ca="1" si="11"/>
        <v>6</v>
      </c>
      <c r="R19" s="24">
        <f t="shared" ca="1" si="12"/>
        <v>7</v>
      </c>
    </row>
    <row r="20" spans="1:18" ht="21" x14ac:dyDescent="0.25">
      <c r="A20" s="13"/>
      <c r="B20" s="9" t="s">
        <v>154</v>
      </c>
      <c r="C20" s="9" t="s">
        <v>155</v>
      </c>
      <c r="D20" s="14" t="str">
        <f t="shared" si="0"/>
        <v>ORTIZ VERGARA</v>
      </c>
      <c r="E20" s="15" t="str">
        <f t="shared" si="1"/>
        <v>Fiorella</v>
      </c>
      <c r="F20" s="16">
        <v>33298</v>
      </c>
      <c r="G20" s="17" t="s">
        <v>129</v>
      </c>
      <c r="H20" s="304" t="str">
        <f t="shared" si="2"/>
        <v/>
      </c>
      <c r="I20" s="24">
        <f t="shared" si="3"/>
        <v>1991</v>
      </c>
      <c r="J20" s="24">
        <f t="shared" si="4"/>
        <v>3</v>
      </c>
      <c r="K20" s="24">
        <f t="shared" si="5"/>
        <v>1</v>
      </c>
      <c r="L20" s="24" t="str">
        <f t="shared" si="6"/>
        <v>Mar</v>
      </c>
      <c r="M20" s="304" t="str">
        <f t="shared" si="7"/>
        <v>viernes</v>
      </c>
      <c r="N20" s="306">
        <f t="shared" ca="1" si="8"/>
        <v>11670</v>
      </c>
      <c r="O20" s="24">
        <f t="shared" ca="1" si="9"/>
        <v>383</v>
      </c>
      <c r="P20" s="24">
        <f t="shared" ca="1" si="10"/>
        <v>31</v>
      </c>
      <c r="Q20" s="24">
        <f t="shared" ca="1" si="11"/>
        <v>11</v>
      </c>
      <c r="R20" s="24">
        <f t="shared" ca="1" si="12"/>
        <v>10</v>
      </c>
    </row>
    <row r="21" spans="1:18" ht="21" x14ac:dyDescent="0.25">
      <c r="A21" s="13"/>
      <c r="B21" s="9" t="s">
        <v>156</v>
      </c>
      <c r="C21" s="9" t="s">
        <v>157</v>
      </c>
      <c r="D21" s="14" t="str">
        <f t="shared" si="0"/>
        <v>PEREZ DE LA PUENTE</v>
      </c>
      <c r="E21" s="15" t="str">
        <f t="shared" si="1"/>
        <v>Oscar</v>
      </c>
      <c r="F21" s="16">
        <v>34446</v>
      </c>
      <c r="G21" s="17" t="s">
        <v>126</v>
      </c>
      <c r="H21" s="304" t="str">
        <f t="shared" si="2"/>
        <v/>
      </c>
      <c r="I21" s="24">
        <f t="shared" si="3"/>
        <v>1994</v>
      </c>
      <c r="J21" s="24">
        <f t="shared" si="4"/>
        <v>4</v>
      </c>
      <c r="K21" s="24">
        <f t="shared" si="5"/>
        <v>22</v>
      </c>
      <c r="L21" s="24" t="str">
        <f t="shared" si="6"/>
        <v>Abr</v>
      </c>
      <c r="M21" s="304" t="str">
        <f t="shared" si="7"/>
        <v>viernes</v>
      </c>
      <c r="N21" s="306">
        <f t="shared" ca="1" si="8"/>
        <v>10522</v>
      </c>
      <c r="O21" s="24">
        <f t="shared" ca="1" si="9"/>
        <v>345</v>
      </c>
      <c r="P21" s="24">
        <f t="shared" ca="1" si="10"/>
        <v>28</v>
      </c>
      <c r="Q21" s="24">
        <f t="shared" ca="1" si="11"/>
        <v>9</v>
      </c>
      <c r="R21" s="24">
        <f t="shared" ca="1" si="12"/>
        <v>20</v>
      </c>
    </row>
    <row r="22" spans="1:18" ht="21" x14ac:dyDescent="0.25">
      <c r="A22" s="13"/>
      <c r="B22" s="9" t="s">
        <v>158</v>
      </c>
      <c r="C22" s="9" t="s">
        <v>159</v>
      </c>
      <c r="D22" s="14" t="str">
        <f t="shared" si="0"/>
        <v>POMACHAGUA SOTOMAYOR</v>
      </c>
      <c r="E22" s="15" t="str">
        <f t="shared" si="1"/>
        <v>Walter Miguel</v>
      </c>
      <c r="F22" s="16">
        <v>27735</v>
      </c>
      <c r="G22" s="17" t="s">
        <v>120</v>
      </c>
      <c r="H22" s="304" t="str">
        <f t="shared" si="2"/>
        <v>M</v>
      </c>
      <c r="I22" s="24">
        <f t="shared" si="3"/>
        <v>1975</v>
      </c>
      <c r="J22" s="24">
        <f t="shared" si="4"/>
        <v>12</v>
      </c>
      <c r="K22" s="24">
        <f t="shared" si="5"/>
        <v>7</v>
      </c>
      <c r="L22" s="24" t="str">
        <f t="shared" si="6"/>
        <v>Dic</v>
      </c>
      <c r="M22" s="304" t="str">
        <f t="shared" si="7"/>
        <v>domingo</v>
      </c>
      <c r="N22" s="306">
        <f t="shared" ca="1" si="8"/>
        <v>17233</v>
      </c>
      <c r="O22" s="24">
        <f t="shared" ca="1" si="9"/>
        <v>566</v>
      </c>
      <c r="P22" s="24">
        <f t="shared" ca="1" si="10"/>
        <v>47</v>
      </c>
      <c r="Q22" s="24">
        <f t="shared" ca="1" si="11"/>
        <v>2</v>
      </c>
      <c r="R22" s="24">
        <f t="shared" ca="1" si="12"/>
        <v>4</v>
      </c>
    </row>
    <row r="23" spans="1:18" ht="21" x14ac:dyDescent="0.25">
      <c r="A23" s="13"/>
      <c r="B23" s="9" t="s">
        <v>160</v>
      </c>
      <c r="C23" s="9" t="s">
        <v>161</v>
      </c>
      <c r="D23" s="14" t="str">
        <f t="shared" si="0"/>
        <v>ROMERO GUILLEN</v>
      </c>
      <c r="E23" s="15" t="str">
        <f t="shared" si="1"/>
        <v>Ivana Daniele</v>
      </c>
      <c r="F23" s="16">
        <v>32150</v>
      </c>
      <c r="G23" s="17" t="s">
        <v>120</v>
      </c>
      <c r="H23" s="304" t="str">
        <f t="shared" si="2"/>
        <v>D</v>
      </c>
      <c r="I23" s="24">
        <f t="shared" si="3"/>
        <v>1988</v>
      </c>
      <c r="J23" s="24">
        <f t="shared" si="4"/>
        <v>1</v>
      </c>
      <c r="K23" s="24">
        <f t="shared" si="5"/>
        <v>8</v>
      </c>
      <c r="L23" s="24" t="str">
        <f t="shared" si="6"/>
        <v>Ene</v>
      </c>
      <c r="M23" s="304" t="str">
        <f t="shared" si="7"/>
        <v>viernes</v>
      </c>
      <c r="N23" s="306">
        <f t="shared" ca="1" si="8"/>
        <v>12818</v>
      </c>
      <c r="O23" s="24">
        <f t="shared" ca="1" si="9"/>
        <v>421</v>
      </c>
      <c r="P23" s="24">
        <f t="shared" ca="1" si="10"/>
        <v>35</v>
      </c>
      <c r="Q23" s="24">
        <f t="shared" ca="1" si="11"/>
        <v>1</v>
      </c>
      <c r="R23" s="24">
        <f t="shared" ca="1" si="12"/>
        <v>3</v>
      </c>
    </row>
    <row r="24" spans="1:18" ht="21" x14ac:dyDescent="0.25">
      <c r="A24" s="13"/>
      <c r="B24" s="9" t="s">
        <v>162</v>
      </c>
      <c r="C24" s="9" t="s">
        <v>163</v>
      </c>
      <c r="D24" s="14" t="str">
        <f t="shared" si="0"/>
        <v>TORRES LOYOLA</v>
      </c>
      <c r="E24" s="15" t="str">
        <f t="shared" si="1"/>
        <v>Christian Daniel</v>
      </c>
      <c r="F24" s="16">
        <v>33954</v>
      </c>
      <c r="G24" s="17" t="s">
        <v>126</v>
      </c>
      <c r="H24" s="304" t="str">
        <f t="shared" si="2"/>
        <v>D</v>
      </c>
      <c r="I24" s="24">
        <f t="shared" si="3"/>
        <v>1992</v>
      </c>
      <c r="J24" s="24">
        <f t="shared" si="4"/>
        <v>12</v>
      </c>
      <c r="K24" s="24">
        <f t="shared" si="5"/>
        <v>16</v>
      </c>
      <c r="L24" s="24" t="str">
        <f t="shared" si="6"/>
        <v>Dic</v>
      </c>
      <c r="M24" s="304" t="str">
        <f t="shared" si="7"/>
        <v>miércoles</v>
      </c>
      <c r="N24" s="306">
        <f t="shared" ca="1" si="8"/>
        <v>11014</v>
      </c>
      <c r="O24" s="24">
        <f t="shared" ca="1" si="9"/>
        <v>361</v>
      </c>
      <c r="P24" s="24">
        <f t="shared" ca="1" si="10"/>
        <v>30</v>
      </c>
      <c r="Q24" s="24">
        <f t="shared" ca="1" si="11"/>
        <v>1</v>
      </c>
      <c r="R24" s="24">
        <f t="shared" ca="1" si="12"/>
        <v>26</v>
      </c>
    </row>
    <row r="25" spans="1:18" ht="21" x14ac:dyDescent="0.25">
      <c r="A25" s="13"/>
      <c r="B25" s="9" t="s">
        <v>164</v>
      </c>
      <c r="C25" s="9" t="s">
        <v>165</v>
      </c>
      <c r="D25" s="14" t="str">
        <f t="shared" si="0"/>
        <v>UTURI ARROYO</v>
      </c>
      <c r="E25" s="15" t="str">
        <f t="shared" si="1"/>
        <v>Martha Inés</v>
      </c>
      <c r="F25" s="16">
        <v>27735</v>
      </c>
      <c r="G25" s="17" t="s">
        <v>129</v>
      </c>
      <c r="H25" s="304" t="str">
        <f t="shared" si="2"/>
        <v>I</v>
      </c>
      <c r="I25" s="24">
        <f t="shared" si="3"/>
        <v>1975</v>
      </c>
      <c r="J25" s="24">
        <f t="shared" si="4"/>
        <v>12</v>
      </c>
      <c r="K25" s="24">
        <f t="shared" si="5"/>
        <v>7</v>
      </c>
      <c r="L25" s="24" t="str">
        <f t="shared" si="6"/>
        <v>Dic</v>
      </c>
      <c r="M25" s="304" t="str">
        <f t="shared" si="7"/>
        <v>domingo</v>
      </c>
      <c r="N25" s="306">
        <f t="shared" ca="1" si="8"/>
        <v>17233</v>
      </c>
      <c r="O25" s="24">
        <f t="shared" ca="1" si="9"/>
        <v>566</v>
      </c>
      <c r="P25" s="24">
        <f t="shared" ca="1" si="10"/>
        <v>47</v>
      </c>
      <c r="Q25" s="24">
        <f t="shared" ca="1" si="11"/>
        <v>2</v>
      </c>
      <c r="R25" s="24">
        <f t="shared" ca="1" si="12"/>
        <v>4</v>
      </c>
    </row>
    <row r="26" spans="1:18" ht="21" x14ac:dyDescent="0.25">
      <c r="A26" s="13"/>
      <c r="B26" s="9" t="s">
        <v>166</v>
      </c>
      <c r="C26" s="9" t="s">
        <v>167</v>
      </c>
      <c r="D26" s="14" t="str">
        <f t="shared" si="0"/>
        <v>VALLEJOS LOZADA</v>
      </c>
      <c r="E26" s="15" t="str">
        <f t="shared" si="1"/>
        <v>Miguel Ángel</v>
      </c>
      <c r="F26" s="16">
        <v>35937</v>
      </c>
      <c r="G26" s="17" t="s">
        <v>123</v>
      </c>
      <c r="H26" s="304" t="str">
        <f t="shared" si="2"/>
        <v>Á</v>
      </c>
      <c r="I26" s="24">
        <f t="shared" si="3"/>
        <v>1998</v>
      </c>
      <c r="J26" s="24">
        <f t="shared" si="4"/>
        <v>5</v>
      </c>
      <c r="K26" s="24">
        <f t="shared" si="5"/>
        <v>22</v>
      </c>
      <c r="L26" s="24" t="str">
        <f t="shared" si="6"/>
        <v>May</v>
      </c>
      <c r="M26" s="304" t="str">
        <f t="shared" si="7"/>
        <v>viernes</v>
      </c>
      <c r="N26" s="306">
        <f t="shared" ca="1" si="8"/>
        <v>9031</v>
      </c>
      <c r="O26" s="24">
        <f t="shared" ca="1" si="9"/>
        <v>296</v>
      </c>
      <c r="P26" s="24">
        <f t="shared" ca="1" si="10"/>
        <v>24</v>
      </c>
      <c r="Q26" s="24">
        <f t="shared" ca="1" si="11"/>
        <v>8</v>
      </c>
      <c r="R26" s="24">
        <f t="shared" ca="1" si="12"/>
        <v>20</v>
      </c>
    </row>
    <row r="27" spans="1:18" ht="21" x14ac:dyDescent="0.25">
      <c r="A27" s="13"/>
      <c r="B27" s="9" t="s">
        <v>168</v>
      </c>
      <c r="C27" s="9" t="s">
        <v>169</v>
      </c>
      <c r="D27" s="14" t="str">
        <f t="shared" si="0"/>
        <v>VILLEGAS TAMAYO</v>
      </c>
      <c r="E27" s="15" t="str">
        <f t="shared" si="1"/>
        <v>Milagros</v>
      </c>
      <c r="F27" s="16">
        <v>37209</v>
      </c>
      <c r="G27" s="17" t="s">
        <v>120</v>
      </c>
      <c r="H27" s="304" t="str">
        <f t="shared" si="2"/>
        <v/>
      </c>
      <c r="I27" s="24">
        <f t="shared" si="3"/>
        <v>2001</v>
      </c>
      <c r="J27" s="24">
        <f t="shared" si="4"/>
        <v>11</v>
      </c>
      <c r="K27" s="24">
        <f t="shared" si="5"/>
        <v>14</v>
      </c>
      <c r="L27" s="24" t="str">
        <f t="shared" si="6"/>
        <v>Nov</v>
      </c>
      <c r="M27" s="304" t="str">
        <f t="shared" si="7"/>
        <v>miércoles</v>
      </c>
      <c r="N27" s="306">
        <f t="shared" ca="1" si="8"/>
        <v>7759</v>
      </c>
      <c r="O27" s="24">
        <f t="shared" ca="1" si="9"/>
        <v>254</v>
      </c>
      <c r="P27" s="24">
        <f t="shared" ca="1" si="10"/>
        <v>21</v>
      </c>
      <c r="Q27" s="24">
        <f t="shared" ca="1" si="11"/>
        <v>2</v>
      </c>
      <c r="R27" s="24">
        <f t="shared" ca="1" si="12"/>
        <v>28</v>
      </c>
    </row>
    <row r="28" spans="1:18" ht="21" x14ac:dyDescent="0.25">
      <c r="A28" s="13"/>
      <c r="B28" s="9" t="s">
        <v>170</v>
      </c>
      <c r="C28" s="9" t="s">
        <v>171</v>
      </c>
      <c r="D28" s="14" t="str">
        <f t="shared" si="0"/>
        <v>WONG BOBADILLA</v>
      </c>
      <c r="E28" s="15" t="str">
        <f t="shared" si="1"/>
        <v>Waldy Elena</v>
      </c>
      <c r="F28" s="16">
        <v>38661</v>
      </c>
      <c r="G28" s="17" t="s">
        <v>129</v>
      </c>
      <c r="H28" s="304" t="str">
        <f t="shared" si="2"/>
        <v>E</v>
      </c>
      <c r="I28" s="24">
        <f t="shared" si="3"/>
        <v>2005</v>
      </c>
      <c r="J28" s="24">
        <f t="shared" si="4"/>
        <v>11</v>
      </c>
      <c r="K28" s="24">
        <f t="shared" si="5"/>
        <v>5</v>
      </c>
      <c r="L28" s="24" t="str">
        <f t="shared" si="6"/>
        <v>Nov</v>
      </c>
      <c r="M28" s="304" t="str">
        <f t="shared" si="7"/>
        <v>sábado</v>
      </c>
      <c r="N28" s="306">
        <f t="shared" ca="1" si="8"/>
        <v>6307</v>
      </c>
      <c r="O28" s="24">
        <f t="shared" ca="1" si="9"/>
        <v>207</v>
      </c>
      <c r="P28" s="24">
        <f t="shared" ca="1" si="10"/>
        <v>17</v>
      </c>
      <c r="Q28" s="24">
        <f t="shared" ca="1" si="11"/>
        <v>3</v>
      </c>
      <c r="R28" s="24">
        <f t="shared" ca="1" si="12"/>
        <v>6</v>
      </c>
    </row>
    <row r="30" spans="1:18" hidden="1" x14ac:dyDescent="0.25"/>
    <row r="31" spans="1:18" hidden="1" x14ac:dyDescent="0.25"/>
    <row r="32" spans="1:18" hidden="1" x14ac:dyDescent="0.25"/>
    <row r="34" spans="1:7" x14ac:dyDescent="0.25">
      <c r="A34" s="12" t="s">
        <v>111</v>
      </c>
      <c r="B34" s="12" t="s">
        <v>112</v>
      </c>
      <c r="C34" s="12" t="s">
        <v>113</v>
      </c>
      <c r="D34" s="12" t="s">
        <v>114</v>
      </c>
      <c r="E34" s="12" t="s">
        <v>115</v>
      </c>
      <c r="F34" s="12" t="s">
        <v>116</v>
      </c>
      <c r="G34" s="12" t="s">
        <v>117</v>
      </c>
    </row>
    <row r="35" spans="1:7" x14ac:dyDescent="0.25">
      <c r="A35" s="13" t="s">
        <v>289</v>
      </c>
      <c r="B35" s="9" t="s">
        <v>118</v>
      </c>
      <c r="C35" s="9" t="s">
        <v>119</v>
      </c>
      <c r="D35" s="14" t="s">
        <v>288</v>
      </c>
      <c r="E35" s="15" t="s">
        <v>290</v>
      </c>
      <c r="F35" s="16">
        <v>18397</v>
      </c>
      <c r="G35" s="23" t="s">
        <v>120</v>
      </c>
    </row>
    <row r="36" spans="1:7" x14ac:dyDescent="0.25">
      <c r="A36" s="13" t="s">
        <v>172</v>
      </c>
      <c r="B36" s="9" t="s">
        <v>121</v>
      </c>
      <c r="C36" s="9" t="s">
        <v>122</v>
      </c>
      <c r="D36" s="14" t="s">
        <v>173</v>
      </c>
      <c r="E36" s="15" t="s">
        <v>174</v>
      </c>
      <c r="F36" s="16">
        <v>19862</v>
      </c>
      <c r="G36" s="17" t="s">
        <v>123</v>
      </c>
    </row>
    <row r="37" spans="1:7" x14ac:dyDescent="0.25">
      <c r="A37" s="13" t="s">
        <v>175</v>
      </c>
      <c r="B37" s="9" t="s">
        <v>124</v>
      </c>
      <c r="C37" s="9" t="s">
        <v>125</v>
      </c>
      <c r="D37" s="14" t="s">
        <v>176</v>
      </c>
      <c r="E37" s="15" t="s">
        <v>177</v>
      </c>
      <c r="F37" s="16">
        <v>21403</v>
      </c>
      <c r="G37" s="17" t="s">
        <v>126</v>
      </c>
    </row>
    <row r="38" spans="1:7" x14ac:dyDescent="0.25">
      <c r="A38" s="13" t="s">
        <v>178</v>
      </c>
      <c r="B38" s="9" t="s">
        <v>127</v>
      </c>
      <c r="C38" s="9" t="s">
        <v>128</v>
      </c>
      <c r="D38" s="14" t="s">
        <v>179</v>
      </c>
      <c r="E38" s="15" t="s">
        <v>180</v>
      </c>
      <c r="F38" s="16">
        <v>22935</v>
      </c>
      <c r="G38" s="17" t="s">
        <v>129</v>
      </c>
    </row>
    <row r="39" spans="1:7" x14ac:dyDescent="0.25">
      <c r="A39" s="13" t="s">
        <v>181</v>
      </c>
      <c r="B39" s="9" t="s">
        <v>130</v>
      </c>
      <c r="C39" s="9" t="s">
        <v>131</v>
      </c>
      <c r="D39" s="14" t="s">
        <v>182</v>
      </c>
      <c r="E39" s="15" t="s">
        <v>183</v>
      </c>
      <c r="F39" s="16">
        <v>24033</v>
      </c>
      <c r="G39" s="17" t="s">
        <v>126</v>
      </c>
    </row>
    <row r="40" spans="1:7" x14ac:dyDescent="0.25">
      <c r="A40" s="13" t="s">
        <v>184</v>
      </c>
      <c r="B40" s="9" t="s">
        <v>132</v>
      </c>
      <c r="C40" s="9" t="s">
        <v>133</v>
      </c>
      <c r="D40" s="14" t="s">
        <v>185</v>
      </c>
      <c r="E40" s="15" t="s">
        <v>186</v>
      </c>
      <c r="F40" s="16">
        <v>25806</v>
      </c>
      <c r="G40" s="17" t="s">
        <v>126</v>
      </c>
    </row>
    <row r="41" spans="1:7" x14ac:dyDescent="0.25">
      <c r="A41" s="13" t="s">
        <v>187</v>
      </c>
      <c r="B41" s="9" t="s">
        <v>134</v>
      </c>
      <c r="C41" s="9" t="s">
        <v>135</v>
      </c>
      <c r="D41" s="14" t="s">
        <v>188</v>
      </c>
      <c r="E41" s="15" t="s">
        <v>189</v>
      </c>
      <c r="F41" s="16">
        <v>26871</v>
      </c>
      <c r="G41" s="17" t="s">
        <v>120</v>
      </c>
    </row>
    <row r="42" spans="1:7" x14ac:dyDescent="0.25">
      <c r="A42" s="13" t="s">
        <v>190</v>
      </c>
      <c r="B42" s="9" t="s">
        <v>136</v>
      </c>
      <c r="C42" s="9" t="s">
        <v>137</v>
      </c>
      <c r="D42" s="14" t="s">
        <v>191</v>
      </c>
      <c r="E42" s="15" t="s">
        <v>192</v>
      </c>
      <c r="F42" s="16">
        <v>28161</v>
      </c>
      <c r="G42" s="17" t="s">
        <v>123</v>
      </c>
    </row>
    <row r="43" spans="1:7" x14ac:dyDescent="0.25">
      <c r="A43" s="13" t="s">
        <v>193</v>
      </c>
      <c r="B43" s="9" t="s">
        <v>138</v>
      </c>
      <c r="C43" s="9" t="s">
        <v>139</v>
      </c>
      <c r="D43" s="14" t="s">
        <v>194</v>
      </c>
      <c r="E43" s="15" t="s">
        <v>195</v>
      </c>
      <c r="F43" s="16">
        <v>29183</v>
      </c>
      <c r="G43" s="17" t="s">
        <v>126</v>
      </c>
    </row>
    <row r="44" spans="1:7" x14ac:dyDescent="0.25">
      <c r="A44" s="13" t="s">
        <v>196</v>
      </c>
      <c r="B44" s="9" t="s">
        <v>140</v>
      </c>
      <c r="C44" s="9" t="s">
        <v>141</v>
      </c>
      <c r="D44" s="14" t="s">
        <v>197</v>
      </c>
      <c r="E44" s="15" t="s">
        <v>198</v>
      </c>
      <c r="F44" s="16">
        <v>30920</v>
      </c>
      <c r="G44" s="17" t="s">
        <v>120</v>
      </c>
    </row>
    <row r="45" spans="1:7" x14ac:dyDescent="0.25">
      <c r="A45" s="13" t="s">
        <v>199</v>
      </c>
      <c r="B45" s="9" t="s">
        <v>142</v>
      </c>
      <c r="C45" s="9" t="s">
        <v>143</v>
      </c>
      <c r="D45" s="14" t="s">
        <v>200</v>
      </c>
      <c r="E45" s="15" t="s">
        <v>201</v>
      </c>
      <c r="F45" s="16">
        <v>32657</v>
      </c>
      <c r="G45" s="17" t="s">
        <v>129</v>
      </c>
    </row>
    <row r="46" spans="1:7" x14ac:dyDescent="0.25">
      <c r="A46" s="13" t="s">
        <v>202</v>
      </c>
      <c r="B46" s="9" t="s">
        <v>144</v>
      </c>
      <c r="C46" s="9" t="s">
        <v>145</v>
      </c>
      <c r="D46" s="14" t="s">
        <v>203</v>
      </c>
      <c r="E46" s="15" t="s">
        <v>204</v>
      </c>
      <c r="F46" s="16">
        <v>34394</v>
      </c>
      <c r="G46" s="17" t="s">
        <v>120</v>
      </c>
    </row>
    <row r="47" spans="1:7" x14ac:dyDescent="0.25">
      <c r="A47" s="13" t="s">
        <v>205</v>
      </c>
      <c r="B47" s="9" t="s">
        <v>146</v>
      </c>
      <c r="C47" s="9" t="s">
        <v>147</v>
      </c>
      <c r="D47" s="14" t="s">
        <v>206</v>
      </c>
      <c r="E47" s="15" t="s">
        <v>207</v>
      </c>
      <c r="F47" s="16">
        <v>36131</v>
      </c>
      <c r="G47" s="17" t="s">
        <v>126</v>
      </c>
    </row>
    <row r="48" spans="1:7" x14ac:dyDescent="0.25">
      <c r="A48" s="13" t="s">
        <v>208</v>
      </c>
      <c r="B48" s="9" t="s">
        <v>148</v>
      </c>
      <c r="C48" s="9" t="s">
        <v>149</v>
      </c>
      <c r="D48" s="14" t="s">
        <v>209</v>
      </c>
      <c r="E48" s="15" t="s">
        <v>210</v>
      </c>
      <c r="F48" s="16">
        <v>27735</v>
      </c>
      <c r="G48" s="17" t="s">
        <v>129</v>
      </c>
    </row>
    <row r="49" spans="1:7" x14ac:dyDescent="0.25">
      <c r="A49" s="13" t="s">
        <v>202</v>
      </c>
      <c r="B49" s="9" t="s">
        <v>150</v>
      </c>
      <c r="C49" s="9" t="s">
        <v>151</v>
      </c>
      <c r="D49" s="14" t="s">
        <v>211</v>
      </c>
      <c r="E49" s="15" t="s">
        <v>212</v>
      </c>
      <c r="F49" s="16">
        <v>32150</v>
      </c>
      <c r="G49" s="17" t="s">
        <v>120</v>
      </c>
    </row>
    <row r="50" spans="1:7" x14ac:dyDescent="0.25">
      <c r="A50" s="13" t="s">
        <v>213</v>
      </c>
      <c r="B50" s="9" t="s">
        <v>152</v>
      </c>
      <c r="C50" s="9" t="s">
        <v>153</v>
      </c>
      <c r="D50" s="14" t="s">
        <v>214</v>
      </c>
      <c r="E50" s="15" t="s">
        <v>215</v>
      </c>
      <c r="F50" s="16">
        <v>32724</v>
      </c>
      <c r="G50" s="17" t="s">
        <v>126</v>
      </c>
    </row>
    <row r="51" spans="1:7" x14ac:dyDescent="0.25">
      <c r="A51" s="13" t="s">
        <v>216</v>
      </c>
      <c r="B51" s="9" t="s">
        <v>154</v>
      </c>
      <c r="C51" s="9" t="s">
        <v>155</v>
      </c>
      <c r="D51" s="14" t="s">
        <v>217</v>
      </c>
      <c r="E51" s="15" t="s">
        <v>218</v>
      </c>
      <c r="F51" s="16">
        <v>33298</v>
      </c>
      <c r="G51" s="17" t="s">
        <v>129</v>
      </c>
    </row>
    <row r="52" spans="1:7" x14ac:dyDescent="0.25">
      <c r="A52" s="13" t="s">
        <v>219</v>
      </c>
      <c r="B52" s="9" t="s">
        <v>156</v>
      </c>
      <c r="C52" s="9" t="s">
        <v>157</v>
      </c>
      <c r="D52" s="14" t="s">
        <v>220</v>
      </c>
      <c r="E52" s="15" t="s">
        <v>221</v>
      </c>
      <c r="F52" s="16">
        <v>34446</v>
      </c>
      <c r="G52" s="17" t="s">
        <v>126</v>
      </c>
    </row>
    <row r="53" spans="1:7" x14ac:dyDescent="0.25">
      <c r="A53" s="13" t="s">
        <v>222</v>
      </c>
      <c r="B53" s="9" t="s">
        <v>158</v>
      </c>
      <c r="C53" s="9" t="s">
        <v>159</v>
      </c>
      <c r="D53" s="14" t="s">
        <v>223</v>
      </c>
      <c r="E53" s="15" t="s">
        <v>224</v>
      </c>
      <c r="F53" s="16">
        <v>27735</v>
      </c>
      <c r="G53" s="17" t="s">
        <v>120</v>
      </c>
    </row>
    <row r="54" spans="1:7" x14ac:dyDescent="0.25">
      <c r="A54" s="13" t="s">
        <v>225</v>
      </c>
      <c r="B54" s="9" t="s">
        <v>160</v>
      </c>
      <c r="C54" s="9" t="s">
        <v>161</v>
      </c>
      <c r="D54" s="14" t="s">
        <v>226</v>
      </c>
      <c r="E54" s="15" t="s">
        <v>227</v>
      </c>
      <c r="F54" s="16">
        <v>32150</v>
      </c>
      <c r="G54" s="17" t="s">
        <v>120</v>
      </c>
    </row>
    <row r="55" spans="1:7" x14ac:dyDescent="0.25">
      <c r="A55" s="13" t="s">
        <v>228</v>
      </c>
      <c r="B55" s="9" t="s">
        <v>162</v>
      </c>
      <c r="C55" s="9" t="s">
        <v>163</v>
      </c>
      <c r="D55" s="14" t="s">
        <v>229</v>
      </c>
      <c r="E55" s="15" t="s">
        <v>230</v>
      </c>
      <c r="F55" s="16">
        <v>33954</v>
      </c>
      <c r="G55" s="17" t="s">
        <v>126</v>
      </c>
    </row>
    <row r="56" spans="1:7" x14ac:dyDescent="0.25">
      <c r="A56" s="13" t="s">
        <v>231</v>
      </c>
      <c r="B56" s="9" t="s">
        <v>164</v>
      </c>
      <c r="C56" s="9" t="s">
        <v>165</v>
      </c>
      <c r="D56" s="14" t="s">
        <v>232</v>
      </c>
      <c r="E56" s="15" t="s">
        <v>233</v>
      </c>
      <c r="F56" s="16">
        <v>27735</v>
      </c>
      <c r="G56" s="17" t="s">
        <v>129</v>
      </c>
    </row>
    <row r="57" spans="1:7" x14ac:dyDescent="0.25">
      <c r="A57" s="13" t="s">
        <v>234</v>
      </c>
      <c r="B57" s="9" t="s">
        <v>166</v>
      </c>
      <c r="C57" s="9" t="s">
        <v>167</v>
      </c>
      <c r="D57" s="14" t="s">
        <v>235</v>
      </c>
      <c r="E57" s="15" t="s">
        <v>236</v>
      </c>
      <c r="F57" s="16">
        <v>35937</v>
      </c>
      <c r="G57" s="17" t="s">
        <v>123</v>
      </c>
    </row>
    <row r="58" spans="1:7" x14ac:dyDescent="0.25">
      <c r="A58" s="13" t="s">
        <v>237</v>
      </c>
      <c r="B58" s="9" t="s">
        <v>168</v>
      </c>
      <c r="C58" s="9" t="s">
        <v>169</v>
      </c>
      <c r="D58" s="14" t="s">
        <v>238</v>
      </c>
      <c r="E58" s="15" t="s">
        <v>239</v>
      </c>
      <c r="F58" s="16">
        <v>37209</v>
      </c>
      <c r="G58" s="17" t="s">
        <v>120</v>
      </c>
    </row>
    <row r="59" spans="1:7" x14ac:dyDescent="0.25">
      <c r="A59" s="13" t="s">
        <v>240</v>
      </c>
      <c r="B59" s="9" t="s">
        <v>170</v>
      </c>
      <c r="C59" s="9" t="s">
        <v>171</v>
      </c>
      <c r="D59" s="14" t="s">
        <v>241</v>
      </c>
      <c r="E59" s="15" t="s">
        <v>242</v>
      </c>
      <c r="F59" s="16">
        <v>38661</v>
      </c>
      <c r="G59" s="17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8E44-36E4-4741-A18C-E3A01546217D}">
  <sheetPr>
    <tabColor rgb="FF00B0F0"/>
  </sheetPr>
  <dimension ref="A1:L47"/>
  <sheetViews>
    <sheetView topLeftCell="A3" zoomScale="120" zoomScaleNormal="120" workbookViewId="0">
      <selection activeCell="F10" sqref="F10"/>
    </sheetView>
  </sheetViews>
  <sheetFormatPr baseColWidth="10" defaultColWidth="11.42578125" defaultRowHeight="0" customHeight="1" zeroHeight="1" x14ac:dyDescent="0.25"/>
  <cols>
    <col min="1" max="1" width="7.140625" style="31" bestFit="1" customWidth="1"/>
    <col min="2" max="2" width="9" style="31" bestFit="1" customWidth="1"/>
    <col min="3" max="3" width="31.7109375" style="31" customWidth="1"/>
    <col min="4" max="4" width="18" style="31" bestFit="1" customWidth="1"/>
    <col min="5" max="5" width="18" style="30" customWidth="1"/>
    <col min="6" max="6" width="23.42578125" style="31" customWidth="1"/>
    <col min="7" max="7" width="11.42578125" style="30" customWidth="1"/>
    <col min="8" max="8" width="17" style="30" customWidth="1"/>
    <col min="9" max="9" width="10.7109375" style="30" customWidth="1"/>
    <col min="10" max="11" width="11.42578125" style="30" customWidth="1"/>
    <col min="12" max="12" width="12" style="30" bestFit="1" customWidth="1"/>
    <col min="13" max="16384" width="11.42578125" style="30"/>
  </cols>
  <sheetData>
    <row r="1" spans="1:12" ht="15" x14ac:dyDescent="0.25">
      <c r="A1" s="30"/>
      <c r="B1" s="30"/>
      <c r="C1" s="30"/>
      <c r="D1" s="30"/>
      <c r="F1" s="30"/>
    </row>
    <row r="2" spans="1:12" ht="15" x14ac:dyDescent="0.25">
      <c r="A2" s="30"/>
      <c r="B2" s="30"/>
      <c r="C2" s="30"/>
      <c r="D2" s="30"/>
      <c r="E2" s="47"/>
      <c r="F2" s="30"/>
      <c r="G2" s="47"/>
      <c r="H2" s="47"/>
    </row>
    <row r="3" spans="1:12" ht="15" x14ac:dyDescent="0.25">
      <c r="A3" s="30"/>
      <c r="B3" s="30"/>
      <c r="C3" s="30"/>
      <c r="D3" s="30"/>
      <c r="F3" s="30"/>
    </row>
    <row r="4" spans="1:12" ht="15" x14ac:dyDescent="0.25">
      <c r="A4" s="30"/>
      <c r="B4" s="30"/>
      <c r="C4" s="30"/>
      <c r="D4" s="30"/>
      <c r="F4" s="30"/>
    </row>
    <row r="5" spans="1:12" ht="21" x14ac:dyDescent="0.35">
      <c r="A5" s="30"/>
      <c r="B5" s="30"/>
      <c r="C5" s="30"/>
      <c r="D5" s="30"/>
      <c r="F5" s="30"/>
      <c r="K5" s="311" t="s">
        <v>596</v>
      </c>
    </row>
    <row r="6" spans="1:12" ht="15" x14ac:dyDescent="0.25">
      <c r="A6" s="30"/>
      <c r="B6" s="30"/>
      <c r="C6" s="30"/>
      <c r="D6" s="30"/>
      <c r="F6" s="30"/>
      <c r="L6" s="30" t="s">
        <v>597</v>
      </c>
    </row>
    <row r="7" spans="1:12" ht="15" x14ac:dyDescent="0.25">
      <c r="A7" s="30"/>
      <c r="B7" s="30"/>
      <c r="C7" s="30"/>
      <c r="D7" s="30"/>
      <c r="F7" s="30"/>
      <c r="L7" s="30" t="s">
        <v>598</v>
      </c>
    </row>
    <row r="8" spans="1:12" ht="15" x14ac:dyDescent="0.25">
      <c r="A8" s="30"/>
      <c r="B8" s="30"/>
      <c r="C8" s="30"/>
      <c r="D8" s="30"/>
      <c r="F8" s="30"/>
      <c r="L8" s="30" t="s">
        <v>599</v>
      </c>
    </row>
    <row r="9" spans="1:12" ht="15.75" thickBot="1" x14ac:dyDescent="0.3">
      <c r="A9" s="45" t="s">
        <v>111</v>
      </c>
      <c r="B9" s="45" t="s">
        <v>8</v>
      </c>
      <c r="C9" s="46" t="s">
        <v>246</v>
      </c>
      <c r="D9" s="46" t="s">
        <v>340</v>
      </c>
      <c r="E9" s="45" t="s">
        <v>339</v>
      </c>
      <c r="F9" s="44" t="s">
        <v>338</v>
      </c>
      <c r="L9" s="30" t="s">
        <v>600</v>
      </c>
    </row>
    <row r="10" spans="1:12" ht="29.25" thickTop="1" x14ac:dyDescent="0.45">
      <c r="A10" s="39" t="s">
        <v>256</v>
      </c>
      <c r="B10" s="39">
        <v>24280596</v>
      </c>
      <c r="C10" s="38" t="s">
        <v>337</v>
      </c>
      <c r="D10" s="37" t="s">
        <v>311</v>
      </c>
      <c r="E10" s="36">
        <v>15000</v>
      </c>
      <c r="F10" s="314">
        <f>IF(E10&gt;1500,15%,0)*E10</f>
        <v>2250</v>
      </c>
      <c r="L10" s="30" t="s">
        <v>601</v>
      </c>
    </row>
    <row r="11" spans="1:12" ht="15" x14ac:dyDescent="0.25">
      <c r="A11" s="43" t="s">
        <v>257</v>
      </c>
      <c r="B11" s="43">
        <v>28657286</v>
      </c>
      <c r="C11" s="42" t="s">
        <v>336</v>
      </c>
      <c r="D11" s="41" t="s">
        <v>315</v>
      </c>
      <c r="E11" s="40">
        <v>4569</v>
      </c>
      <c r="F11" s="40">
        <f t="shared" ref="F11:F33" si="0">IF(E11&gt;1500,15%,0)*E11</f>
        <v>685.35</v>
      </c>
      <c r="L11" s="30" t="s">
        <v>602</v>
      </c>
    </row>
    <row r="12" spans="1:12" ht="15" x14ac:dyDescent="0.25">
      <c r="A12" s="39" t="s">
        <v>258</v>
      </c>
      <c r="B12" s="39">
        <v>28245681</v>
      </c>
      <c r="C12" s="38" t="s">
        <v>335</v>
      </c>
      <c r="D12" s="37" t="s">
        <v>250</v>
      </c>
      <c r="E12" s="36">
        <v>2837</v>
      </c>
      <c r="F12" s="36">
        <f t="shared" si="0"/>
        <v>425.55</v>
      </c>
      <c r="L12" s="30" t="s">
        <v>603</v>
      </c>
    </row>
    <row r="13" spans="1:12" ht="15" x14ac:dyDescent="0.25">
      <c r="A13" s="43" t="s">
        <v>259</v>
      </c>
      <c r="B13" s="43">
        <v>24280596</v>
      </c>
      <c r="C13" s="42" t="s">
        <v>334</v>
      </c>
      <c r="D13" s="41" t="s">
        <v>311</v>
      </c>
      <c r="E13" s="40">
        <v>14830</v>
      </c>
      <c r="F13" s="40">
        <f t="shared" si="0"/>
        <v>2224.5</v>
      </c>
    </row>
    <row r="14" spans="1:12" ht="15" x14ac:dyDescent="0.25">
      <c r="A14" s="39" t="s">
        <v>260</v>
      </c>
      <c r="B14" s="39">
        <v>21995443</v>
      </c>
      <c r="C14" s="38" t="s">
        <v>333</v>
      </c>
      <c r="D14" s="37" t="s">
        <v>315</v>
      </c>
      <c r="E14" s="36">
        <v>1239</v>
      </c>
      <c r="F14" s="36">
        <f t="shared" si="0"/>
        <v>0</v>
      </c>
      <c r="L14" s="312" t="b">
        <v>1</v>
      </c>
    </row>
    <row r="15" spans="1:12" ht="15" x14ac:dyDescent="0.25">
      <c r="A15" s="43" t="s">
        <v>261</v>
      </c>
      <c r="B15" s="43">
        <v>26168784</v>
      </c>
      <c r="C15" s="42" t="s">
        <v>332</v>
      </c>
      <c r="D15" s="41" t="s">
        <v>315</v>
      </c>
      <c r="E15" s="40">
        <v>1458</v>
      </c>
      <c r="F15" s="40">
        <f t="shared" si="0"/>
        <v>0</v>
      </c>
      <c r="L15" s="313" t="b">
        <v>0</v>
      </c>
    </row>
    <row r="16" spans="1:12" ht="15" x14ac:dyDescent="0.25">
      <c r="A16" s="39" t="s">
        <v>262</v>
      </c>
      <c r="B16" s="39">
        <v>24923246</v>
      </c>
      <c r="C16" s="38" t="s">
        <v>331</v>
      </c>
      <c r="D16" s="37" t="s">
        <v>250</v>
      </c>
      <c r="E16" s="36">
        <v>2199</v>
      </c>
      <c r="F16" s="36">
        <f t="shared" si="0"/>
        <v>329.84999999999997</v>
      </c>
    </row>
    <row r="17" spans="1:6" ht="15" x14ac:dyDescent="0.25">
      <c r="A17" s="43" t="s">
        <v>263</v>
      </c>
      <c r="B17" s="43">
        <v>25406160</v>
      </c>
      <c r="C17" s="42" t="s">
        <v>330</v>
      </c>
      <c r="D17" s="41" t="s">
        <v>311</v>
      </c>
      <c r="E17" s="40">
        <v>1137</v>
      </c>
      <c r="F17" s="40">
        <f t="shared" si="0"/>
        <v>0</v>
      </c>
    </row>
    <row r="18" spans="1:6" ht="15" x14ac:dyDescent="0.25">
      <c r="A18" s="39" t="s">
        <v>264</v>
      </c>
      <c r="B18" s="39">
        <v>25167618</v>
      </c>
      <c r="C18" s="38" t="s">
        <v>329</v>
      </c>
      <c r="D18" s="37" t="s">
        <v>250</v>
      </c>
      <c r="E18" s="36">
        <v>3303</v>
      </c>
      <c r="F18" s="36">
        <f t="shared" si="0"/>
        <v>495.45</v>
      </c>
    </row>
    <row r="19" spans="1:6" ht="15" x14ac:dyDescent="0.25">
      <c r="A19" s="43" t="s">
        <v>265</v>
      </c>
      <c r="B19" s="43">
        <v>23653584</v>
      </c>
      <c r="C19" s="42" t="s">
        <v>328</v>
      </c>
      <c r="D19" s="41" t="s">
        <v>313</v>
      </c>
      <c r="E19" s="40">
        <v>3067</v>
      </c>
      <c r="F19" s="40">
        <f t="shared" si="0"/>
        <v>460.05</v>
      </c>
    </row>
    <row r="20" spans="1:6" ht="15" x14ac:dyDescent="0.25">
      <c r="A20" s="39" t="s">
        <v>266</v>
      </c>
      <c r="B20" s="39">
        <v>25954763</v>
      </c>
      <c r="C20" s="38" t="s">
        <v>327</v>
      </c>
      <c r="D20" s="37" t="s">
        <v>315</v>
      </c>
      <c r="E20" s="36">
        <v>3931</v>
      </c>
      <c r="F20" s="36">
        <f t="shared" si="0"/>
        <v>589.65</v>
      </c>
    </row>
    <row r="21" spans="1:6" ht="15" x14ac:dyDescent="0.25">
      <c r="A21" s="43" t="s">
        <v>267</v>
      </c>
      <c r="B21" s="43">
        <v>27982098</v>
      </c>
      <c r="C21" s="42" t="s">
        <v>326</v>
      </c>
      <c r="D21" s="41" t="s">
        <v>315</v>
      </c>
      <c r="E21" s="40">
        <v>1711</v>
      </c>
      <c r="F21" s="40">
        <f t="shared" si="0"/>
        <v>256.64999999999998</v>
      </c>
    </row>
    <row r="22" spans="1:6" ht="15" x14ac:dyDescent="0.25">
      <c r="A22" s="39" t="s">
        <v>268</v>
      </c>
      <c r="B22" s="39">
        <v>27898734</v>
      </c>
      <c r="C22" s="38" t="s">
        <v>325</v>
      </c>
      <c r="D22" s="37" t="s">
        <v>315</v>
      </c>
      <c r="E22" s="36">
        <v>1050</v>
      </c>
      <c r="F22" s="36">
        <f t="shared" si="0"/>
        <v>0</v>
      </c>
    </row>
    <row r="23" spans="1:6" ht="15" x14ac:dyDescent="0.25">
      <c r="A23" s="43" t="s">
        <v>269</v>
      </c>
      <c r="B23" s="43">
        <v>24280596</v>
      </c>
      <c r="C23" s="42" t="s">
        <v>324</v>
      </c>
      <c r="D23" s="41" t="s">
        <v>311</v>
      </c>
      <c r="E23" s="40">
        <v>800</v>
      </c>
      <c r="F23" s="40">
        <f t="shared" si="0"/>
        <v>0</v>
      </c>
    </row>
    <row r="24" spans="1:6" ht="15" x14ac:dyDescent="0.25">
      <c r="A24" s="39" t="s">
        <v>270</v>
      </c>
      <c r="B24" s="39">
        <v>24935872</v>
      </c>
      <c r="C24" s="38" t="s">
        <v>323</v>
      </c>
      <c r="D24" s="37" t="s">
        <v>311</v>
      </c>
      <c r="E24" s="36">
        <v>6980</v>
      </c>
      <c r="F24" s="36">
        <f t="shared" si="0"/>
        <v>1047</v>
      </c>
    </row>
    <row r="25" spans="1:6" ht="15" x14ac:dyDescent="0.25">
      <c r="A25" s="43" t="s">
        <v>271</v>
      </c>
      <c r="B25" s="43">
        <v>23278973</v>
      </c>
      <c r="C25" s="42" t="s">
        <v>322</v>
      </c>
      <c r="D25" s="41" t="s">
        <v>313</v>
      </c>
      <c r="E25" s="40">
        <v>1050</v>
      </c>
      <c r="F25" s="40">
        <f t="shared" si="0"/>
        <v>0</v>
      </c>
    </row>
    <row r="26" spans="1:6" ht="15" x14ac:dyDescent="0.25">
      <c r="A26" s="39" t="s">
        <v>272</v>
      </c>
      <c r="B26" s="39">
        <v>24414743</v>
      </c>
      <c r="C26" s="38" t="s">
        <v>321</v>
      </c>
      <c r="D26" s="37" t="s">
        <v>311</v>
      </c>
      <c r="E26" s="36">
        <v>1131</v>
      </c>
      <c r="F26" s="36">
        <f t="shared" si="0"/>
        <v>0</v>
      </c>
    </row>
    <row r="27" spans="1:6" ht="15" x14ac:dyDescent="0.25">
      <c r="A27" s="43" t="s">
        <v>273</v>
      </c>
      <c r="B27" s="43">
        <v>21923395</v>
      </c>
      <c r="C27" s="42" t="s">
        <v>320</v>
      </c>
      <c r="D27" s="41" t="s">
        <v>315</v>
      </c>
      <c r="E27" s="40">
        <v>1137</v>
      </c>
      <c r="F27" s="40">
        <f t="shared" si="0"/>
        <v>0</v>
      </c>
    </row>
    <row r="28" spans="1:6" ht="15" x14ac:dyDescent="0.25">
      <c r="A28" s="39" t="s">
        <v>274</v>
      </c>
      <c r="B28" s="39">
        <v>21385102</v>
      </c>
      <c r="C28" s="38" t="s">
        <v>319</v>
      </c>
      <c r="D28" s="37" t="s">
        <v>250</v>
      </c>
      <c r="E28" s="36">
        <v>978</v>
      </c>
      <c r="F28" s="36">
        <f t="shared" si="0"/>
        <v>0</v>
      </c>
    </row>
    <row r="29" spans="1:6" ht="15" x14ac:dyDescent="0.25">
      <c r="A29" s="43" t="s">
        <v>275</v>
      </c>
      <c r="B29" s="43">
        <v>24280596</v>
      </c>
      <c r="C29" s="42" t="s">
        <v>318</v>
      </c>
      <c r="D29" s="41" t="s">
        <v>315</v>
      </c>
      <c r="E29" s="40">
        <v>798</v>
      </c>
      <c r="F29" s="40">
        <f t="shared" si="0"/>
        <v>0</v>
      </c>
    </row>
    <row r="30" spans="1:6" ht="15" x14ac:dyDescent="0.25">
      <c r="A30" s="39" t="s">
        <v>276</v>
      </c>
      <c r="B30" s="39">
        <v>24280596</v>
      </c>
      <c r="C30" s="38" t="s">
        <v>317</v>
      </c>
      <c r="D30" s="37" t="s">
        <v>311</v>
      </c>
      <c r="E30" s="36">
        <v>2174</v>
      </c>
      <c r="F30" s="36">
        <f t="shared" si="0"/>
        <v>326.09999999999997</v>
      </c>
    </row>
    <row r="31" spans="1:6" ht="15" x14ac:dyDescent="0.25">
      <c r="A31" s="43" t="s">
        <v>277</v>
      </c>
      <c r="B31" s="43">
        <v>21334059</v>
      </c>
      <c r="C31" s="42" t="s">
        <v>316</v>
      </c>
      <c r="D31" s="41" t="s">
        <v>315</v>
      </c>
      <c r="E31" s="40">
        <v>2844</v>
      </c>
      <c r="F31" s="40">
        <f t="shared" si="0"/>
        <v>426.59999999999997</v>
      </c>
    </row>
    <row r="32" spans="1:6" ht="15" x14ac:dyDescent="0.25">
      <c r="A32" s="39" t="s">
        <v>278</v>
      </c>
      <c r="B32" s="39">
        <v>24225851</v>
      </c>
      <c r="C32" s="38" t="s">
        <v>314</v>
      </c>
      <c r="D32" s="37" t="s">
        <v>313</v>
      </c>
      <c r="E32" s="36">
        <v>1939</v>
      </c>
      <c r="F32" s="36">
        <f t="shared" si="0"/>
        <v>290.84999999999997</v>
      </c>
    </row>
    <row r="33" spans="1:6" ht="15" x14ac:dyDescent="0.25">
      <c r="A33" s="35" t="s">
        <v>279</v>
      </c>
      <c r="B33" s="35">
        <v>26021590</v>
      </c>
      <c r="C33" s="34" t="s">
        <v>312</v>
      </c>
      <c r="D33" s="33" t="s">
        <v>311</v>
      </c>
      <c r="E33" s="32">
        <v>1137</v>
      </c>
      <c r="F33" s="32">
        <f t="shared" si="0"/>
        <v>0</v>
      </c>
    </row>
    <row r="34" spans="1:6" ht="15" x14ac:dyDescent="0.25">
      <c r="A34" s="30"/>
      <c r="B34" s="30"/>
      <c r="C34" s="30"/>
      <c r="D34" s="30"/>
      <c r="F34" s="30"/>
    </row>
    <row r="35" spans="1:6" ht="15" x14ac:dyDescent="0.25">
      <c r="A35" s="30"/>
      <c r="B35" s="30"/>
      <c r="C35" s="30"/>
      <c r="D35" s="30"/>
      <c r="F35" s="30"/>
    </row>
    <row r="36" spans="1:6" ht="15" customHeight="1" x14ac:dyDescent="0.25">
      <c r="A36" s="30"/>
      <c r="B36" s="30"/>
      <c r="C36" s="30"/>
      <c r="D36" s="30"/>
      <c r="F36" s="30"/>
    </row>
    <row r="37" spans="1:6" ht="15" customHeight="1" x14ac:dyDescent="0.25">
      <c r="A37" s="30"/>
      <c r="B37" s="30"/>
      <c r="C37" s="30"/>
      <c r="D37" s="30"/>
      <c r="F37" s="30"/>
    </row>
    <row r="38" spans="1:6" ht="15" customHeight="1" x14ac:dyDescent="0.25">
      <c r="A38" s="30"/>
      <c r="B38" s="30"/>
      <c r="C38" s="30"/>
      <c r="D38" s="30"/>
      <c r="F38" s="30"/>
    </row>
    <row r="39" spans="1:6" ht="15" customHeight="1" x14ac:dyDescent="0.25">
      <c r="A39" s="30"/>
      <c r="B39" s="30"/>
      <c r="C39" s="30"/>
      <c r="D39" s="30"/>
      <c r="F39" s="30"/>
    </row>
    <row r="40" spans="1:6" ht="15" customHeight="1" x14ac:dyDescent="0.25">
      <c r="A40" s="30"/>
      <c r="B40" s="30"/>
    </row>
    <row r="41" spans="1:6" ht="15" customHeight="1" x14ac:dyDescent="0.25"/>
    <row r="42" spans="1:6" ht="15" customHeight="1" x14ac:dyDescent="0.25"/>
    <row r="43" spans="1:6" ht="15" customHeight="1" x14ac:dyDescent="0.25"/>
    <row r="44" spans="1:6" ht="15" customHeight="1" x14ac:dyDescent="0.25"/>
    <row r="45" spans="1:6" ht="15" customHeight="1" x14ac:dyDescent="0.25"/>
    <row r="46" spans="1:6" ht="15" customHeight="1" x14ac:dyDescent="0.25"/>
    <row r="47" spans="1:6" ht="15" customHeight="1" x14ac:dyDescent="0.25"/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99B4-3834-4972-8012-BF337F01D1AB}">
  <sheetPr>
    <tabColor rgb="FF00B0F0"/>
  </sheetPr>
  <dimension ref="A1:I47"/>
  <sheetViews>
    <sheetView topLeftCell="B3" zoomScale="120" zoomScaleNormal="120" workbookViewId="0">
      <selection activeCell="G11" sqref="G11"/>
    </sheetView>
  </sheetViews>
  <sheetFormatPr baseColWidth="10" defaultColWidth="11.42578125" defaultRowHeight="0" customHeight="1" zeroHeight="1" x14ac:dyDescent="0.25"/>
  <cols>
    <col min="1" max="1" width="7.140625" style="31" bestFit="1" customWidth="1"/>
    <col min="2" max="2" width="29.5703125" style="31" customWidth="1"/>
    <col min="3" max="3" width="31.85546875" style="30" customWidth="1"/>
    <col min="4" max="4" width="11.85546875" style="31" customWidth="1"/>
    <col min="5" max="5" width="8.28515625" style="31" customWidth="1"/>
    <col min="6" max="6" width="13.5703125" style="30" bestFit="1" customWidth="1"/>
    <col min="7" max="7" width="17" style="31" customWidth="1"/>
    <col min="8" max="8" width="19.28515625" style="30" bestFit="1" customWidth="1"/>
    <col min="9" max="9" width="15.7109375" style="30" customWidth="1"/>
    <col min="10" max="14" width="11.42578125" style="30" customWidth="1"/>
    <col min="15" max="16384" width="11.42578125" style="30"/>
  </cols>
  <sheetData>
    <row r="1" spans="1:9" ht="15" x14ac:dyDescent="0.25">
      <c r="A1" s="30"/>
      <c r="B1" s="30"/>
      <c r="D1" s="30"/>
      <c r="E1" s="30"/>
      <c r="G1" s="30"/>
      <c r="I1" s="48"/>
    </row>
    <row r="2" spans="1:9" ht="15" x14ac:dyDescent="0.25">
      <c r="A2" s="30"/>
      <c r="B2" s="30"/>
      <c r="C2" s="47"/>
      <c r="D2" s="30"/>
      <c r="E2" s="30"/>
      <c r="F2" s="47"/>
      <c r="G2" s="47"/>
      <c r="H2" s="47"/>
      <c r="I2" s="48"/>
    </row>
    <row r="3" spans="1:9" ht="15" x14ac:dyDescent="0.25">
      <c r="A3" s="30"/>
      <c r="B3" s="30"/>
      <c r="D3" s="30"/>
      <c r="E3" s="30"/>
      <c r="G3" s="30"/>
      <c r="I3" s="48"/>
    </row>
    <row r="4" spans="1:9" ht="15" x14ac:dyDescent="0.25">
      <c r="A4" s="30"/>
      <c r="B4" s="30"/>
      <c r="D4" s="30"/>
      <c r="E4" s="30"/>
      <c r="G4" s="30"/>
      <c r="I4" s="48"/>
    </row>
    <row r="5" spans="1:9" ht="15" x14ac:dyDescent="0.25">
      <c r="A5" s="30"/>
      <c r="B5" s="30"/>
      <c r="D5" s="30"/>
      <c r="E5" s="30"/>
      <c r="G5" s="30"/>
      <c r="I5" s="48"/>
    </row>
    <row r="6" spans="1:9" ht="15" x14ac:dyDescent="0.25">
      <c r="A6" s="30"/>
      <c r="B6" s="30"/>
      <c r="D6" s="30"/>
      <c r="E6" s="30"/>
      <c r="G6" s="30"/>
      <c r="I6" s="48"/>
    </row>
    <row r="7" spans="1:9" ht="15" x14ac:dyDescent="0.25">
      <c r="A7" s="30"/>
      <c r="B7" s="30"/>
      <c r="D7" s="30"/>
      <c r="E7" s="30"/>
      <c r="G7" s="30"/>
      <c r="I7" s="48"/>
    </row>
    <row r="8" spans="1:9" ht="15" x14ac:dyDescent="0.25">
      <c r="A8" s="30"/>
      <c r="B8" s="30"/>
      <c r="D8" s="30"/>
      <c r="E8" s="30"/>
      <c r="G8" s="30"/>
      <c r="I8" s="48"/>
    </row>
    <row r="9" spans="1:9" ht="15.75" thickBot="1" x14ac:dyDescent="0.3">
      <c r="A9" s="68" t="s">
        <v>111</v>
      </c>
      <c r="B9" s="68" t="s">
        <v>9</v>
      </c>
      <c r="C9" s="68" t="s">
        <v>370</v>
      </c>
      <c r="D9" s="68" t="s">
        <v>369</v>
      </c>
      <c r="E9" s="68" t="s">
        <v>368</v>
      </c>
      <c r="F9" s="68" t="s">
        <v>367</v>
      </c>
      <c r="G9" s="67" t="s">
        <v>366</v>
      </c>
      <c r="I9" s="48"/>
    </row>
    <row r="10" spans="1:9" ht="24" thickTop="1" x14ac:dyDescent="0.35">
      <c r="A10" s="60">
        <v>25</v>
      </c>
      <c r="B10" s="59" t="s">
        <v>337</v>
      </c>
      <c r="C10" s="58" t="s">
        <v>365</v>
      </c>
      <c r="D10" s="57" t="s">
        <v>245</v>
      </c>
      <c r="E10" s="56">
        <v>907</v>
      </c>
      <c r="F10" s="55">
        <f t="shared" ref="F10:F33" si="0">E10*13.5</f>
        <v>12244.5</v>
      </c>
      <c r="G10" s="315">
        <f>IF(D10="Huancayo",0.4,0.01)*E10</f>
        <v>9.07</v>
      </c>
      <c r="I10" s="48"/>
    </row>
    <row r="11" spans="1:9" ht="15" x14ac:dyDescent="0.25">
      <c r="A11" s="66">
        <v>26</v>
      </c>
      <c r="B11" s="65" t="s">
        <v>336</v>
      </c>
      <c r="C11" s="64" t="s">
        <v>345</v>
      </c>
      <c r="D11" s="63" t="s">
        <v>344</v>
      </c>
      <c r="E11" s="62">
        <v>416</v>
      </c>
      <c r="F11" s="61">
        <f t="shared" si="0"/>
        <v>5616</v>
      </c>
      <c r="G11" s="61">
        <f t="shared" ref="G11:G33" si="1">IF(D11="Huancayo",0.4,0.01)*E11</f>
        <v>166.4</v>
      </c>
      <c r="I11" s="48"/>
    </row>
    <row r="12" spans="1:9" ht="15" x14ac:dyDescent="0.25">
      <c r="A12" s="60">
        <v>27</v>
      </c>
      <c r="B12" s="59" t="s">
        <v>335</v>
      </c>
      <c r="C12" s="58" t="s">
        <v>364</v>
      </c>
      <c r="D12" s="57" t="s">
        <v>245</v>
      </c>
      <c r="E12" s="56">
        <v>860</v>
      </c>
      <c r="F12" s="55">
        <f t="shared" si="0"/>
        <v>11610</v>
      </c>
      <c r="G12" s="55">
        <f t="shared" si="1"/>
        <v>8.6</v>
      </c>
      <c r="I12" s="48"/>
    </row>
    <row r="13" spans="1:9" ht="15" x14ac:dyDescent="0.25">
      <c r="A13" s="66">
        <v>28</v>
      </c>
      <c r="B13" s="65" t="s">
        <v>334</v>
      </c>
      <c r="C13" s="64" t="s">
        <v>363</v>
      </c>
      <c r="D13" s="63" t="s">
        <v>344</v>
      </c>
      <c r="E13" s="62">
        <v>126</v>
      </c>
      <c r="F13" s="61">
        <f t="shared" si="0"/>
        <v>1701</v>
      </c>
      <c r="G13" s="61">
        <f t="shared" si="1"/>
        <v>50.400000000000006</v>
      </c>
      <c r="I13" s="48"/>
    </row>
    <row r="14" spans="1:9" ht="15" x14ac:dyDescent="0.25">
      <c r="A14" s="60">
        <v>29</v>
      </c>
      <c r="B14" s="59" t="s">
        <v>333</v>
      </c>
      <c r="C14" s="58" t="s">
        <v>362</v>
      </c>
      <c r="D14" s="57" t="s">
        <v>245</v>
      </c>
      <c r="E14" s="56">
        <v>841</v>
      </c>
      <c r="F14" s="55">
        <f t="shared" si="0"/>
        <v>11353.5</v>
      </c>
      <c r="G14" s="55">
        <f t="shared" si="1"/>
        <v>8.41</v>
      </c>
      <c r="I14" s="48"/>
    </row>
    <row r="15" spans="1:9" ht="15" x14ac:dyDescent="0.25">
      <c r="A15" s="66">
        <v>30</v>
      </c>
      <c r="B15" s="65" t="s">
        <v>332</v>
      </c>
      <c r="C15" s="64" t="s">
        <v>361</v>
      </c>
      <c r="D15" s="63" t="s">
        <v>245</v>
      </c>
      <c r="E15" s="62">
        <v>677</v>
      </c>
      <c r="F15" s="61">
        <f t="shared" si="0"/>
        <v>9139.5</v>
      </c>
      <c r="G15" s="61">
        <f t="shared" si="1"/>
        <v>6.7700000000000005</v>
      </c>
      <c r="I15" s="48"/>
    </row>
    <row r="16" spans="1:9" ht="15" x14ac:dyDescent="0.25">
      <c r="A16" s="60">
        <v>31</v>
      </c>
      <c r="B16" s="59" t="s">
        <v>331</v>
      </c>
      <c r="C16" s="58" t="s">
        <v>360</v>
      </c>
      <c r="D16" s="57" t="s">
        <v>341</v>
      </c>
      <c r="E16" s="56">
        <v>742</v>
      </c>
      <c r="F16" s="55">
        <f t="shared" si="0"/>
        <v>10017</v>
      </c>
      <c r="G16" s="55">
        <f t="shared" si="1"/>
        <v>7.42</v>
      </c>
      <c r="I16" s="48"/>
    </row>
    <row r="17" spans="1:9" ht="15" x14ac:dyDescent="0.25">
      <c r="A17" s="66">
        <v>32</v>
      </c>
      <c r="B17" s="65" t="s">
        <v>330</v>
      </c>
      <c r="C17" s="64" t="s">
        <v>359</v>
      </c>
      <c r="D17" s="63" t="s">
        <v>344</v>
      </c>
      <c r="E17" s="62">
        <v>514</v>
      </c>
      <c r="F17" s="61">
        <f t="shared" si="0"/>
        <v>6939</v>
      </c>
      <c r="G17" s="61">
        <f t="shared" si="1"/>
        <v>205.60000000000002</v>
      </c>
      <c r="I17" s="48"/>
    </row>
    <row r="18" spans="1:9" ht="15" x14ac:dyDescent="0.25">
      <c r="A18" s="60">
        <v>33</v>
      </c>
      <c r="B18" s="59" t="s">
        <v>329</v>
      </c>
      <c r="C18" s="58" t="s">
        <v>358</v>
      </c>
      <c r="D18" s="57" t="s">
        <v>245</v>
      </c>
      <c r="E18" s="56">
        <v>802</v>
      </c>
      <c r="F18" s="55">
        <f t="shared" si="0"/>
        <v>10827</v>
      </c>
      <c r="G18" s="55">
        <f t="shared" si="1"/>
        <v>8.02</v>
      </c>
      <c r="I18" s="48"/>
    </row>
    <row r="19" spans="1:9" ht="15" x14ac:dyDescent="0.25">
      <c r="A19" s="66">
        <v>34</v>
      </c>
      <c r="B19" s="65" t="s">
        <v>328</v>
      </c>
      <c r="C19" s="64" t="s">
        <v>357</v>
      </c>
      <c r="D19" s="63" t="s">
        <v>245</v>
      </c>
      <c r="E19" s="62">
        <v>957</v>
      </c>
      <c r="F19" s="61">
        <f t="shared" si="0"/>
        <v>12919.5</v>
      </c>
      <c r="G19" s="61">
        <f t="shared" si="1"/>
        <v>9.57</v>
      </c>
      <c r="I19" s="48"/>
    </row>
    <row r="20" spans="1:9" ht="15" x14ac:dyDescent="0.25">
      <c r="A20" s="60">
        <v>35</v>
      </c>
      <c r="B20" s="59" t="s">
        <v>327</v>
      </c>
      <c r="C20" s="58" t="s">
        <v>356</v>
      </c>
      <c r="D20" s="57" t="s">
        <v>341</v>
      </c>
      <c r="E20" s="56">
        <v>948</v>
      </c>
      <c r="F20" s="55">
        <f t="shared" si="0"/>
        <v>12798</v>
      </c>
      <c r="G20" s="55">
        <f t="shared" si="1"/>
        <v>9.48</v>
      </c>
      <c r="I20" s="48"/>
    </row>
    <row r="21" spans="1:9" ht="15" x14ac:dyDescent="0.25">
      <c r="A21" s="66">
        <v>36</v>
      </c>
      <c r="B21" s="65" t="s">
        <v>326</v>
      </c>
      <c r="C21" s="64" t="s">
        <v>355</v>
      </c>
      <c r="D21" s="63" t="s">
        <v>245</v>
      </c>
      <c r="E21" s="62">
        <v>915</v>
      </c>
      <c r="F21" s="61">
        <f t="shared" si="0"/>
        <v>12352.5</v>
      </c>
      <c r="G21" s="61">
        <f t="shared" si="1"/>
        <v>9.15</v>
      </c>
      <c r="I21" s="48"/>
    </row>
    <row r="22" spans="1:9" ht="15" x14ac:dyDescent="0.25">
      <c r="A22" s="60">
        <v>37</v>
      </c>
      <c r="B22" s="59" t="s">
        <v>325</v>
      </c>
      <c r="C22" s="58" t="s">
        <v>354</v>
      </c>
      <c r="D22" s="57" t="s">
        <v>344</v>
      </c>
      <c r="E22" s="56">
        <v>665</v>
      </c>
      <c r="F22" s="55">
        <f t="shared" si="0"/>
        <v>8977.5</v>
      </c>
      <c r="G22" s="55">
        <f t="shared" si="1"/>
        <v>266</v>
      </c>
      <c r="I22" s="48"/>
    </row>
    <row r="23" spans="1:9" ht="15" x14ac:dyDescent="0.25">
      <c r="A23" s="66">
        <v>38</v>
      </c>
      <c r="B23" s="65" t="s">
        <v>324</v>
      </c>
      <c r="C23" s="64" t="s">
        <v>353</v>
      </c>
      <c r="D23" s="63" t="s">
        <v>245</v>
      </c>
      <c r="E23" s="62">
        <v>767</v>
      </c>
      <c r="F23" s="61">
        <f t="shared" si="0"/>
        <v>10354.5</v>
      </c>
      <c r="G23" s="61">
        <f t="shared" si="1"/>
        <v>7.67</v>
      </c>
      <c r="I23" s="48"/>
    </row>
    <row r="24" spans="1:9" ht="15" x14ac:dyDescent="0.25">
      <c r="A24" s="60">
        <v>39</v>
      </c>
      <c r="B24" s="59" t="s">
        <v>323</v>
      </c>
      <c r="C24" s="58" t="s">
        <v>352</v>
      </c>
      <c r="D24" s="57" t="s">
        <v>245</v>
      </c>
      <c r="E24" s="56">
        <v>933</v>
      </c>
      <c r="F24" s="55">
        <f t="shared" si="0"/>
        <v>12595.5</v>
      </c>
      <c r="G24" s="55">
        <f t="shared" si="1"/>
        <v>9.33</v>
      </c>
      <c r="I24" s="48"/>
    </row>
    <row r="25" spans="1:9" ht="15" x14ac:dyDescent="0.25">
      <c r="A25" s="66">
        <v>40</v>
      </c>
      <c r="B25" s="65" t="s">
        <v>322</v>
      </c>
      <c r="C25" s="64" t="s">
        <v>351</v>
      </c>
      <c r="D25" s="63" t="s">
        <v>245</v>
      </c>
      <c r="E25" s="62">
        <v>604</v>
      </c>
      <c r="F25" s="61">
        <f t="shared" si="0"/>
        <v>8154</v>
      </c>
      <c r="G25" s="61">
        <f t="shared" si="1"/>
        <v>6.04</v>
      </c>
      <c r="I25" s="48"/>
    </row>
    <row r="26" spans="1:9" ht="15" x14ac:dyDescent="0.25">
      <c r="A26" s="60">
        <v>41</v>
      </c>
      <c r="B26" s="59" t="s">
        <v>321</v>
      </c>
      <c r="C26" s="58" t="s">
        <v>350</v>
      </c>
      <c r="D26" s="57" t="s">
        <v>245</v>
      </c>
      <c r="E26" s="56">
        <v>634</v>
      </c>
      <c r="F26" s="55">
        <f t="shared" si="0"/>
        <v>8559</v>
      </c>
      <c r="G26" s="55">
        <f t="shared" si="1"/>
        <v>6.34</v>
      </c>
      <c r="I26" s="48"/>
    </row>
    <row r="27" spans="1:9" ht="15" x14ac:dyDescent="0.25">
      <c r="A27" s="66">
        <v>42</v>
      </c>
      <c r="B27" s="65" t="s">
        <v>320</v>
      </c>
      <c r="C27" s="64" t="s">
        <v>349</v>
      </c>
      <c r="D27" s="63" t="s">
        <v>245</v>
      </c>
      <c r="E27" s="62">
        <v>744</v>
      </c>
      <c r="F27" s="61">
        <f t="shared" si="0"/>
        <v>10044</v>
      </c>
      <c r="G27" s="61">
        <f t="shared" si="1"/>
        <v>7.44</v>
      </c>
      <c r="I27" s="48"/>
    </row>
    <row r="28" spans="1:9" ht="15" x14ac:dyDescent="0.25">
      <c r="A28" s="60">
        <v>43</v>
      </c>
      <c r="B28" s="59" t="s">
        <v>319</v>
      </c>
      <c r="C28" s="58" t="s">
        <v>348</v>
      </c>
      <c r="D28" s="57" t="s">
        <v>245</v>
      </c>
      <c r="E28" s="56">
        <v>126</v>
      </c>
      <c r="F28" s="55">
        <f t="shared" si="0"/>
        <v>1701</v>
      </c>
      <c r="G28" s="55">
        <f t="shared" si="1"/>
        <v>1.26</v>
      </c>
      <c r="I28" s="48"/>
    </row>
    <row r="29" spans="1:9" ht="15" x14ac:dyDescent="0.25">
      <c r="A29" s="66">
        <v>44</v>
      </c>
      <c r="B29" s="65" t="s">
        <v>318</v>
      </c>
      <c r="C29" s="64" t="s">
        <v>347</v>
      </c>
      <c r="D29" s="63" t="s">
        <v>344</v>
      </c>
      <c r="E29" s="62">
        <v>303</v>
      </c>
      <c r="F29" s="61">
        <f t="shared" si="0"/>
        <v>4090.5</v>
      </c>
      <c r="G29" s="61">
        <f t="shared" si="1"/>
        <v>121.2</v>
      </c>
      <c r="I29" s="48"/>
    </row>
    <row r="30" spans="1:9" ht="15" x14ac:dyDescent="0.25">
      <c r="A30" s="60">
        <v>45</v>
      </c>
      <c r="B30" s="59" t="s">
        <v>317</v>
      </c>
      <c r="C30" s="58" t="s">
        <v>346</v>
      </c>
      <c r="D30" s="57" t="s">
        <v>245</v>
      </c>
      <c r="E30" s="56">
        <v>208</v>
      </c>
      <c r="F30" s="55">
        <f t="shared" si="0"/>
        <v>2808</v>
      </c>
      <c r="G30" s="55">
        <f t="shared" si="1"/>
        <v>2.08</v>
      </c>
      <c r="I30" s="48"/>
    </row>
    <row r="31" spans="1:9" ht="15" x14ac:dyDescent="0.25">
      <c r="A31" s="66">
        <v>46</v>
      </c>
      <c r="B31" s="65" t="s">
        <v>316</v>
      </c>
      <c r="C31" s="64" t="s">
        <v>345</v>
      </c>
      <c r="D31" s="63" t="s">
        <v>344</v>
      </c>
      <c r="E31" s="62">
        <v>760</v>
      </c>
      <c r="F31" s="61">
        <f t="shared" si="0"/>
        <v>10260</v>
      </c>
      <c r="G31" s="61">
        <f t="shared" si="1"/>
        <v>304</v>
      </c>
      <c r="I31" s="48"/>
    </row>
    <row r="32" spans="1:9" ht="15" x14ac:dyDescent="0.25">
      <c r="A32" s="60">
        <v>47</v>
      </c>
      <c r="B32" s="59" t="s">
        <v>314</v>
      </c>
      <c r="C32" s="58" t="s">
        <v>343</v>
      </c>
      <c r="D32" s="57" t="s">
        <v>341</v>
      </c>
      <c r="E32" s="56">
        <v>414</v>
      </c>
      <c r="F32" s="55">
        <f t="shared" si="0"/>
        <v>5589</v>
      </c>
      <c r="G32" s="55">
        <f t="shared" si="1"/>
        <v>4.1399999999999997</v>
      </c>
      <c r="I32" s="48"/>
    </row>
    <row r="33" spans="1:9" ht="15" x14ac:dyDescent="0.25">
      <c r="A33" s="54">
        <v>48</v>
      </c>
      <c r="B33" s="53" t="s">
        <v>312</v>
      </c>
      <c r="C33" s="52" t="s">
        <v>342</v>
      </c>
      <c r="D33" s="51" t="s">
        <v>341</v>
      </c>
      <c r="E33" s="50">
        <v>528</v>
      </c>
      <c r="F33" s="49">
        <f t="shared" si="0"/>
        <v>7128</v>
      </c>
      <c r="G33" s="49">
        <f t="shared" si="1"/>
        <v>5.28</v>
      </c>
      <c r="I33" s="48"/>
    </row>
    <row r="34" spans="1:9" ht="15" x14ac:dyDescent="0.25">
      <c r="A34" s="30"/>
      <c r="B34" s="30"/>
      <c r="D34" s="30"/>
      <c r="E34" s="30"/>
      <c r="G34" s="30"/>
    </row>
    <row r="35" spans="1:9" ht="15" x14ac:dyDescent="0.25">
      <c r="A35" s="30"/>
      <c r="B35" s="30"/>
      <c r="D35" s="30"/>
      <c r="E35" s="30"/>
      <c r="G35" s="30"/>
    </row>
    <row r="36" spans="1:9" ht="15" customHeight="1" x14ac:dyDescent="0.25">
      <c r="A36" s="30"/>
      <c r="B36" s="30"/>
      <c r="D36" s="30"/>
      <c r="E36" s="30"/>
      <c r="G36" s="30"/>
    </row>
    <row r="37" spans="1:9" ht="15" customHeight="1" x14ac:dyDescent="0.25">
      <c r="A37" s="30"/>
      <c r="B37" s="30"/>
      <c r="D37" s="30"/>
      <c r="E37" s="30"/>
      <c r="G37" s="30"/>
    </row>
    <row r="38" spans="1:9" ht="15" customHeight="1" x14ac:dyDescent="0.25">
      <c r="A38" s="30"/>
      <c r="B38" s="30"/>
      <c r="D38" s="30"/>
      <c r="E38" s="30"/>
      <c r="G38" s="30"/>
    </row>
    <row r="39" spans="1:9" ht="15" customHeight="1" x14ac:dyDescent="0.25">
      <c r="A39" s="30"/>
      <c r="B39" s="30"/>
      <c r="D39" s="30"/>
      <c r="E39" s="30"/>
      <c r="G39" s="30"/>
    </row>
    <row r="40" spans="1:9" ht="15" customHeight="1" x14ac:dyDescent="0.25">
      <c r="A40" s="30"/>
    </row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1F07-3BAE-4B95-9DF5-5BB15CEFB800}">
  <sheetPr>
    <tabColor rgb="FF00B0F0"/>
  </sheetPr>
  <dimension ref="A1:H48"/>
  <sheetViews>
    <sheetView zoomScale="130" zoomScaleNormal="130" workbookViewId="0">
      <selection activeCell="G12" sqref="G12"/>
    </sheetView>
  </sheetViews>
  <sheetFormatPr baseColWidth="10" defaultColWidth="11.42578125" defaultRowHeight="0" customHeight="1" zeroHeight="1" x14ac:dyDescent="0.25"/>
  <cols>
    <col min="1" max="1" width="9.5703125" style="31" bestFit="1" customWidth="1"/>
    <col min="2" max="2" width="9" style="31" bestFit="1" customWidth="1"/>
    <col min="3" max="3" width="31.5703125" style="31" customWidth="1"/>
    <col min="4" max="4" width="12.85546875" style="31" bestFit="1" customWidth="1"/>
    <col min="5" max="5" width="19.85546875" style="30" customWidth="1"/>
    <col min="6" max="6" width="17.42578125" style="31" customWidth="1"/>
    <col min="7" max="7" width="20.42578125" style="30" customWidth="1"/>
    <col min="8" max="16384" width="11.42578125" style="30"/>
  </cols>
  <sheetData>
    <row r="1" spans="1:8" ht="15" x14ac:dyDescent="0.25">
      <c r="A1" s="30"/>
      <c r="B1" s="30"/>
      <c r="C1" s="30"/>
      <c r="D1" s="30"/>
      <c r="F1" s="30"/>
    </row>
    <row r="2" spans="1:8" ht="15" x14ac:dyDescent="0.25">
      <c r="A2" s="30"/>
      <c r="B2" s="30"/>
      <c r="C2" s="30"/>
      <c r="D2" s="30"/>
      <c r="E2" s="47"/>
      <c r="F2" s="30"/>
    </row>
    <row r="3" spans="1:8" ht="18.75" x14ac:dyDescent="0.3">
      <c r="A3" s="30"/>
      <c r="B3" s="30"/>
      <c r="C3" s="30"/>
      <c r="D3" s="30"/>
      <c r="F3" s="30"/>
      <c r="H3" s="310" t="s">
        <v>604</v>
      </c>
    </row>
    <row r="4" spans="1:8" ht="15" x14ac:dyDescent="0.25">
      <c r="A4" s="30"/>
      <c r="B4" s="30"/>
      <c r="C4" s="30"/>
      <c r="D4" s="30"/>
      <c r="F4" s="30"/>
    </row>
    <row r="5" spans="1:8" ht="15" x14ac:dyDescent="0.25">
      <c r="A5" s="30"/>
      <c r="B5" s="30"/>
      <c r="C5" s="30"/>
      <c r="D5" s="30"/>
      <c r="F5" s="30"/>
    </row>
    <row r="6" spans="1:8" ht="15" x14ac:dyDescent="0.25">
      <c r="A6" s="30"/>
      <c r="B6" s="30"/>
      <c r="C6" s="30"/>
      <c r="D6" s="30"/>
      <c r="F6" s="30"/>
    </row>
    <row r="7" spans="1:8" ht="11.25" customHeight="1" x14ac:dyDescent="0.25">
      <c r="A7" s="30"/>
      <c r="B7" s="30"/>
      <c r="C7" s="30"/>
      <c r="D7" s="30"/>
      <c r="F7" s="30"/>
    </row>
    <row r="8" spans="1:8" ht="15" x14ac:dyDescent="0.25">
      <c r="A8" s="30"/>
      <c r="B8" s="30"/>
      <c r="C8" s="30"/>
      <c r="D8" s="30"/>
      <c r="F8" s="30"/>
    </row>
    <row r="9" spans="1:8" ht="15" x14ac:dyDescent="0.25">
      <c r="A9" s="30"/>
      <c r="B9" s="30"/>
      <c r="C9" s="30"/>
      <c r="D9" s="30"/>
      <c r="F9" s="30"/>
    </row>
    <row r="10" spans="1:8" ht="30.75" thickBot="1" x14ac:dyDescent="0.3">
      <c r="A10" s="75" t="s">
        <v>377</v>
      </c>
      <c r="B10" s="75" t="s">
        <v>8</v>
      </c>
      <c r="C10" s="75" t="s">
        <v>66</v>
      </c>
      <c r="D10" s="75" t="s">
        <v>340</v>
      </c>
      <c r="E10" s="75" t="s">
        <v>376</v>
      </c>
      <c r="F10" s="74" t="s">
        <v>375</v>
      </c>
      <c r="G10" s="74" t="s">
        <v>374</v>
      </c>
    </row>
    <row r="11" spans="1:8" ht="24" thickTop="1" x14ac:dyDescent="0.25">
      <c r="A11" s="39" t="s">
        <v>256</v>
      </c>
      <c r="B11" s="39">
        <v>24280596</v>
      </c>
      <c r="C11" s="38" t="s">
        <v>337</v>
      </c>
      <c r="D11" s="72" t="s">
        <v>371</v>
      </c>
      <c r="E11" s="36">
        <v>79486.400685322995</v>
      </c>
      <c r="F11" s="316">
        <f>IF(E11&gt;50000,IF(D11="Lima Sur",2%,0),0)*E11</f>
        <v>1589.7280137064599</v>
      </c>
      <c r="G11" s="316">
        <f>IF(AND(E11&gt;50000,D11="Lima Sur"),2%,0)*E11</f>
        <v>1589.7280137064599</v>
      </c>
    </row>
    <row r="12" spans="1:8" ht="15" x14ac:dyDescent="0.25">
      <c r="A12" s="43" t="s">
        <v>257</v>
      </c>
      <c r="B12" s="43">
        <v>28657286</v>
      </c>
      <c r="C12" s="42" t="s">
        <v>336</v>
      </c>
      <c r="D12" s="73" t="s">
        <v>371</v>
      </c>
      <c r="E12" s="40">
        <v>75030.56464762571</v>
      </c>
      <c r="F12" s="40">
        <f t="shared" ref="F12:F34" si="0">IF(E12&gt;50000,IF(D12="Lima Sur",2%,0),0)*E12</f>
        <v>1500.6112929525143</v>
      </c>
      <c r="G12" s="40">
        <f t="shared" ref="G12:G34" si="1">IF(AND(E12&gt;50000,D12="Lima Sur"),2%,0)*E12</f>
        <v>1500.6112929525143</v>
      </c>
    </row>
    <row r="13" spans="1:8" ht="15" x14ac:dyDescent="0.25">
      <c r="A13" s="39" t="s">
        <v>258</v>
      </c>
      <c r="B13" s="39">
        <v>28245681</v>
      </c>
      <c r="C13" s="38" t="s">
        <v>335</v>
      </c>
      <c r="D13" s="72" t="s">
        <v>373</v>
      </c>
      <c r="E13" s="36">
        <v>53959.091686651169</v>
      </c>
      <c r="F13" s="36">
        <f t="shared" si="0"/>
        <v>0</v>
      </c>
      <c r="G13" s="36">
        <f t="shared" si="1"/>
        <v>0</v>
      </c>
    </row>
    <row r="14" spans="1:8" ht="15" x14ac:dyDescent="0.25">
      <c r="A14" s="43" t="s">
        <v>259</v>
      </c>
      <c r="B14" s="43">
        <v>24280596</v>
      </c>
      <c r="C14" s="42" t="s">
        <v>334</v>
      </c>
      <c r="D14" s="73" t="s">
        <v>371</v>
      </c>
      <c r="E14" s="40">
        <v>26041.931823077321</v>
      </c>
      <c r="F14" s="40">
        <f t="shared" si="0"/>
        <v>0</v>
      </c>
      <c r="G14" s="40">
        <f t="shared" si="1"/>
        <v>0</v>
      </c>
    </row>
    <row r="15" spans="1:8" ht="15" x14ac:dyDescent="0.25">
      <c r="A15" s="39" t="s">
        <v>260</v>
      </c>
      <c r="B15" s="39">
        <v>21995443</v>
      </c>
      <c r="C15" s="38" t="s">
        <v>333</v>
      </c>
      <c r="D15" s="72" t="s">
        <v>371</v>
      </c>
      <c r="E15" s="36">
        <v>71031.168830402938</v>
      </c>
      <c r="F15" s="36">
        <f t="shared" si="0"/>
        <v>1420.6233766080588</v>
      </c>
      <c r="G15" s="36">
        <f t="shared" si="1"/>
        <v>1420.6233766080588</v>
      </c>
    </row>
    <row r="16" spans="1:8" ht="15" x14ac:dyDescent="0.25">
      <c r="A16" s="43" t="s">
        <v>261</v>
      </c>
      <c r="B16" s="43">
        <v>26168784</v>
      </c>
      <c r="C16" s="42" t="s">
        <v>332</v>
      </c>
      <c r="D16" s="73" t="s">
        <v>341</v>
      </c>
      <c r="E16" s="40">
        <v>28319.132691948944</v>
      </c>
      <c r="F16" s="40">
        <f t="shared" si="0"/>
        <v>0</v>
      </c>
      <c r="G16" s="40">
        <f t="shared" si="1"/>
        <v>0</v>
      </c>
    </row>
    <row r="17" spans="1:7" ht="15" x14ac:dyDescent="0.25">
      <c r="A17" s="39" t="s">
        <v>262</v>
      </c>
      <c r="B17" s="39">
        <v>24923246</v>
      </c>
      <c r="C17" s="38" t="s">
        <v>331</v>
      </c>
      <c r="D17" s="72" t="s">
        <v>341</v>
      </c>
      <c r="E17" s="36">
        <v>78219.835520803346</v>
      </c>
      <c r="F17" s="36">
        <f t="shared" si="0"/>
        <v>0</v>
      </c>
      <c r="G17" s="36">
        <f t="shared" si="1"/>
        <v>0</v>
      </c>
    </row>
    <row r="18" spans="1:7" ht="15" x14ac:dyDescent="0.25">
      <c r="A18" s="43" t="s">
        <v>263</v>
      </c>
      <c r="B18" s="43">
        <v>25406160</v>
      </c>
      <c r="C18" s="42" t="s">
        <v>330</v>
      </c>
      <c r="D18" s="73" t="s">
        <v>372</v>
      </c>
      <c r="E18" s="40">
        <v>51826.989134307296</v>
      </c>
      <c r="F18" s="40">
        <f t="shared" si="0"/>
        <v>0</v>
      </c>
      <c r="G18" s="40">
        <f t="shared" si="1"/>
        <v>0</v>
      </c>
    </row>
    <row r="19" spans="1:7" ht="15" x14ac:dyDescent="0.25">
      <c r="A19" s="39" t="s">
        <v>264</v>
      </c>
      <c r="B19" s="39">
        <v>25167618</v>
      </c>
      <c r="C19" s="38" t="s">
        <v>329</v>
      </c>
      <c r="D19" s="72" t="s">
        <v>371</v>
      </c>
      <c r="E19" s="36">
        <v>63428.627195188565</v>
      </c>
      <c r="F19" s="36">
        <f t="shared" si="0"/>
        <v>1268.5725439037712</v>
      </c>
      <c r="G19" s="36">
        <f t="shared" si="1"/>
        <v>1268.5725439037712</v>
      </c>
    </row>
    <row r="20" spans="1:7" ht="15" x14ac:dyDescent="0.25">
      <c r="A20" s="43" t="s">
        <v>265</v>
      </c>
      <c r="B20" s="43">
        <v>23653584</v>
      </c>
      <c r="C20" s="42" t="s">
        <v>328</v>
      </c>
      <c r="D20" s="73" t="s">
        <v>371</v>
      </c>
      <c r="E20" s="40">
        <v>38744.273413948751</v>
      </c>
      <c r="F20" s="40">
        <f t="shared" si="0"/>
        <v>0</v>
      </c>
      <c r="G20" s="40">
        <f t="shared" si="1"/>
        <v>0</v>
      </c>
    </row>
    <row r="21" spans="1:7" ht="15" x14ac:dyDescent="0.25">
      <c r="A21" s="39" t="s">
        <v>266</v>
      </c>
      <c r="B21" s="39">
        <v>25954763</v>
      </c>
      <c r="C21" s="38" t="s">
        <v>327</v>
      </c>
      <c r="D21" s="72" t="s">
        <v>372</v>
      </c>
      <c r="E21" s="36">
        <v>34776.860162547891</v>
      </c>
      <c r="F21" s="36">
        <f t="shared" si="0"/>
        <v>0</v>
      </c>
      <c r="G21" s="36">
        <f t="shared" si="1"/>
        <v>0</v>
      </c>
    </row>
    <row r="22" spans="1:7" ht="15" x14ac:dyDescent="0.25">
      <c r="A22" s="43" t="s">
        <v>267</v>
      </c>
      <c r="B22" s="43">
        <v>27982098</v>
      </c>
      <c r="C22" s="42" t="s">
        <v>326</v>
      </c>
      <c r="D22" s="73" t="s">
        <v>372</v>
      </c>
      <c r="E22" s="40">
        <v>66359.961446600995</v>
      </c>
      <c r="F22" s="40">
        <f t="shared" si="0"/>
        <v>0</v>
      </c>
      <c r="G22" s="40">
        <f t="shared" si="1"/>
        <v>0</v>
      </c>
    </row>
    <row r="23" spans="1:7" ht="15" x14ac:dyDescent="0.25">
      <c r="A23" s="39" t="s">
        <v>268</v>
      </c>
      <c r="B23" s="39">
        <v>27898734</v>
      </c>
      <c r="C23" s="38" t="s">
        <v>325</v>
      </c>
      <c r="D23" s="72" t="s">
        <v>372</v>
      </c>
      <c r="E23" s="36">
        <v>41955.264962751753</v>
      </c>
      <c r="F23" s="36">
        <f t="shared" si="0"/>
        <v>0</v>
      </c>
      <c r="G23" s="36">
        <f t="shared" si="1"/>
        <v>0</v>
      </c>
    </row>
    <row r="24" spans="1:7" ht="15" x14ac:dyDescent="0.25">
      <c r="A24" s="43" t="s">
        <v>269</v>
      </c>
      <c r="B24" s="43">
        <v>24280596</v>
      </c>
      <c r="C24" s="42" t="s">
        <v>324</v>
      </c>
      <c r="D24" s="73" t="s">
        <v>373</v>
      </c>
      <c r="E24" s="40">
        <v>32385.727027827168</v>
      </c>
      <c r="F24" s="40">
        <f t="shared" si="0"/>
        <v>0</v>
      </c>
      <c r="G24" s="40">
        <f t="shared" si="1"/>
        <v>0</v>
      </c>
    </row>
    <row r="25" spans="1:7" ht="15" x14ac:dyDescent="0.25">
      <c r="A25" s="39" t="s">
        <v>270</v>
      </c>
      <c r="B25" s="39">
        <v>24935872</v>
      </c>
      <c r="C25" s="38" t="s">
        <v>323</v>
      </c>
      <c r="D25" s="72" t="s">
        <v>373</v>
      </c>
      <c r="E25" s="36">
        <v>31711.081378093659</v>
      </c>
      <c r="F25" s="36">
        <f t="shared" si="0"/>
        <v>0</v>
      </c>
      <c r="G25" s="36">
        <f t="shared" si="1"/>
        <v>0</v>
      </c>
    </row>
    <row r="26" spans="1:7" ht="15" x14ac:dyDescent="0.25">
      <c r="A26" s="43" t="s">
        <v>271</v>
      </c>
      <c r="B26" s="43">
        <v>23278973</v>
      </c>
      <c r="C26" s="42" t="s">
        <v>322</v>
      </c>
      <c r="D26" s="73" t="s">
        <v>341</v>
      </c>
      <c r="E26" s="40">
        <v>48197.54657962505</v>
      </c>
      <c r="F26" s="40">
        <f t="shared" si="0"/>
        <v>0</v>
      </c>
      <c r="G26" s="40">
        <f t="shared" si="1"/>
        <v>0</v>
      </c>
    </row>
    <row r="27" spans="1:7" ht="15" x14ac:dyDescent="0.25">
      <c r="A27" s="39" t="s">
        <v>272</v>
      </c>
      <c r="B27" s="39">
        <v>24414743</v>
      </c>
      <c r="C27" s="38" t="s">
        <v>321</v>
      </c>
      <c r="D27" s="72" t="s">
        <v>371</v>
      </c>
      <c r="E27" s="36">
        <v>21635.164334289009</v>
      </c>
      <c r="F27" s="36">
        <f t="shared" si="0"/>
        <v>0</v>
      </c>
      <c r="G27" s="36">
        <f t="shared" si="1"/>
        <v>0</v>
      </c>
    </row>
    <row r="28" spans="1:7" ht="15" x14ac:dyDescent="0.25">
      <c r="A28" s="43" t="s">
        <v>273</v>
      </c>
      <c r="B28" s="43">
        <v>21923395</v>
      </c>
      <c r="C28" s="42" t="s">
        <v>320</v>
      </c>
      <c r="D28" s="73" t="s">
        <v>372</v>
      </c>
      <c r="E28" s="40">
        <v>64557.247833431575</v>
      </c>
      <c r="F28" s="40">
        <f t="shared" si="0"/>
        <v>0</v>
      </c>
      <c r="G28" s="40">
        <f t="shared" si="1"/>
        <v>0</v>
      </c>
    </row>
    <row r="29" spans="1:7" ht="15" x14ac:dyDescent="0.25">
      <c r="A29" s="39" t="s">
        <v>274</v>
      </c>
      <c r="B29" s="39">
        <v>21385102</v>
      </c>
      <c r="C29" s="38" t="s">
        <v>319</v>
      </c>
      <c r="D29" s="72" t="s">
        <v>372</v>
      </c>
      <c r="E29" s="36">
        <v>61955.844717610104</v>
      </c>
      <c r="F29" s="36">
        <f t="shared" si="0"/>
        <v>0</v>
      </c>
      <c r="G29" s="36">
        <f t="shared" si="1"/>
        <v>0</v>
      </c>
    </row>
    <row r="30" spans="1:7" ht="15" x14ac:dyDescent="0.25">
      <c r="A30" s="43" t="s">
        <v>275</v>
      </c>
      <c r="B30" s="43">
        <v>24280596</v>
      </c>
      <c r="C30" s="42" t="s">
        <v>318</v>
      </c>
      <c r="D30" s="73" t="s">
        <v>371</v>
      </c>
      <c r="E30" s="40">
        <v>64864.294458331206</v>
      </c>
      <c r="F30" s="40">
        <f t="shared" si="0"/>
        <v>1297.2858891666242</v>
      </c>
      <c r="G30" s="40">
        <f t="shared" si="1"/>
        <v>1297.2858891666242</v>
      </c>
    </row>
    <row r="31" spans="1:7" ht="15" x14ac:dyDescent="0.25">
      <c r="A31" s="39" t="s">
        <v>276</v>
      </c>
      <c r="B31" s="39">
        <v>24280596</v>
      </c>
      <c r="C31" s="38" t="s">
        <v>317</v>
      </c>
      <c r="D31" s="72" t="s">
        <v>373</v>
      </c>
      <c r="E31" s="36">
        <v>78011.471481236978</v>
      </c>
      <c r="F31" s="36">
        <f t="shared" si="0"/>
        <v>0</v>
      </c>
      <c r="G31" s="36">
        <f t="shared" si="1"/>
        <v>0</v>
      </c>
    </row>
    <row r="32" spans="1:7" ht="15" x14ac:dyDescent="0.25">
      <c r="A32" s="43" t="s">
        <v>277</v>
      </c>
      <c r="B32" s="43">
        <v>21334059</v>
      </c>
      <c r="C32" s="42" t="s">
        <v>316</v>
      </c>
      <c r="D32" s="73" t="s">
        <v>373</v>
      </c>
      <c r="E32" s="40">
        <v>23959.293602340727</v>
      </c>
      <c r="F32" s="40">
        <f t="shared" si="0"/>
        <v>0</v>
      </c>
      <c r="G32" s="40">
        <f t="shared" si="1"/>
        <v>0</v>
      </c>
    </row>
    <row r="33" spans="1:7" ht="15" x14ac:dyDescent="0.25">
      <c r="A33" s="39" t="s">
        <v>278</v>
      </c>
      <c r="B33" s="39">
        <v>24225851</v>
      </c>
      <c r="C33" s="38" t="s">
        <v>314</v>
      </c>
      <c r="D33" s="72" t="s">
        <v>372</v>
      </c>
      <c r="E33" s="36">
        <v>34149.478455028649</v>
      </c>
      <c r="F33" s="36">
        <f t="shared" si="0"/>
        <v>0</v>
      </c>
      <c r="G33" s="36">
        <f t="shared" si="1"/>
        <v>0</v>
      </c>
    </row>
    <row r="34" spans="1:7" ht="15" x14ac:dyDescent="0.25">
      <c r="A34" s="71" t="s">
        <v>279</v>
      </c>
      <c r="B34" s="71">
        <v>26021590</v>
      </c>
      <c r="C34" s="70" t="s">
        <v>312</v>
      </c>
      <c r="D34" s="69" t="s">
        <v>371</v>
      </c>
      <c r="E34" s="40">
        <v>29588.10682911312</v>
      </c>
      <c r="F34" s="40">
        <f t="shared" si="0"/>
        <v>0</v>
      </c>
      <c r="G34" s="40">
        <f t="shared" si="1"/>
        <v>0</v>
      </c>
    </row>
    <row r="35" spans="1:7" ht="15" x14ac:dyDescent="0.25">
      <c r="A35" s="30"/>
      <c r="B35" s="30"/>
      <c r="C35" s="30"/>
      <c r="D35" s="30"/>
      <c r="F35" s="30"/>
    </row>
    <row r="36" spans="1:7" ht="15" x14ac:dyDescent="0.25">
      <c r="A36" s="30"/>
      <c r="B36" s="30"/>
      <c r="C36" s="30"/>
      <c r="D36" s="30"/>
      <c r="F36" s="30"/>
    </row>
    <row r="37" spans="1:7" ht="15" hidden="1" customHeight="1" x14ac:dyDescent="0.25">
      <c r="A37" s="30"/>
      <c r="B37" s="30"/>
      <c r="C37" s="30"/>
      <c r="D37" s="30"/>
      <c r="F37" s="30"/>
    </row>
    <row r="38" spans="1:7" ht="15" hidden="1" customHeight="1" x14ac:dyDescent="0.25">
      <c r="A38" s="30"/>
      <c r="B38" s="30"/>
      <c r="C38" s="30"/>
      <c r="D38" s="30"/>
      <c r="F38" s="30"/>
    </row>
    <row r="39" spans="1:7" ht="15" hidden="1" customHeight="1" x14ac:dyDescent="0.25">
      <c r="A39" s="30"/>
      <c r="B39" s="30"/>
      <c r="C39" s="30"/>
      <c r="D39" s="30"/>
      <c r="F39" s="30"/>
    </row>
    <row r="40" spans="1:7" ht="15" hidden="1" customHeight="1" x14ac:dyDescent="0.25">
      <c r="A40" s="30"/>
      <c r="B40" s="30"/>
      <c r="C40" s="30"/>
      <c r="D40" s="30"/>
      <c r="F40" s="30"/>
    </row>
    <row r="41" spans="1:7" ht="15" hidden="1" customHeight="1" x14ac:dyDescent="0.25">
      <c r="A41" s="30"/>
      <c r="B41" s="30"/>
    </row>
    <row r="42" spans="1:7" ht="15" hidden="1" customHeight="1" x14ac:dyDescent="0.25"/>
    <row r="43" spans="1:7" ht="15" hidden="1" customHeight="1" x14ac:dyDescent="0.25"/>
    <row r="44" spans="1:7" ht="15" hidden="1" customHeight="1" x14ac:dyDescent="0.25"/>
    <row r="45" spans="1:7" ht="15" hidden="1" customHeight="1" x14ac:dyDescent="0.25"/>
    <row r="46" spans="1:7" ht="15" hidden="1" customHeight="1" x14ac:dyDescent="0.25"/>
    <row r="47" spans="1:7" ht="15" hidden="1" customHeight="1" x14ac:dyDescent="0.25"/>
    <row r="48" spans="1:7" ht="15" hidden="1" customHeight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189F-6362-4498-A7A9-8D49F93EEF0A}">
  <sheetPr>
    <tabColor rgb="FF002060"/>
  </sheetPr>
  <dimension ref="A1:I48"/>
  <sheetViews>
    <sheetView showGridLines="0" topLeftCell="A5" zoomScaleNormal="100" workbookViewId="0">
      <selection activeCell="A44" sqref="A44"/>
    </sheetView>
  </sheetViews>
  <sheetFormatPr baseColWidth="10" defaultColWidth="0" defaultRowHeight="0" customHeight="1" zeroHeight="1" x14ac:dyDescent="0.25"/>
  <cols>
    <col min="1" max="1" width="13.140625" style="31" customWidth="1"/>
    <col min="2" max="2" width="16.42578125" style="31" bestFit="1" customWidth="1"/>
    <col min="3" max="3" width="41.85546875" style="31" bestFit="1" customWidth="1"/>
    <col min="4" max="4" width="18.7109375" style="31" customWidth="1"/>
    <col min="5" max="5" width="25.140625" style="31" customWidth="1"/>
    <col min="6" max="6" width="26.85546875" style="30" customWidth="1"/>
    <col min="7" max="7" width="11.42578125" style="30" customWidth="1"/>
    <col min="8" max="8" width="21.5703125" style="30" customWidth="1"/>
    <col min="9" max="9" width="11.42578125" style="31" customWidth="1"/>
    <col min="10" max="10" width="11.42578125" style="31" hidden="1" customWidth="1"/>
    <col min="11" max="16384" width="11.42578125" style="31" hidden="1"/>
  </cols>
  <sheetData>
    <row r="1" spans="1:8" ht="15" x14ac:dyDescent="0.25">
      <c r="A1" s="30"/>
      <c r="B1" s="30"/>
      <c r="C1" s="30"/>
      <c r="D1" s="30"/>
      <c r="E1" s="30"/>
    </row>
    <row r="2" spans="1:8" ht="15" x14ac:dyDescent="0.25">
      <c r="A2" s="30"/>
      <c r="B2" s="30"/>
      <c r="C2" s="30"/>
      <c r="D2" s="30"/>
      <c r="E2" s="30"/>
      <c r="F2" s="47"/>
      <c r="G2" s="47"/>
      <c r="H2" s="47"/>
    </row>
    <row r="3" spans="1:8" ht="15" x14ac:dyDescent="0.25">
      <c r="A3" s="30"/>
      <c r="B3" s="30"/>
      <c r="C3" s="30"/>
      <c r="D3" s="30"/>
      <c r="E3" s="30"/>
    </row>
    <row r="4" spans="1:8" ht="15" x14ac:dyDescent="0.25">
      <c r="A4" s="30"/>
      <c r="B4" s="30"/>
      <c r="C4" s="30"/>
      <c r="D4" s="30"/>
      <c r="E4" s="30"/>
    </row>
    <row r="5" spans="1:8" ht="15" x14ac:dyDescent="0.25">
      <c r="A5" s="30"/>
      <c r="B5" s="30"/>
      <c r="C5" s="30"/>
      <c r="D5" s="30"/>
      <c r="E5" s="30"/>
    </row>
    <row r="6" spans="1:8" ht="15" x14ac:dyDescent="0.25">
      <c r="A6" s="30"/>
      <c r="B6" s="30"/>
      <c r="C6" s="30"/>
      <c r="D6" s="30"/>
      <c r="E6" s="30"/>
    </row>
    <row r="7" spans="1:8" ht="11.25" customHeight="1" x14ac:dyDescent="0.25">
      <c r="A7" s="30"/>
      <c r="B7" s="30"/>
      <c r="C7" s="30"/>
      <c r="D7" s="30"/>
      <c r="E7" s="30"/>
    </row>
    <row r="8" spans="1:8" ht="15" x14ac:dyDescent="0.25">
      <c r="A8" s="30"/>
      <c r="B8" s="30"/>
      <c r="C8" s="30"/>
      <c r="D8" s="30"/>
      <c r="E8" s="30"/>
    </row>
    <row r="9" spans="1:8" ht="15" x14ac:dyDescent="0.25">
      <c r="A9" s="30"/>
      <c r="B9" s="30"/>
      <c r="C9" s="30"/>
      <c r="D9" s="30"/>
      <c r="E9" s="30"/>
    </row>
    <row r="10" spans="1:8" ht="15.75" thickBot="1" x14ac:dyDescent="0.3">
      <c r="A10" s="45" t="s">
        <v>108</v>
      </c>
      <c r="B10" s="45" t="s">
        <v>8</v>
      </c>
      <c r="C10" s="46" t="s">
        <v>246</v>
      </c>
      <c r="D10" s="46" t="s">
        <v>340</v>
      </c>
      <c r="E10" s="45" t="s">
        <v>381</v>
      </c>
      <c r="F10" s="45"/>
    </row>
    <row r="11" spans="1:8" ht="32.25" thickTop="1" x14ac:dyDescent="0.5">
      <c r="A11" s="39" t="s">
        <v>256</v>
      </c>
      <c r="B11" s="39">
        <v>24280596</v>
      </c>
      <c r="C11" s="38" t="s">
        <v>337</v>
      </c>
      <c r="D11" s="37" t="s">
        <v>311</v>
      </c>
      <c r="E11" s="317">
        <f t="shared" ref="E11:E34" si="0">IF(D11=$A$40,$B$40,
IF(D11=$A$41,$B$41,
IF(D11=$A$42,$B$42,
IF(D11=$A$43,$B$43)
   )
))</f>
        <v>40389</v>
      </c>
      <c r="F11" s="317">
        <f>VLOOKUP(D11,$A$39:$B$43,2,0)</f>
        <v>40389</v>
      </c>
    </row>
    <row r="12" spans="1:8" ht="15" x14ac:dyDescent="0.25">
      <c r="A12" s="43" t="s">
        <v>257</v>
      </c>
      <c r="B12" s="43">
        <v>28657286</v>
      </c>
      <c r="C12" s="42" t="s">
        <v>336</v>
      </c>
      <c r="D12" s="41" t="s">
        <v>315</v>
      </c>
      <c r="E12" s="41">
        <f t="shared" si="0"/>
        <v>40394</v>
      </c>
      <c r="F12" s="41">
        <f t="shared" ref="F11:F34" si="1">VLOOKUP(D12,$A$39:$B$43,2,0)</f>
        <v>40394</v>
      </c>
    </row>
    <row r="13" spans="1:8" ht="15" x14ac:dyDescent="0.25">
      <c r="A13" s="39" t="s">
        <v>258</v>
      </c>
      <c r="B13" s="39">
        <v>28245681</v>
      </c>
      <c r="C13" s="38" t="s">
        <v>383</v>
      </c>
      <c r="D13" s="37" t="s">
        <v>250</v>
      </c>
      <c r="E13" s="37">
        <f t="shared" si="0"/>
        <v>40406</v>
      </c>
      <c r="F13" s="37">
        <f t="shared" si="1"/>
        <v>40406</v>
      </c>
    </row>
    <row r="14" spans="1:8" ht="15" x14ac:dyDescent="0.25">
      <c r="A14" s="43" t="s">
        <v>259</v>
      </c>
      <c r="B14" s="43">
        <v>24280596</v>
      </c>
      <c r="C14" s="42" t="s">
        <v>379</v>
      </c>
      <c r="D14" s="41" t="s">
        <v>311</v>
      </c>
      <c r="E14" s="41">
        <f t="shared" si="0"/>
        <v>40389</v>
      </c>
      <c r="F14" s="41">
        <f t="shared" si="1"/>
        <v>40389</v>
      </c>
    </row>
    <row r="15" spans="1:8" ht="15" x14ac:dyDescent="0.25">
      <c r="A15" s="39" t="s">
        <v>260</v>
      </c>
      <c r="B15" s="39">
        <v>21995443</v>
      </c>
      <c r="C15" s="38" t="s">
        <v>333</v>
      </c>
      <c r="D15" s="37" t="s">
        <v>315</v>
      </c>
      <c r="E15" s="37">
        <f t="shared" si="0"/>
        <v>40394</v>
      </c>
      <c r="F15" s="37">
        <f t="shared" si="1"/>
        <v>40394</v>
      </c>
    </row>
    <row r="16" spans="1:8" ht="15" x14ac:dyDescent="0.25">
      <c r="A16" s="43" t="s">
        <v>261</v>
      </c>
      <c r="B16" s="43">
        <v>26168784</v>
      </c>
      <c r="C16" s="42" t="s">
        <v>332</v>
      </c>
      <c r="D16" s="41" t="s">
        <v>315</v>
      </c>
      <c r="E16" s="41">
        <f t="shared" si="0"/>
        <v>40394</v>
      </c>
      <c r="F16" s="41">
        <f t="shared" si="1"/>
        <v>40394</v>
      </c>
    </row>
    <row r="17" spans="1:6" ht="15" x14ac:dyDescent="0.25">
      <c r="A17" s="39" t="s">
        <v>262</v>
      </c>
      <c r="B17" s="39">
        <v>24923246</v>
      </c>
      <c r="C17" s="38" t="s">
        <v>331</v>
      </c>
      <c r="D17" s="37" t="s">
        <v>250</v>
      </c>
      <c r="E17" s="37">
        <f t="shared" si="0"/>
        <v>40406</v>
      </c>
      <c r="F17" s="37">
        <f t="shared" si="1"/>
        <v>40406</v>
      </c>
    </row>
    <row r="18" spans="1:6" ht="15" x14ac:dyDescent="0.25">
      <c r="A18" s="43" t="s">
        <v>263</v>
      </c>
      <c r="B18" s="43">
        <v>25406160</v>
      </c>
      <c r="C18" s="42" t="s">
        <v>330</v>
      </c>
      <c r="D18" s="41" t="s">
        <v>311</v>
      </c>
      <c r="E18" s="41">
        <f t="shared" si="0"/>
        <v>40389</v>
      </c>
      <c r="F18" s="41">
        <f t="shared" si="1"/>
        <v>40389</v>
      </c>
    </row>
    <row r="19" spans="1:6" ht="15" x14ac:dyDescent="0.25">
      <c r="A19" s="39" t="s">
        <v>264</v>
      </c>
      <c r="B19" s="39">
        <v>25167618</v>
      </c>
      <c r="C19" s="38" t="s">
        <v>329</v>
      </c>
      <c r="D19" s="37" t="s">
        <v>250</v>
      </c>
      <c r="E19" s="37">
        <f t="shared" si="0"/>
        <v>40406</v>
      </c>
      <c r="F19" s="37">
        <f t="shared" si="1"/>
        <v>40406</v>
      </c>
    </row>
    <row r="20" spans="1:6" ht="15" x14ac:dyDescent="0.25">
      <c r="A20" s="43" t="s">
        <v>265</v>
      </c>
      <c r="B20" s="43">
        <v>23653584</v>
      </c>
      <c r="C20" s="42" t="s">
        <v>328</v>
      </c>
      <c r="D20" s="41" t="s">
        <v>313</v>
      </c>
      <c r="E20" s="41">
        <f t="shared" si="0"/>
        <v>40403</v>
      </c>
      <c r="F20" s="41">
        <f t="shared" si="1"/>
        <v>40403</v>
      </c>
    </row>
    <row r="21" spans="1:6" ht="15" x14ac:dyDescent="0.25">
      <c r="A21" s="39" t="s">
        <v>266</v>
      </c>
      <c r="B21" s="39">
        <v>25954763</v>
      </c>
      <c r="C21" s="38" t="s">
        <v>327</v>
      </c>
      <c r="D21" s="37" t="s">
        <v>315</v>
      </c>
      <c r="E21" s="37">
        <f t="shared" si="0"/>
        <v>40394</v>
      </c>
      <c r="F21" s="37">
        <f t="shared" si="1"/>
        <v>40394</v>
      </c>
    </row>
    <row r="22" spans="1:6" ht="15" x14ac:dyDescent="0.25">
      <c r="A22" s="43" t="s">
        <v>267</v>
      </c>
      <c r="B22" s="43">
        <v>27982098</v>
      </c>
      <c r="C22" s="42" t="s">
        <v>326</v>
      </c>
      <c r="D22" s="41" t="s">
        <v>315</v>
      </c>
      <c r="E22" s="41">
        <f t="shared" si="0"/>
        <v>40394</v>
      </c>
      <c r="F22" s="41">
        <f t="shared" si="1"/>
        <v>40394</v>
      </c>
    </row>
    <row r="23" spans="1:6" ht="15" x14ac:dyDescent="0.25">
      <c r="A23" s="39" t="s">
        <v>268</v>
      </c>
      <c r="B23" s="39">
        <v>27898734</v>
      </c>
      <c r="C23" s="38" t="s">
        <v>325</v>
      </c>
      <c r="D23" s="37" t="s">
        <v>315</v>
      </c>
      <c r="E23" s="37">
        <f t="shared" si="0"/>
        <v>40394</v>
      </c>
      <c r="F23" s="37">
        <f t="shared" si="1"/>
        <v>40394</v>
      </c>
    </row>
    <row r="24" spans="1:6" ht="15" x14ac:dyDescent="0.25">
      <c r="A24" s="43" t="s">
        <v>269</v>
      </c>
      <c r="B24" s="43">
        <v>24280596</v>
      </c>
      <c r="C24" s="42" t="s">
        <v>324</v>
      </c>
      <c r="D24" s="41" t="s">
        <v>311</v>
      </c>
      <c r="E24" s="41">
        <f t="shared" si="0"/>
        <v>40389</v>
      </c>
      <c r="F24" s="41">
        <f t="shared" si="1"/>
        <v>40389</v>
      </c>
    </row>
    <row r="25" spans="1:6" ht="15" x14ac:dyDescent="0.25">
      <c r="A25" s="39" t="s">
        <v>270</v>
      </c>
      <c r="B25" s="39">
        <v>24935872</v>
      </c>
      <c r="C25" s="38" t="s">
        <v>323</v>
      </c>
      <c r="D25" s="37" t="s">
        <v>311</v>
      </c>
      <c r="E25" s="37">
        <f t="shared" si="0"/>
        <v>40389</v>
      </c>
      <c r="F25" s="37">
        <f t="shared" si="1"/>
        <v>40389</v>
      </c>
    </row>
    <row r="26" spans="1:6" ht="15" x14ac:dyDescent="0.25">
      <c r="A26" s="43" t="s">
        <v>271</v>
      </c>
      <c r="B26" s="43">
        <v>23278973</v>
      </c>
      <c r="C26" s="42" t="s">
        <v>322</v>
      </c>
      <c r="D26" s="41" t="s">
        <v>313</v>
      </c>
      <c r="E26" s="41">
        <f t="shared" si="0"/>
        <v>40403</v>
      </c>
      <c r="F26" s="41">
        <f t="shared" si="1"/>
        <v>40403</v>
      </c>
    </row>
    <row r="27" spans="1:6" ht="15" x14ac:dyDescent="0.25">
      <c r="A27" s="39" t="s">
        <v>272</v>
      </c>
      <c r="B27" s="39">
        <v>24414743</v>
      </c>
      <c r="C27" s="38" t="s">
        <v>321</v>
      </c>
      <c r="D27" s="37" t="s">
        <v>311</v>
      </c>
      <c r="E27" s="37">
        <f t="shared" si="0"/>
        <v>40389</v>
      </c>
      <c r="F27" s="37">
        <f t="shared" si="1"/>
        <v>40389</v>
      </c>
    </row>
    <row r="28" spans="1:6" ht="15" x14ac:dyDescent="0.25">
      <c r="A28" s="43" t="s">
        <v>273</v>
      </c>
      <c r="B28" s="43">
        <v>21923395</v>
      </c>
      <c r="C28" s="42" t="s">
        <v>320</v>
      </c>
      <c r="D28" s="41" t="s">
        <v>315</v>
      </c>
      <c r="E28" s="41">
        <f t="shared" si="0"/>
        <v>40394</v>
      </c>
      <c r="F28" s="41">
        <f t="shared" si="1"/>
        <v>40394</v>
      </c>
    </row>
    <row r="29" spans="1:6" ht="15" x14ac:dyDescent="0.25">
      <c r="A29" s="39" t="s">
        <v>274</v>
      </c>
      <c r="B29" s="39">
        <v>21385102</v>
      </c>
      <c r="C29" s="38" t="s">
        <v>319</v>
      </c>
      <c r="D29" s="37" t="s">
        <v>250</v>
      </c>
      <c r="E29" s="37">
        <f t="shared" si="0"/>
        <v>40406</v>
      </c>
      <c r="F29" s="37">
        <f t="shared" si="1"/>
        <v>40406</v>
      </c>
    </row>
    <row r="30" spans="1:6" ht="15" x14ac:dyDescent="0.25">
      <c r="A30" s="43" t="s">
        <v>275</v>
      </c>
      <c r="B30" s="43">
        <v>24280596</v>
      </c>
      <c r="C30" s="42" t="s">
        <v>318</v>
      </c>
      <c r="D30" s="41" t="s">
        <v>315</v>
      </c>
      <c r="E30" s="41">
        <f t="shared" si="0"/>
        <v>40394</v>
      </c>
      <c r="F30" s="41">
        <f t="shared" si="1"/>
        <v>40394</v>
      </c>
    </row>
    <row r="31" spans="1:6" ht="15" x14ac:dyDescent="0.25">
      <c r="A31" s="39" t="s">
        <v>276</v>
      </c>
      <c r="B31" s="39">
        <v>24280596</v>
      </c>
      <c r="C31" s="38" t="s">
        <v>317</v>
      </c>
      <c r="D31" s="37" t="s">
        <v>311</v>
      </c>
      <c r="E31" s="37">
        <f t="shared" si="0"/>
        <v>40389</v>
      </c>
      <c r="F31" s="37">
        <f t="shared" si="1"/>
        <v>40389</v>
      </c>
    </row>
    <row r="32" spans="1:6" ht="15" x14ac:dyDescent="0.25">
      <c r="A32" s="43" t="s">
        <v>277</v>
      </c>
      <c r="B32" s="43">
        <v>21334059</v>
      </c>
      <c r="C32" s="42" t="s">
        <v>316</v>
      </c>
      <c r="D32" s="41" t="s">
        <v>315</v>
      </c>
      <c r="E32" s="41">
        <f t="shared" si="0"/>
        <v>40394</v>
      </c>
      <c r="F32" s="41">
        <f t="shared" si="1"/>
        <v>40394</v>
      </c>
    </row>
    <row r="33" spans="1:6" ht="15" x14ac:dyDescent="0.25">
      <c r="A33" s="39" t="s">
        <v>278</v>
      </c>
      <c r="B33" s="39">
        <v>24225851</v>
      </c>
      <c r="C33" s="38" t="s">
        <v>314</v>
      </c>
      <c r="D33" s="37" t="s">
        <v>313</v>
      </c>
      <c r="E33" s="37">
        <f t="shared" si="0"/>
        <v>40403</v>
      </c>
      <c r="F33" s="37">
        <f t="shared" si="1"/>
        <v>40403</v>
      </c>
    </row>
    <row r="34" spans="1:6" ht="15" x14ac:dyDescent="0.25">
      <c r="A34" s="71" t="s">
        <v>279</v>
      </c>
      <c r="B34" s="71">
        <v>26021590</v>
      </c>
      <c r="C34" s="70" t="s">
        <v>312</v>
      </c>
      <c r="D34" s="104" t="s">
        <v>311</v>
      </c>
      <c r="E34" s="104">
        <f t="shared" si="0"/>
        <v>40389</v>
      </c>
      <c r="F34" s="104">
        <f t="shared" si="1"/>
        <v>40389</v>
      </c>
    </row>
    <row r="35" spans="1:6" s="30" customFormat="1" ht="15" x14ac:dyDescent="0.25"/>
    <row r="36" spans="1:6" s="30" customFormat="1" ht="15" x14ac:dyDescent="0.25"/>
    <row r="37" spans="1:6" s="30" customFormat="1" ht="15" x14ac:dyDescent="0.25"/>
    <row r="38" spans="1:6" ht="15" customHeight="1" x14ac:dyDescent="0.25">
      <c r="A38" s="103" t="s">
        <v>382</v>
      </c>
      <c r="C38" s="30"/>
      <c r="D38" s="30"/>
      <c r="E38" s="30"/>
    </row>
    <row r="39" spans="1:6" ht="15" customHeight="1" thickBot="1" x14ac:dyDescent="0.3">
      <c r="A39" s="102" t="s">
        <v>117</v>
      </c>
      <c r="B39" s="45" t="s">
        <v>381</v>
      </c>
      <c r="C39" s="30"/>
      <c r="D39" s="30"/>
      <c r="E39" s="30"/>
    </row>
    <row r="40" spans="1:6" ht="15" customHeight="1" thickTop="1" x14ac:dyDescent="0.25">
      <c r="A40" s="37" t="s">
        <v>311</v>
      </c>
      <c r="B40" s="101">
        <v>40389</v>
      </c>
      <c r="C40" s="30"/>
      <c r="D40" s="30"/>
      <c r="E40" s="30"/>
    </row>
    <row r="41" spans="1:6" ht="15" customHeight="1" x14ac:dyDescent="0.25">
      <c r="A41" s="41" t="s">
        <v>250</v>
      </c>
      <c r="B41" s="100">
        <v>40406</v>
      </c>
      <c r="C41" s="30"/>
      <c r="D41" s="30"/>
      <c r="E41" s="30"/>
    </row>
    <row r="42" spans="1:6" ht="15" customHeight="1" x14ac:dyDescent="0.25">
      <c r="A42" s="37" t="s">
        <v>315</v>
      </c>
      <c r="B42" s="101">
        <v>40394</v>
      </c>
      <c r="C42" s="30"/>
      <c r="D42" s="30"/>
      <c r="E42" s="30"/>
    </row>
    <row r="43" spans="1:6" ht="15" customHeight="1" x14ac:dyDescent="0.25">
      <c r="A43" s="41" t="s">
        <v>313</v>
      </c>
      <c r="B43" s="100">
        <v>40403</v>
      </c>
      <c r="C43" s="30"/>
      <c r="D43" s="30"/>
      <c r="E43" s="30"/>
    </row>
    <row r="44" spans="1:6" ht="15" customHeight="1" x14ac:dyDescent="0.25">
      <c r="A44" s="30"/>
      <c r="B44" s="30"/>
      <c r="C44" s="30"/>
      <c r="D44" s="30"/>
      <c r="E44" s="30"/>
    </row>
    <row r="45" spans="1:6" ht="15" hidden="1" customHeight="1" x14ac:dyDescent="0.25">
      <c r="A45" s="30"/>
      <c r="B45" s="30"/>
      <c r="C45" s="30"/>
      <c r="D45" s="30"/>
      <c r="E45" s="30"/>
    </row>
    <row r="46" spans="1:6" ht="15" hidden="1" customHeight="1" x14ac:dyDescent="0.25">
      <c r="A46" s="30"/>
      <c r="B46" s="30"/>
      <c r="C46" s="30"/>
      <c r="D46" s="30"/>
      <c r="E46" s="30"/>
    </row>
    <row r="47" spans="1:6" ht="15" hidden="1" customHeight="1" x14ac:dyDescent="0.25">
      <c r="A47" s="30"/>
      <c r="B47" s="30"/>
      <c r="C47" s="30"/>
      <c r="D47" s="30"/>
      <c r="E47" s="30"/>
    </row>
    <row r="48" spans="1:6" ht="15" hidden="1" customHeight="1" x14ac:dyDescent="0.25">
      <c r="A48" s="30"/>
      <c r="B48" s="3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A9C7-D547-4366-8505-E18E42862705}">
  <sheetPr>
    <tabColor rgb="FF002060"/>
  </sheetPr>
  <dimension ref="A1:K34"/>
  <sheetViews>
    <sheetView showGridLines="0" zoomScale="120" zoomScaleNormal="120" workbookViewId="0">
      <selection activeCell="E32" sqref="E32"/>
    </sheetView>
  </sheetViews>
  <sheetFormatPr baseColWidth="10" defaultColWidth="0" defaultRowHeight="12.75" zeroHeight="1" x14ac:dyDescent="0.2"/>
  <cols>
    <col min="1" max="1" width="32.140625" style="76" customWidth="1"/>
    <col min="2" max="2" width="17.42578125" style="76" customWidth="1"/>
    <col min="3" max="3" width="14.42578125" style="76" customWidth="1"/>
    <col min="4" max="4" width="13.5703125" style="76" bestFit="1" customWidth="1"/>
    <col min="5" max="5" width="14" style="76" customWidth="1"/>
    <col min="6" max="6" width="12.7109375" style="76" customWidth="1"/>
    <col min="7" max="7" width="13.140625" style="76" customWidth="1"/>
    <col min="8" max="8" width="13.5703125" style="76" customWidth="1"/>
    <col min="9" max="11" width="11.42578125" style="76" customWidth="1"/>
    <col min="12" max="16384" width="11.42578125" style="76" hidden="1"/>
  </cols>
  <sheetData>
    <row r="1" spans="1:7" x14ac:dyDescent="0.2"/>
    <row r="2" spans="1:7" x14ac:dyDescent="0.2"/>
    <row r="3" spans="1:7" x14ac:dyDescent="0.2"/>
    <row r="4" spans="1:7" x14ac:dyDescent="0.2"/>
    <row r="5" spans="1:7" x14ac:dyDescent="0.2"/>
    <row r="6" spans="1:7" x14ac:dyDescent="0.2"/>
    <row r="7" spans="1:7" x14ac:dyDescent="0.2"/>
    <row r="8" spans="1:7" x14ac:dyDescent="0.2"/>
    <row r="9" spans="1:7" x14ac:dyDescent="0.2">
      <c r="C9" s="99"/>
      <c r="D9" s="99"/>
    </row>
    <row r="10" spans="1:7" ht="13.5" thickBot="1" x14ac:dyDescent="0.25">
      <c r="A10" s="98" t="s">
        <v>66</v>
      </c>
      <c r="B10" s="89" t="s">
        <v>380</v>
      </c>
      <c r="C10" s="89" t="s">
        <v>248</v>
      </c>
      <c r="D10" s="97" t="s">
        <v>249</v>
      </c>
      <c r="E10" s="97" t="s">
        <v>250</v>
      </c>
      <c r="F10" s="89" t="s">
        <v>251</v>
      </c>
      <c r="G10" s="88" t="s">
        <v>252</v>
      </c>
    </row>
    <row r="11" spans="1:7" ht="21" thickTop="1" x14ac:dyDescent="0.3">
      <c r="A11" s="96" t="s">
        <v>337</v>
      </c>
      <c r="B11" s="95">
        <v>36103</v>
      </c>
      <c r="C11" s="324">
        <v>6</v>
      </c>
      <c r="D11" s="82">
        <v>770</v>
      </c>
      <c r="E11" s="318">
        <v>67500</v>
      </c>
      <c r="F11" s="322">
        <f>VLOOKUP(E11,$B$28:$C$33,2,1)*E11</f>
        <v>540</v>
      </c>
      <c r="G11" s="322">
        <f>HLOOKUP(C11,$F$28:$J$29,2,1)*D11</f>
        <v>30.8</v>
      </c>
    </row>
    <row r="12" spans="1:7" ht="15" x14ac:dyDescent="0.25">
      <c r="A12" s="94" t="s">
        <v>379</v>
      </c>
      <c r="B12" s="93">
        <v>36050</v>
      </c>
      <c r="C12" s="323">
        <v>6</v>
      </c>
      <c r="D12" s="80">
        <v>810</v>
      </c>
      <c r="E12" s="319">
        <v>96000</v>
      </c>
      <c r="F12" s="80">
        <f t="shared" ref="F11:F25" si="0">VLOOKUP(E12,$B$28:$C$33,2,1)*E12</f>
        <v>768</v>
      </c>
      <c r="G12" s="80">
        <f t="shared" ref="G11:G25" si="1">HLOOKUP(C12,$F$28:$J$29,2,1)*D12</f>
        <v>32.4</v>
      </c>
    </row>
    <row r="13" spans="1:7" ht="15" x14ac:dyDescent="0.25">
      <c r="A13" s="96" t="s">
        <v>335</v>
      </c>
      <c r="B13" s="95">
        <v>35869</v>
      </c>
      <c r="C13" s="324">
        <v>7</v>
      </c>
      <c r="D13" s="82">
        <v>850</v>
      </c>
      <c r="E13" s="318">
        <v>46000</v>
      </c>
      <c r="F13" s="82">
        <f t="shared" si="0"/>
        <v>230</v>
      </c>
      <c r="G13" s="82">
        <f t="shared" si="1"/>
        <v>51</v>
      </c>
    </row>
    <row r="14" spans="1:7" ht="15" x14ac:dyDescent="0.25">
      <c r="A14" s="94" t="s">
        <v>336</v>
      </c>
      <c r="B14" s="93">
        <v>35679</v>
      </c>
      <c r="C14" s="323">
        <v>7</v>
      </c>
      <c r="D14" s="80">
        <v>890</v>
      </c>
      <c r="E14" s="319">
        <v>92500</v>
      </c>
      <c r="F14" s="80">
        <f t="shared" si="0"/>
        <v>740</v>
      </c>
      <c r="G14" s="80">
        <f t="shared" si="1"/>
        <v>53.4</v>
      </c>
    </row>
    <row r="15" spans="1:7" ht="15" x14ac:dyDescent="0.25">
      <c r="A15" s="96" t="s">
        <v>333</v>
      </c>
      <c r="B15" s="95">
        <v>35626</v>
      </c>
      <c r="C15" s="324">
        <v>8</v>
      </c>
      <c r="D15" s="82">
        <v>930</v>
      </c>
      <c r="E15" s="318">
        <v>99000</v>
      </c>
      <c r="F15" s="82">
        <f t="shared" si="0"/>
        <v>792</v>
      </c>
      <c r="G15" s="82">
        <f t="shared" si="1"/>
        <v>55.8</v>
      </c>
    </row>
    <row r="16" spans="1:7" ht="15" x14ac:dyDescent="0.25">
      <c r="A16" s="94" t="s">
        <v>332</v>
      </c>
      <c r="B16" s="93">
        <v>34636</v>
      </c>
      <c r="C16" s="323">
        <v>10</v>
      </c>
      <c r="D16" s="80">
        <v>1900</v>
      </c>
      <c r="E16" s="319">
        <v>62500</v>
      </c>
      <c r="F16" s="80">
        <f t="shared" si="0"/>
        <v>500</v>
      </c>
      <c r="G16" s="80">
        <f t="shared" si="1"/>
        <v>152</v>
      </c>
    </row>
    <row r="17" spans="1:10" ht="15" x14ac:dyDescent="0.25">
      <c r="A17" s="96" t="s">
        <v>317</v>
      </c>
      <c r="B17" s="95">
        <v>34689</v>
      </c>
      <c r="C17" s="324">
        <v>10</v>
      </c>
      <c r="D17" s="82">
        <v>1750</v>
      </c>
      <c r="E17" s="318">
        <v>72500</v>
      </c>
      <c r="F17" s="82">
        <f t="shared" si="0"/>
        <v>580</v>
      </c>
      <c r="G17" s="82">
        <f t="shared" si="1"/>
        <v>140</v>
      </c>
    </row>
    <row r="18" spans="1:10" ht="15" x14ac:dyDescent="0.25">
      <c r="A18" s="94" t="s">
        <v>330</v>
      </c>
      <c r="B18" s="93">
        <v>34795</v>
      </c>
      <c r="C18" s="323">
        <v>10</v>
      </c>
      <c r="D18" s="80">
        <v>1450</v>
      </c>
      <c r="E18" s="319">
        <v>92500</v>
      </c>
      <c r="F18" s="80">
        <f t="shared" si="0"/>
        <v>740</v>
      </c>
      <c r="G18" s="80">
        <f t="shared" si="1"/>
        <v>116</v>
      </c>
    </row>
    <row r="19" spans="1:10" ht="15" x14ac:dyDescent="0.25">
      <c r="A19" s="96" t="s">
        <v>321</v>
      </c>
      <c r="B19" s="95">
        <v>34848</v>
      </c>
      <c r="C19" s="324">
        <v>10</v>
      </c>
      <c r="D19" s="82">
        <v>1300</v>
      </c>
      <c r="E19" s="318">
        <v>102500</v>
      </c>
      <c r="F19" s="82">
        <f t="shared" si="0"/>
        <v>1025</v>
      </c>
      <c r="G19" s="82">
        <f t="shared" si="1"/>
        <v>104</v>
      </c>
    </row>
    <row r="20" spans="1:10" ht="15" x14ac:dyDescent="0.25">
      <c r="A20" s="94" t="s">
        <v>328</v>
      </c>
      <c r="B20" s="93">
        <v>34901</v>
      </c>
      <c r="C20" s="323">
        <v>10</v>
      </c>
      <c r="D20" s="80">
        <v>970</v>
      </c>
      <c r="E20" s="319">
        <v>126000</v>
      </c>
      <c r="F20" s="80">
        <f t="shared" si="0"/>
        <v>1260</v>
      </c>
      <c r="G20" s="80">
        <f t="shared" si="1"/>
        <v>77.600000000000009</v>
      </c>
    </row>
    <row r="21" spans="1:10" ht="15" x14ac:dyDescent="0.25">
      <c r="A21" s="96" t="s">
        <v>327</v>
      </c>
      <c r="B21" s="95">
        <v>34742</v>
      </c>
      <c r="C21" s="324">
        <v>10</v>
      </c>
      <c r="D21" s="82">
        <v>1600</v>
      </c>
      <c r="E21" s="318">
        <v>156000</v>
      </c>
      <c r="F21" s="82">
        <f t="shared" si="0"/>
        <v>2340</v>
      </c>
      <c r="G21" s="82">
        <f t="shared" si="1"/>
        <v>128</v>
      </c>
    </row>
    <row r="22" spans="1:10" ht="15" x14ac:dyDescent="0.25">
      <c r="A22" s="94" t="s">
        <v>326</v>
      </c>
      <c r="B22" s="93">
        <v>34424</v>
      </c>
      <c r="C22" s="323">
        <v>11</v>
      </c>
      <c r="D22" s="80">
        <v>2050</v>
      </c>
      <c r="E22" s="319">
        <v>63500</v>
      </c>
      <c r="F22" s="80">
        <f t="shared" si="0"/>
        <v>508</v>
      </c>
      <c r="G22" s="80">
        <f t="shared" si="1"/>
        <v>164</v>
      </c>
    </row>
    <row r="23" spans="1:10" ht="15" x14ac:dyDescent="0.25">
      <c r="A23" s="96" t="s">
        <v>378</v>
      </c>
      <c r="B23" s="95">
        <v>34371</v>
      </c>
      <c r="C23" s="324">
        <v>11</v>
      </c>
      <c r="D23" s="82">
        <v>2200</v>
      </c>
      <c r="E23" s="318">
        <v>73000</v>
      </c>
      <c r="F23" s="82">
        <f t="shared" si="0"/>
        <v>584</v>
      </c>
      <c r="G23" s="82">
        <f t="shared" si="1"/>
        <v>176</v>
      </c>
    </row>
    <row r="24" spans="1:10" ht="15" x14ac:dyDescent="0.25">
      <c r="A24" s="94" t="s">
        <v>312</v>
      </c>
      <c r="B24" s="93">
        <v>34318</v>
      </c>
      <c r="C24" s="323">
        <v>11</v>
      </c>
      <c r="D24" s="80">
        <v>2350</v>
      </c>
      <c r="E24" s="319">
        <v>82500</v>
      </c>
      <c r="F24" s="80">
        <f t="shared" si="0"/>
        <v>660</v>
      </c>
      <c r="G24" s="80">
        <f t="shared" si="1"/>
        <v>188</v>
      </c>
    </row>
    <row r="25" spans="1:10" ht="15" x14ac:dyDescent="0.25">
      <c r="A25" s="92" t="s">
        <v>323</v>
      </c>
      <c r="B25" s="91">
        <v>34265</v>
      </c>
      <c r="C25" s="326">
        <v>11</v>
      </c>
      <c r="D25" s="78">
        <v>2500</v>
      </c>
      <c r="E25" s="320">
        <v>92000</v>
      </c>
      <c r="F25" s="78">
        <f t="shared" si="0"/>
        <v>736</v>
      </c>
      <c r="G25" s="78">
        <f t="shared" si="1"/>
        <v>200</v>
      </c>
    </row>
    <row r="26" spans="1:10" x14ac:dyDescent="0.2"/>
    <row r="27" spans="1:10" ht="15" x14ac:dyDescent="0.25">
      <c r="B27" s="90" t="s">
        <v>253</v>
      </c>
      <c r="E27" s="90" t="s">
        <v>255</v>
      </c>
    </row>
    <row r="28" spans="1:10" ht="13.5" thickBot="1" x14ac:dyDescent="0.25">
      <c r="B28" s="89" t="s">
        <v>254</v>
      </c>
      <c r="C28" s="88" t="s">
        <v>251</v>
      </c>
      <c r="E28" s="87" t="s">
        <v>248</v>
      </c>
      <c r="F28" s="323">
        <v>0</v>
      </c>
      <c r="G28" s="324">
        <v>1</v>
      </c>
      <c r="H28" s="323">
        <v>5</v>
      </c>
      <c r="I28" s="324">
        <v>7</v>
      </c>
      <c r="J28" s="325">
        <v>10</v>
      </c>
    </row>
    <row r="29" spans="1:10" ht="13.5" thickTop="1" x14ac:dyDescent="0.2">
      <c r="B29" s="321">
        <v>0</v>
      </c>
      <c r="C29" s="81">
        <v>0</v>
      </c>
      <c r="E29" s="86" t="s">
        <v>252</v>
      </c>
      <c r="F29" s="85">
        <v>0</v>
      </c>
      <c r="G29" s="84">
        <v>0.02</v>
      </c>
      <c r="H29" s="85">
        <v>0.04</v>
      </c>
      <c r="I29" s="84">
        <v>0.06</v>
      </c>
      <c r="J29" s="83">
        <v>0.08</v>
      </c>
    </row>
    <row r="30" spans="1:10" x14ac:dyDescent="0.2">
      <c r="B30" s="319">
        <v>40000</v>
      </c>
      <c r="C30" s="79">
        <v>5.0000000000000001E-3</v>
      </c>
    </row>
    <row r="31" spans="1:10" x14ac:dyDescent="0.2">
      <c r="B31" s="318">
        <v>60000</v>
      </c>
      <c r="C31" s="81">
        <v>8.0000000000000002E-3</v>
      </c>
    </row>
    <row r="32" spans="1:10" x14ac:dyDescent="0.2">
      <c r="A32" s="327" t="s">
        <v>605</v>
      </c>
      <c r="B32" s="319">
        <v>100000</v>
      </c>
      <c r="C32" s="79">
        <v>0.01</v>
      </c>
      <c r="E32" s="327" t="s">
        <v>606</v>
      </c>
    </row>
    <row r="33" spans="2:3" x14ac:dyDescent="0.2">
      <c r="B33" s="320">
        <v>150000</v>
      </c>
      <c r="C33" s="77">
        <v>1.4999999999999999E-2</v>
      </c>
    </row>
    <row r="34" spans="2:3" x14ac:dyDescent="0.2"/>
  </sheetData>
  <printOptions gridLinesSet="0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</vt:i4>
      </vt:variant>
    </vt:vector>
  </HeadingPairs>
  <TitlesOfParts>
    <vt:vector size="15" baseType="lpstr">
      <vt:lpstr>3.0</vt:lpstr>
      <vt:lpstr>3.1</vt:lpstr>
      <vt:lpstr>3.2</vt:lpstr>
      <vt:lpstr>3.3</vt:lpstr>
      <vt:lpstr>3.4</vt:lpstr>
      <vt:lpstr>3.5</vt:lpstr>
      <vt:lpstr>3.6</vt:lpstr>
      <vt:lpstr>3.7</vt:lpstr>
      <vt:lpstr>3.8</vt:lpstr>
      <vt:lpstr>Datos</vt:lpstr>
      <vt:lpstr>Empresas</vt:lpstr>
      <vt:lpstr>3.9</vt:lpstr>
      <vt:lpstr>CATE</vt:lpstr>
      <vt:lpstr>EMPRESA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JPCVirtual</cp:lastModifiedBy>
  <dcterms:created xsi:type="dcterms:W3CDTF">2016-02-08T15:43:02Z</dcterms:created>
  <dcterms:modified xsi:type="dcterms:W3CDTF">2023-02-12T01:52:49Z</dcterms:modified>
</cp:coreProperties>
</file>