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\Documents\python\"/>
    </mc:Choice>
  </mc:AlternateContent>
  <xr:revisionPtr revIDLastSave="0" documentId="13_ncr:1_{893DF1EF-DAE2-494D-A93D-CF61B3973FD1}" xr6:coauthVersionLast="47" xr6:coauthVersionMax="47" xr10:uidLastSave="{00000000-0000-0000-0000-000000000000}"/>
  <bookViews>
    <workbookView xWindow="28680" yWindow="-1290" windowWidth="29040" windowHeight="15720" xr2:uid="{59242E3D-8872-4877-B0BF-9316B01CE109}"/>
  </bookViews>
  <sheets>
    <sheet name="Charts" sheetId="2" r:id="rId1"/>
    <sheet name="Data Statistics" sheetId="4" r:id="rId2"/>
    <sheet name="Pivots" sheetId="1" r:id="rId3"/>
    <sheet name="Rich_Global_Condom_Usage_Datase" sheetId="3" r:id="rId4"/>
  </sheets>
  <definedNames>
    <definedName name="_xlchart.v1.0" hidden="1">Charts!$B$39</definedName>
    <definedName name="_xlchart.v1.1" hidden="1">Rich_Global_Condom_Usage_Datase!$A$2:$O$551</definedName>
    <definedName name="_xlchart.v1.10" hidden="1">Rich_Global_Condom_Usage_Datase!$Q$2:$Q$551</definedName>
    <definedName name="_xlchart.v1.11" hidden="1">Rich_Global_Condom_Usage_Datase!$A$2:$O$551</definedName>
    <definedName name="_xlchart.v1.12" hidden="1">Rich_Global_Condom_Usage_Datase!$B$1</definedName>
    <definedName name="_xlchart.v1.13" hidden="1">Rich_Global_Condom_Usage_Datase!$B$2:$B$551</definedName>
    <definedName name="_xlchart.v1.14" hidden="1">Rich_Global_Condom_Usage_Datase!$H$1</definedName>
    <definedName name="_xlchart.v1.15" hidden="1">Rich_Global_Condom_Usage_Datase!$H$2:$H$551</definedName>
    <definedName name="_xlchart.v1.16" hidden="1">Rich_Global_Condom_Usage_Datase!$H:$H</definedName>
    <definedName name="_xlchart.v1.17" hidden="1">Rich_Global_Condom_Usage_Datase!$P$1</definedName>
    <definedName name="_xlchart.v1.18" hidden="1">Rich_Global_Condom_Usage_Datase!$P$2:$P$551</definedName>
    <definedName name="_xlchart.v1.19" hidden="1">Rich_Global_Condom_Usage_Datase!$Q$1</definedName>
    <definedName name="_xlchart.v1.2" hidden="1">Rich_Global_Condom_Usage_Datase!$B$1</definedName>
    <definedName name="_xlchart.v1.20" hidden="1">Rich_Global_Condom_Usage_Datase!$Q$2:$Q$551</definedName>
    <definedName name="_xlchart.v1.21" hidden="1">Charts!$B$39</definedName>
    <definedName name="_xlchart.v1.3" hidden="1">Rich_Global_Condom_Usage_Datase!$B$2:$B$551</definedName>
    <definedName name="_xlchart.v1.4" hidden="1">Rich_Global_Condom_Usage_Datase!$H$1</definedName>
    <definedName name="_xlchart.v1.5" hidden="1">Rich_Global_Condom_Usage_Datase!$H$2:$H$551</definedName>
    <definedName name="_xlchart.v1.6" hidden="1">Rich_Global_Condom_Usage_Datase!$H:$H</definedName>
    <definedName name="_xlchart.v1.7" hidden="1">Rich_Global_Condom_Usage_Datase!$P$1</definedName>
    <definedName name="_xlchart.v1.8" hidden="1">Rich_Global_Condom_Usage_Datase!$P$2:$P$551</definedName>
    <definedName name="_xlchart.v1.9" hidden="1">Rich_Global_Condom_Usage_Datase!$Q$1</definedName>
    <definedName name="ExternalData_1" localSheetId="3" hidden="1">Rich_Global_Condom_Usage_Datase!$A$1:$Q$551</definedName>
  </definedNames>
  <calcPr calcId="191029"/>
  <pivotCaches>
    <pivotCache cacheId="268" r:id="rId5"/>
    <pivotCache cacheId="269" r:id="rId6"/>
    <pivotCache cacheId="270" r:id="rId7"/>
    <pivotCache cacheId="271" r:id="rId8"/>
  </pivotCaches>
  <extLst>
    <ext xmlns:x15="http://schemas.microsoft.com/office/spreadsheetml/2010/11/main" uri="{841E416B-1EF1-43b6-AB56-02D37102CBD5}">
      <x15:pivotCaches>
        <pivotCache cacheId="273" r:id="rId9"/>
        <pivotCache cacheId="274" r:id="rId10"/>
        <pivotCache cacheId="275" r:id="rId11"/>
        <pivotCache cacheId="293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  <x15:pivotTableReference r:id="rId15"/>
        <x15:pivotTableReference r:id="rId1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ch_Global_Condom_Usage_Dataset_531dba58-b590-47d5-8aaf-505676a36291" name="Rich_Global_Condom_Usage_Dataset" connection="Query - Rich_Global_Condom_Usage_Datase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6" i="1" l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N44" i="1"/>
  <c r="O44" i="1"/>
  <c r="P44" i="1"/>
  <c r="Q44" i="1"/>
  <c r="R44" i="1"/>
  <c r="S44" i="1"/>
  <c r="T44" i="1"/>
  <c r="U44" i="1"/>
  <c r="V44" i="1"/>
  <c r="W44" i="1"/>
  <c r="N45" i="1"/>
  <c r="O45" i="1"/>
  <c r="P45" i="1"/>
  <c r="Q45" i="1"/>
  <c r="R45" i="1"/>
  <c r="S45" i="1"/>
  <c r="T45" i="1"/>
  <c r="U45" i="1"/>
  <c r="V45" i="1"/>
  <c r="W45" i="1"/>
  <c r="N46" i="1"/>
  <c r="O46" i="1"/>
  <c r="P46" i="1"/>
  <c r="Q46" i="1"/>
  <c r="R46" i="1"/>
  <c r="S46" i="1"/>
  <c r="T46" i="1"/>
  <c r="U46" i="1"/>
  <c r="V46" i="1"/>
  <c r="W46" i="1"/>
  <c r="N47" i="1"/>
  <c r="O47" i="1"/>
  <c r="P47" i="1"/>
  <c r="Q47" i="1"/>
  <c r="R47" i="1"/>
  <c r="S47" i="1"/>
  <c r="T47" i="1"/>
  <c r="U47" i="1"/>
  <c r="V47" i="1"/>
  <c r="W47" i="1"/>
  <c r="W43" i="1"/>
  <c r="V43" i="1"/>
  <c r="U43" i="1"/>
  <c r="T43" i="1"/>
  <c r="S43" i="1"/>
  <c r="R43" i="1"/>
  <c r="Q43" i="1"/>
  <c r="P43" i="1"/>
  <c r="O43" i="1"/>
  <c r="N43" i="1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B8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B2" i="4"/>
  <c r="G2" i="4"/>
  <c r="H2" i="4"/>
  <c r="I2" i="4"/>
  <c r="J2" i="4"/>
  <c r="F2" i="4"/>
  <c r="E2" i="4"/>
  <c r="D2" i="4"/>
  <c r="C2" i="4"/>
  <c r="W12" i="1"/>
  <c r="O12" i="1"/>
  <c r="N12" i="1"/>
  <c r="O29" i="1"/>
  <c r="N29" i="1"/>
  <c r="W29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V29" i="1"/>
  <c r="U29" i="1"/>
  <c r="T29" i="1"/>
  <c r="S29" i="1"/>
  <c r="R29" i="1"/>
  <c r="Q29" i="1"/>
  <c r="P29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S16" i="1"/>
  <c r="T16" i="1"/>
  <c r="U16" i="1"/>
  <c r="V16" i="1"/>
  <c r="W16" i="1"/>
  <c r="N17" i="1"/>
  <c r="O17" i="1"/>
  <c r="P17" i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S20" i="1"/>
  <c r="T20" i="1"/>
  <c r="U20" i="1"/>
  <c r="V20" i="1"/>
  <c r="W20" i="1"/>
  <c r="N21" i="1"/>
  <c r="O21" i="1"/>
  <c r="P21" i="1"/>
  <c r="Q21" i="1"/>
  <c r="R21" i="1"/>
  <c r="S21" i="1"/>
  <c r="T21" i="1"/>
  <c r="U21" i="1"/>
  <c r="V21" i="1"/>
  <c r="W21" i="1"/>
  <c r="N22" i="1"/>
  <c r="O22" i="1"/>
  <c r="P22" i="1"/>
  <c r="Q22" i="1"/>
  <c r="R22" i="1"/>
  <c r="S22" i="1"/>
  <c r="T22" i="1"/>
  <c r="U22" i="1"/>
  <c r="V22" i="1"/>
  <c r="W22" i="1"/>
  <c r="V12" i="1"/>
  <c r="T12" i="1"/>
  <c r="U12" i="1"/>
  <c r="S12" i="1"/>
  <c r="P12" i="1"/>
  <c r="Q12" i="1"/>
  <c r="R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71B2AB-A1BE-49BD-9856-5AE2E00C5801}" keepAlive="1" name="ModelConnection_ExternalData_1" description="Data Model" type="5" refreshedVersion="8" minRefreshableVersion="5" saveData="1">
    <dbPr connection="Data Model Connection" command="Rich_Global_Condom_Usage_Datase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FC943391-F035-43E0-9275-8B645A5D5AFC}" name="Query - Rich_Global_Condom_Usage_Dataset" description="Connection to the 'Rich_Global_Condom_Usage_Dataset' query in the workbook." type="100" refreshedVersion="8" minRefreshableVersion="5">
    <extLst>
      <ext xmlns:x15="http://schemas.microsoft.com/office/spreadsheetml/2010/11/main" uri="{DE250136-89BD-433C-8126-D09CA5730AF9}">
        <x15:connection id="6c520ae6-0544-4715-abf1-aa877620721e"/>
      </ext>
    </extLst>
  </connection>
  <connection id="3" xr16:uid="{6F12CF9D-AB69-4C81-A0E9-4D2D9650651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<sst xmlns="http://schemas.openxmlformats.org/spreadsheetml/2006/main" count="3423" uniqueCount="532">
  <si>
    <t>Row Labels</t>
  </si>
  <si>
    <t>Australia</t>
  </si>
  <si>
    <t>Brazil</t>
  </si>
  <si>
    <t>China</t>
  </si>
  <si>
    <t>France</t>
  </si>
  <si>
    <t>Germany</t>
  </si>
  <si>
    <t>India</t>
  </si>
  <si>
    <t>Japan</t>
  </si>
  <si>
    <t>South Africa</t>
  </si>
  <si>
    <t>UK</t>
  </si>
  <si>
    <t>USA</t>
  </si>
  <si>
    <t>Grand Total</t>
  </si>
  <si>
    <t>Sum of Total Sales (Million Units)</t>
  </si>
  <si>
    <t>Column Labels</t>
  </si>
  <si>
    <t>Sum of Market Revenue (Million USD)</t>
  </si>
  <si>
    <t>% Growth YOY</t>
  </si>
  <si>
    <t>2015 to 2016</t>
  </si>
  <si>
    <t>2016 to 2017</t>
  </si>
  <si>
    <t>2017 to 2018</t>
  </si>
  <si>
    <t>2018 to 2019</t>
  </si>
  <si>
    <t>2019 to 2020</t>
  </si>
  <si>
    <t>2020 to 2021</t>
  </si>
  <si>
    <t>2021 to 2022</t>
  </si>
  <si>
    <t>2022 to 2023</t>
  </si>
  <si>
    <t>2023 to 2024</t>
  </si>
  <si>
    <t>2024 to 2025</t>
  </si>
  <si>
    <t>Year</t>
  </si>
  <si>
    <t>Country</t>
  </si>
  <si>
    <t>Total Sales (Million Units)</t>
  </si>
  <si>
    <t>Market Revenue (Million USD)</t>
  </si>
  <si>
    <t>Government Campaigns</t>
  </si>
  <si>
    <t>Awareness Index (0-10)</t>
  </si>
  <si>
    <t>Most Popular Condom Type</t>
  </si>
  <si>
    <t>Contraceptive Usage Rate (%)</t>
  </si>
  <si>
    <t>Teen Pregnancy Rate (per 1000 teens)</t>
  </si>
  <si>
    <t>HIV Prevention Awareness (%)</t>
  </si>
  <si>
    <t>Online Sales (%)</t>
  </si>
  <si>
    <t>Average Price per Condom (USD)</t>
  </si>
  <si>
    <t>Male vs Female Purchases (%)</t>
  </si>
  <si>
    <t>Brand Dominance</t>
  </si>
  <si>
    <t>Sex Education Programs (Yes/No)</t>
  </si>
  <si>
    <t>No</t>
  </si>
  <si>
    <t>Textured</t>
  </si>
  <si>
    <t>42% Male - 21% Female</t>
  </si>
  <si>
    <t>LifeStyles</t>
  </si>
  <si>
    <t>Yes</t>
  </si>
  <si>
    <t>47% Male - 33% Female</t>
  </si>
  <si>
    <t>Durex</t>
  </si>
  <si>
    <t>80% Male - 54% Female</t>
  </si>
  <si>
    <t>59% Male - 25% Female</t>
  </si>
  <si>
    <t>Kamasutra</t>
  </si>
  <si>
    <t>41% Male - 28% Female</t>
  </si>
  <si>
    <t>60% Male - 26% Female</t>
  </si>
  <si>
    <t>Manforce</t>
  </si>
  <si>
    <t>70% Male - 45% Female</t>
  </si>
  <si>
    <t>51% Male - 25% Female</t>
  </si>
  <si>
    <t>69% Male - 20% Female</t>
  </si>
  <si>
    <t>Okamoto</t>
  </si>
  <si>
    <t>64% Male - 42% Female</t>
  </si>
  <si>
    <t>Trojan</t>
  </si>
  <si>
    <t>57% Male - 21% Female</t>
  </si>
  <si>
    <t>64% Male - 23% Female</t>
  </si>
  <si>
    <t>59% Male - 54% Female</t>
  </si>
  <si>
    <t>Skyn</t>
  </si>
  <si>
    <t>52% Male - 58% Female</t>
  </si>
  <si>
    <t>49% Male - 56% Female</t>
  </si>
  <si>
    <t>80% Male - 36% Female</t>
  </si>
  <si>
    <t>47% Male - 60% Female</t>
  </si>
  <si>
    <t>72% Male - 38% Female</t>
  </si>
  <si>
    <t>71% Male - 56% Female</t>
  </si>
  <si>
    <t>65% Male - 32% Female</t>
  </si>
  <si>
    <t>45% Male - 50% Female</t>
  </si>
  <si>
    <t>57% Male - 52% Female</t>
  </si>
  <si>
    <t>66% Male - 32% Female</t>
  </si>
  <si>
    <t>47% Male - 21% Female</t>
  </si>
  <si>
    <t>72% Male - 25% Female</t>
  </si>
  <si>
    <t>74% Male - 59% Female</t>
  </si>
  <si>
    <t>69% Male - 36% Female</t>
  </si>
  <si>
    <t>70% Male - 39% Female</t>
  </si>
  <si>
    <t>56% Male - 43% Female</t>
  </si>
  <si>
    <t>53% Male - 45% Female</t>
  </si>
  <si>
    <t>72% Male - 39% Female</t>
  </si>
  <si>
    <t>63% Male - 29% Female</t>
  </si>
  <si>
    <t>59% Male - 53% Female</t>
  </si>
  <si>
    <t>59% Male - 41% Female</t>
  </si>
  <si>
    <t>62% Male - 23% Female</t>
  </si>
  <si>
    <t>43% Male - 35% Female</t>
  </si>
  <si>
    <t>55% Male - 23% Female</t>
  </si>
  <si>
    <t>48% Male - 37% Female</t>
  </si>
  <si>
    <t>76% Male - 42% Female</t>
  </si>
  <si>
    <t>78% Male - 56% Female</t>
  </si>
  <si>
    <t>63% Male - 55% Female</t>
  </si>
  <si>
    <t>76% Male - 36% Female</t>
  </si>
  <si>
    <t>59% Male - 21% Female</t>
  </si>
  <si>
    <t>42% Male - 49% Female</t>
  </si>
  <si>
    <t>58% Male - 30% Female</t>
  </si>
  <si>
    <t>44% Male - 27% Female</t>
  </si>
  <si>
    <t>69% Male - 60% Female</t>
  </si>
  <si>
    <t>71% Male - 25% Female</t>
  </si>
  <si>
    <t>67% Male - 56% Female</t>
  </si>
  <si>
    <t>43% Male - 54% Female</t>
  </si>
  <si>
    <t>49% Male - 59% Female</t>
  </si>
  <si>
    <t>62% Male - 52% Female</t>
  </si>
  <si>
    <t>67% Male - 44% Female</t>
  </si>
  <si>
    <t>71% Male - 30% Female</t>
  </si>
  <si>
    <t>42% Male - 34% Female</t>
  </si>
  <si>
    <t>70% Male - 55% Female</t>
  </si>
  <si>
    <t>52% Male - 22% Female</t>
  </si>
  <si>
    <t>68% Male - 43% Female</t>
  </si>
  <si>
    <t>76% Male - 51% Female</t>
  </si>
  <si>
    <t>63% Male - 38% Female</t>
  </si>
  <si>
    <t>69% Male - 23% Female</t>
  </si>
  <si>
    <t>80% Male - 32% Female</t>
  </si>
  <si>
    <t>53% Male - 25% Female</t>
  </si>
  <si>
    <t>71% Male - 51% Female</t>
  </si>
  <si>
    <t>48% Male - 28% Female</t>
  </si>
  <si>
    <t>42% Male - 44% Female</t>
  </si>
  <si>
    <t>58% Male - 50% Female</t>
  </si>
  <si>
    <t>66% Male - 51% Female</t>
  </si>
  <si>
    <t>79% Male - 42% Female</t>
  </si>
  <si>
    <t>44% Male - 59% Female</t>
  </si>
  <si>
    <t>49% Male - 29% Female</t>
  </si>
  <si>
    <t>46% Male - 27% Female</t>
  </si>
  <si>
    <t>47% Male - 40% Female</t>
  </si>
  <si>
    <t>49% Male - 20% Female</t>
  </si>
  <si>
    <t>47% Male - 54% Female</t>
  </si>
  <si>
    <t>46% Male - 58% Female</t>
  </si>
  <si>
    <t>75% Male - 52% Female</t>
  </si>
  <si>
    <t>51% Male - 53% Female</t>
  </si>
  <si>
    <t>80% Male - 41% Female</t>
  </si>
  <si>
    <t>53% Male - 58% Female</t>
  </si>
  <si>
    <t>40% Male - 29% Female</t>
  </si>
  <si>
    <t>47% Male - 23% Female</t>
  </si>
  <si>
    <t>78% Male - 47% Female</t>
  </si>
  <si>
    <t>46% Male - 37% Female</t>
  </si>
  <si>
    <t>79% Male - 45% Female</t>
  </si>
  <si>
    <t>42% Male - 42% Female</t>
  </si>
  <si>
    <t>80% Male - 34% Female</t>
  </si>
  <si>
    <t>48% Male - 46% Female</t>
  </si>
  <si>
    <t>52% Male - 51% Female</t>
  </si>
  <si>
    <t>43% Male - 37% Female</t>
  </si>
  <si>
    <t>62% Male - 20% Female</t>
  </si>
  <si>
    <t>59% Male - 34% Female</t>
  </si>
  <si>
    <t>58% Male - 52% Female</t>
  </si>
  <si>
    <t>58% Male - 60% Female</t>
  </si>
  <si>
    <t>40% Male - 36% Female</t>
  </si>
  <si>
    <t>61% Male - 54% Female</t>
  </si>
  <si>
    <t>60% Male - 35% Female</t>
  </si>
  <si>
    <t>54% Male - 55% Female</t>
  </si>
  <si>
    <t>53% Male - 28% Female</t>
  </si>
  <si>
    <t>68% Male - 55% Female</t>
  </si>
  <si>
    <t>80% Male - 56% Female</t>
  </si>
  <si>
    <t>46% Male - 40% Female</t>
  </si>
  <si>
    <t>67% Male - 49% Female</t>
  </si>
  <si>
    <t>52% Male - 24% Female</t>
  </si>
  <si>
    <t>51% Male - 41% Female</t>
  </si>
  <si>
    <t>60% Male - 38% Female</t>
  </si>
  <si>
    <t>55% Male - 45% Female</t>
  </si>
  <si>
    <t>76% Male - 29% Female</t>
  </si>
  <si>
    <t>43% Male - 43% Female</t>
  </si>
  <si>
    <t>57% Male - 51% Female</t>
  </si>
  <si>
    <t>79% Male - 44% Female</t>
  </si>
  <si>
    <t>74% Male - 36% Female</t>
  </si>
  <si>
    <t>50% Male - 35% Female</t>
  </si>
  <si>
    <t>60% Male - 28% Female</t>
  </si>
  <si>
    <t>45% Male - 51% Female</t>
  </si>
  <si>
    <t>49% Male - 30% Female</t>
  </si>
  <si>
    <t>61% Male - 39% Female</t>
  </si>
  <si>
    <t>58% Male - 33% Female</t>
  </si>
  <si>
    <t>57% Male - 48% Female</t>
  </si>
  <si>
    <t>64% Male - 50% Female</t>
  </si>
  <si>
    <t>48% Male - 30% Female</t>
  </si>
  <si>
    <t>50% Male - 41% Female</t>
  </si>
  <si>
    <t>70% Male - 59% Female</t>
  </si>
  <si>
    <t>43% Male - 36% Female</t>
  </si>
  <si>
    <t>55% Male - 29% Female</t>
  </si>
  <si>
    <t>55% Male - 58% Female</t>
  </si>
  <si>
    <t>54% Male - 44% Female</t>
  </si>
  <si>
    <t>54% Male - 52% Female</t>
  </si>
  <si>
    <t>58% Male - 41% Female</t>
  </si>
  <si>
    <t>44% Male - 40% Female</t>
  </si>
  <si>
    <t>56% Male - 50% Female</t>
  </si>
  <si>
    <t>67% Male - 51% Female</t>
  </si>
  <si>
    <t>50% Male - 25% Female</t>
  </si>
  <si>
    <t>48% Male - 20% Female</t>
  </si>
  <si>
    <t>49% Male - 22% Female</t>
  </si>
  <si>
    <t>79% Male - 31% Female</t>
  </si>
  <si>
    <t>46% Male - 41% Female</t>
  </si>
  <si>
    <t>40% Male - 60% Female</t>
  </si>
  <si>
    <t>49% Male - 32% Female</t>
  </si>
  <si>
    <t>73% Male - 51% Female</t>
  </si>
  <si>
    <t>41% Male - 46% Female</t>
  </si>
  <si>
    <t>64% Male - 55% Female</t>
  </si>
  <si>
    <t>68% Male - 45% Female</t>
  </si>
  <si>
    <t>44% Male - 24% Female</t>
  </si>
  <si>
    <t>60% Male - 36% Female</t>
  </si>
  <si>
    <t>71% Male - 20% Female</t>
  </si>
  <si>
    <t>52% Male - 60% Female</t>
  </si>
  <si>
    <t>62% Male - 41% Female</t>
  </si>
  <si>
    <t>45% Male - 59% Female</t>
  </si>
  <si>
    <t>40% Male - 47% Female</t>
  </si>
  <si>
    <t>Ultra-Thin</t>
  </si>
  <si>
    <t>50% Male - 33% Female</t>
  </si>
  <si>
    <t>48% Male - 31% Female</t>
  </si>
  <si>
    <t>72% Male - 26% Female</t>
  </si>
  <si>
    <t>67% Male - 23% Female</t>
  </si>
  <si>
    <t>56% Male - 38% Female</t>
  </si>
  <si>
    <t>75% Male - 21% Female</t>
  </si>
  <si>
    <t>52% Male - 54% Female</t>
  </si>
  <si>
    <t>49% Male - 40% Female</t>
  </si>
  <si>
    <t>53% Male - 43% Female</t>
  </si>
  <si>
    <t>44% Male - 55% Female</t>
  </si>
  <si>
    <t>43% Male - 41% Female</t>
  </si>
  <si>
    <t>45% Male - 29% Female</t>
  </si>
  <si>
    <t>54% Male - 58% Female</t>
  </si>
  <si>
    <t>44% Male - 49% Female</t>
  </si>
  <si>
    <t>76% Male - 34% Female</t>
  </si>
  <si>
    <t>59% Male - 44% Female</t>
  </si>
  <si>
    <t>68% Male - 56% Female</t>
  </si>
  <si>
    <t>46% Male - 29% Female</t>
  </si>
  <si>
    <t>79% Male - 48% Female</t>
  </si>
  <si>
    <t>47% Male - 48% Female</t>
  </si>
  <si>
    <t>46% Male - 48% Female</t>
  </si>
  <si>
    <t>50% Male - 59% Female</t>
  </si>
  <si>
    <t>60% Male - 37% Female</t>
  </si>
  <si>
    <t>73% Male - 56% Female</t>
  </si>
  <si>
    <t>66% Male - 54% Female</t>
  </si>
  <si>
    <t>48% Male - 34% Female</t>
  </si>
  <si>
    <t>74% Male - 32% Female</t>
  </si>
  <si>
    <t>70% Male - 23% Female</t>
  </si>
  <si>
    <t>50% Male - 54% Female</t>
  </si>
  <si>
    <t>80% Male - 43% Female</t>
  </si>
  <si>
    <t>41% Male - 56% Female</t>
  </si>
  <si>
    <t>54% Male - 35% Female</t>
  </si>
  <si>
    <t>67% Male - 28% Female</t>
  </si>
  <si>
    <t>76% Male - 54% Female</t>
  </si>
  <si>
    <t>62% Male - 38% Female</t>
  </si>
  <si>
    <t>67% Male - 54% Female</t>
  </si>
  <si>
    <t>75% Male - 53% Female</t>
  </si>
  <si>
    <t>73% Male - 35% Female</t>
  </si>
  <si>
    <t>72% Male - 31% Female</t>
  </si>
  <si>
    <t>68% Male - 47% Female</t>
  </si>
  <si>
    <t>46% Male - 36% Female</t>
  </si>
  <si>
    <t>79% Male - 55% Female</t>
  </si>
  <si>
    <t>46% Male - 32% Female</t>
  </si>
  <si>
    <t>68% Male - 26% Female</t>
  </si>
  <si>
    <t>70% Male - 34% Female</t>
  </si>
  <si>
    <t>79% Male - 33% Female</t>
  </si>
  <si>
    <t>64% Male - 52% Female</t>
  </si>
  <si>
    <t>71% Male - 31% Female</t>
  </si>
  <si>
    <t>42% Male - 41% Female</t>
  </si>
  <si>
    <t>48% Male - 44% Female</t>
  </si>
  <si>
    <t>56% Male - 26% Female</t>
  </si>
  <si>
    <t>40% Male - 25% Female</t>
  </si>
  <si>
    <t>78% Male - 26% Female</t>
  </si>
  <si>
    <t>78% Male - 55% Female</t>
  </si>
  <si>
    <t>41% Male - 42% Female</t>
  </si>
  <si>
    <t>56% Male - 58% Female</t>
  </si>
  <si>
    <t>77% Male - 54% Female</t>
  </si>
  <si>
    <t>46% Male - 21% Female</t>
  </si>
  <si>
    <t>77% Male - 47% Female</t>
  </si>
  <si>
    <t>61% Male - 53% Female</t>
  </si>
  <si>
    <t>66% Male - 34% Female</t>
  </si>
  <si>
    <t>44% Male - 48% Female</t>
  </si>
  <si>
    <t>50% Male - 47% Female</t>
  </si>
  <si>
    <t>76% Male - 22% Female</t>
  </si>
  <si>
    <t>58% Male - 51% Female</t>
  </si>
  <si>
    <t>61% Male - 26% Female</t>
  </si>
  <si>
    <t>40% Male - 21% Female</t>
  </si>
  <si>
    <t>57% Male - 40% Female</t>
  </si>
  <si>
    <t>55% Male - 51% Female</t>
  </si>
  <si>
    <t>63% Male - 23% Female</t>
  </si>
  <si>
    <t>47% Male - 36% Female</t>
  </si>
  <si>
    <t>71% Male - 22% Female</t>
  </si>
  <si>
    <t>52% Male - 26% Female</t>
  </si>
  <si>
    <t>70% Male - 22% Female</t>
  </si>
  <si>
    <t>56% Male - 55% Female</t>
  </si>
  <si>
    <t>69% Male - 48% Female</t>
  </si>
  <si>
    <t>45% Male - 24% Female</t>
  </si>
  <si>
    <t>57% Male - 57% Female</t>
  </si>
  <si>
    <t>51% Male - 20% Female</t>
  </si>
  <si>
    <t>65% Male - 35% Female</t>
  </si>
  <si>
    <t>58% Male - 32% Female</t>
  </si>
  <si>
    <t>41% Male - 32% Female</t>
  </si>
  <si>
    <t>46% Male - 52% Female</t>
  </si>
  <si>
    <t>68% Male - 52% Female</t>
  </si>
  <si>
    <t>46% Male - 60% Female</t>
  </si>
  <si>
    <t>76% Male - 45% Female</t>
  </si>
  <si>
    <t>62% Male - 22% Female</t>
  </si>
  <si>
    <t>68% Male - 48% Female</t>
  </si>
  <si>
    <t>67% Male - 50% Female</t>
  </si>
  <si>
    <t>77% Male - 20% Female</t>
  </si>
  <si>
    <t>48% Male - 49% Female</t>
  </si>
  <si>
    <t>74% Male - 42% Female</t>
  </si>
  <si>
    <t>43% Male - 47% Female</t>
  </si>
  <si>
    <t>73% Male - 42% Female</t>
  </si>
  <si>
    <t>69% Male - 39% Female</t>
  </si>
  <si>
    <t>75% Male - 31% Female</t>
  </si>
  <si>
    <t>74% Male - 26% Female</t>
  </si>
  <si>
    <t>64% Male - 31% Female</t>
  </si>
  <si>
    <t>80% Male - 30% Female</t>
  </si>
  <si>
    <t>55% Male - 33% Female</t>
  </si>
  <si>
    <t>66% Male - 39% Female</t>
  </si>
  <si>
    <t>49% Male - 33% Female</t>
  </si>
  <si>
    <t>68% Male - 40% Female</t>
  </si>
  <si>
    <t>58% Male - 34% Female</t>
  </si>
  <si>
    <t>75% Male - 42% Female</t>
  </si>
  <si>
    <t>53% Male - 59% Female</t>
  </si>
  <si>
    <t>51% Male - 40% Female</t>
  </si>
  <si>
    <t>70% Male - 30% Female</t>
  </si>
  <si>
    <t>63% Male - 53% Female</t>
  </si>
  <si>
    <t>78% Male - 41% Female</t>
  </si>
  <si>
    <t>79% Male - 36% Female</t>
  </si>
  <si>
    <t>65% Male - 60% Female</t>
  </si>
  <si>
    <t>76% Male - 49% Female</t>
  </si>
  <si>
    <t>65% Male - 25% Female</t>
  </si>
  <si>
    <t>65% Male - 46% Female</t>
  </si>
  <si>
    <t>52% Male - 50% Female</t>
  </si>
  <si>
    <t>74% Male - 58% Female</t>
  </si>
  <si>
    <t>56% Male - 31% Female</t>
  </si>
  <si>
    <t>43% Male - 45% Female</t>
  </si>
  <si>
    <t>76% Male - 57% Female</t>
  </si>
  <si>
    <t>46% Male - 31% Female</t>
  </si>
  <si>
    <t>Latex</t>
  </si>
  <si>
    <t>59% Male - 35% Female</t>
  </si>
  <si>
    <t>44% Male - 37% Female</t>
  </si>
  <si>
    <t>57% Male - 53% Female</t>
  </si>
  <si>
    <t>63% Male - 51% Female</t>
  </si>
  <si>
    <t>79% Male - 25% Female</t>
  </si>
  <si>
    <t>45% Male - 27% Female</t>
  </si>
  <si>
    <t>72% Male - 41% Female</t>
  </si>
  <si>
    <t>73% Male - 25% Female</t>
  </si>
  <si>
    <t>69% Male - 57% Female</t>
  </si>
  <si>
    <t>53% Male - 33% Female</t>
  </si>
  <si>
    <t>70% Male - 51% Female</t>
  </si>
  <si>
    <t>63% Male - 58% Female</t>
  </si>
  <si>
    <t>76% Male - 28% Female</t>
  </si>
  <si>
    <t>70% Male - 42% Female</t>
  </si>
  <si>
    <t>51% Male - 33% Female</t>
  </si>
  <si>
    <t>66% Male - 48% Female</t>
  </si>
  <si>
    <t>47% Male - 50% Female</t>
  </si>
  <si>
    <t>69% Male - 54% Female</t>
  </si>
  <si>
    <t>49% Male - 49% Female</t>
  </si>
  <si>
    <t>69% Male - 58% Female</t>
  </si>
  <si>
    <t>74% Male - 41% Female</t>
  </si>
  <si>
    <t>73% Male - 57% Female</t>
  </si>
  <si>
    <t>76% Male - 59% Female</t>
  </si>
  <si>
    <t>48% Male - 25% Female</t>
  </si>
  <si>
    <t>56% Male - 27% Female</t>
  </si>
  <si>
    <t>68% Male - 29% Female</t>
  </si>
  <si>
    <t>80% Male - 39% Female</t>
  </si>
  <si>
    <t>46% Male - 22% Female</t>
  </si>
  <si>
    <t>75% Male - 28% Female</t>
  </si>
  <si>
    <t>53% Male - 21% Female</t>
  </si>
  <si>
    <t>54% Male - 29% Female</t>
  </si>
  <si>
    <t>73% Male - 20% Female</t>
  </si>
  <si>
    <t>72% Male - 22% Female</t>
  </si>
  <si>
    <t>71% Male - 50% Female</t>
  </si>
  <si>
    <t>45% Male - 30% Female</t>
  </si>
  <si>
    <t>52% Male - 25% Female</t>
  </si>
  <si>
    <t>50% Male - 51% Female</t>
  </si>
  <si>
    <t>79% Male - 26% Female</t>
  </si>
  <si>
    <t>74% Male - 53% Female</t>
  </si>
  <si>
    <t>57% Male - 50% Female</t>
  </si>
  <si>
    <t>54% Male - 60% Female</t>
  </si>
  <si>
    <t>69% Male - 45% Female</t>
  </si>
  <si>
    <t>42% Male - 47% Female</t>
  </si>
  <si>
    <t>71% Male - 55% Female</t>
  </si>
  <si>
    <t>70% Male - 33% Female</t>
  </si>
  <si>
    <t>79% Male - 50% Female</t>
  </si>
  <si>
    <t>69% Male - 43% Female</t>
  </si>
  <si>
    <t>56% Male - 42% Female</t>
  </si>
  <si>
    <t>53% Male - 27% Female</t>
  </si>
  <si>
    <t>45% Male - 43% Female</t>
  </si>
  <si>
    <t>76% Male - 35% Female</t>
  </si>
  <si>
    <t>80% Male - 33% Female</t>
  </si>
  <si>
    <t>80% Male - 31% Female</t>
  </si>
  <si>
    <t>58% Male - 59% Female</t>
  </si>
  <si>
    <t>68% Male - 54% Female</t>
  </si>
  <si>
    <t>44% Male - 50% Female</t>
  </si>
  <si>
    <t>44% Male - 33% Female</t>
  </si>
  <si>
    <t>75% Male - 29% Female</t>
  </si>
  <si>
    <t>74% Male - 45% Female</t>
  </si>
  <si>
    <t>59% Male - 60% Female</t>
  </si>
  <si>
    <t>65% Male - 23% Female</t>
  </si>
  <si>
    <t>64% Male - 51% Female</t>
  </si>
  <si>
    <t>46% Male - 28% Female</t>
  </si>
  <si>
    <t>52% Male - 43% Female</t>
  </si>
  <si>
    <t>52% Male - 40% Female</t>
  </si>
  <si>
    <t>51% Male - 43% Female</t>
  </si>
  <si>
    <t>70% Male - 52% Female</t>
  </si>
  <si>
    <t>63% Male - 24% Female</t>
  </si>
  <si>
    <t>65% Male - 52% Female</t>
  </si>
  <si>
    <t>67% Male - 45% Female</t>
  </si>
  <si>
    <t>73% Male - 22% Female</t>
  </si>
  <si>
    <t>53% Male - 39% Female</t>
  </si>
  <si>
    <t>52% Male - 49% Female</t>
  </si>
  <si>
    <t>47% Male - 55% Female</t>
  </si>
  <si>
    <t>78% Male - 58% Female</t>
  </si>
  <si>
    <t>44% Male - 39% Female</t>
  </si>
  <si>
    <t>78% Male - 40% Female</t>
  </si>
  <si>
    <t>53% Male - 54% Female</t>
  </si>
  <si>
    <t>70% Male - 25% Female</t>
  </si>
  <si>
    <t>61% Male - 27% Female</t>
  </si>
  <si>
    <t>56% Male - 39% Female</t>
  </si>
  <si>
    <t>79% Male - 51% Female</t>
  </si>
  <si>
    <t>60% Male - 57% Female</t>
  </si>
  <si>
    <t>58% Male - 24% Female</t>
  </si>
  <si>
    <t>46% Male - 33% Female</t>
  </si>
  <si>
    <t>78% Male - 42% Female</t>
  </si>
  <si>
    <t>43% Male - 29% Female</t>
  </si>
  <si>
    <t>53% Male - 55% Female</t>
  </si>
  <si>
    <t>74% Male - 43% Female</t>
  </si>
  <si>
    <t>42% Male - 36% Female</t>
  </si>
  <si>
    <t>63% Male - 54% Female</t>
  </si>
  <si>
    <t>50% Male - 38% Female</t>
  </si>
  <si>
    <t>70% Male - 29% Female</t>
  </si>
  <si>
    <t>79% Male - 24% Female</t>
  </si>
  <si>
    <t>74% Male - 21% Female</t>
  </si>
  <si>
    <t>59% Male - 30% Female</t>
  </si>
  <si>
    <t>56% Male - 40% Female</t>
  </si>
  <si>
    <t>63% Male - 59% Female</t>
  </si>
  <si>
    <t>43% Male - 32% Female</t>
  </si>
  <si>
    <t>74% Male - 51% Female</t>
  </si>
  <si>
    <t>57% Male - 38% Female</t>
  </si>
  <si>
    <t>Non-Latex</t>
  </si>
  <si>
    <t>46% Male - 54% Female</t>
  </si>
  <si>
    <t>49% Male - 57% Female</t>
  </si>
  <si>
    <t>73% Male - 48% Female</t>
  </si>
  <si>
    <t>58% Male - 29% Female</t>
  </si>
  <si>
    <t>72% Male - 28% Female</t>
  </si>
  <si>
    <t>48% Male - 57% Female</t>
  </si>
  <si>
    <t>40% Male - 45% Female</t>
  </si>
  <si>
    <t>56% Male - 47% Female</t>
  </si>
  <si>
    <t>80% Male - 29% Female</t>
  </si>
  <si>
    <t>51% Male - 59% Female</t>
  </si>
  <si>
    <t>66% Male - 49% Female</t>
  </si>
  <si>
    <t>43% Male - 24% Female</t>
  </si>
  <si>
    <t>45% Male - 38% Female</t>
  </si>
  <si>
    <t>80% Male - 52% Female</t>
  </si>
  <si>
    <t>65% Male - 39% Female</t>
  </si>
  <si>
    <t>65% Male - 28% Female</t>
  </si>
  <si>
    <t>65% Male - 34% Female</t>
  </si>
  <si>
    <t>67% Male - 47% Female</t>
  </si>
  <si>
    <t>78% Male - 54% Female</t>
  </si>
  <si>
    <t>43% Male - 58% Female</t>
  </si>
  <si>
    <t>60% Male - 20% Female</t>
  </si>
  <si>
    <t>51% Male - 32% Female</t>
  </si>
  <si>
    <t>40% Male - 53% Female</t>
  </si>
  <si>
    <t>74% Male - 30% Female</t>
  </si>
  <si>
    <t>50% Male - 20% Female</t>
  </si>
  <si>
    <t>41% Male - 35% Female</t>
  </si>
  <si>
    <t>71% Male - 33% Female</t>
  </si>
  <si>
    <t>69% Male - 50% Female</t>
  </si>
  <si>
    <t>58% Male - 57% Female</t>
  </si>
  <si>
    <t>69% Male - 31% Female</t>
  </si>
  <si>
    <t>44% Male - 60% Female</t>
  </si>
  <si>
    <t>65% Male - 58% Female</t>
  </si>
  <si>
    <t>54% Male - 22% Female</t>
  </si>
  <si>
    <t>40% Male - 59% Female</t>
  </si>
  <si>
    <t>77% Male - 52% Female</t>
  </si>
  <si>
    <t>61% Male - 20% Female</t>
  </si>
  <si>
    <t>75% Male - 44% Female</t>
  </si>
  <si>
    <t>46% Male - 56% Female</t>
  </si>
  <si>
    <t>49% Male - 54% Female</t>
  </si>
  <si>
    <t>75% Male - 36% Female</t>
  </si>
  <si>
    <t>53% Male - 40% Female</t>
  </si>
  <si>
    <t>78% Male - 20% Female</t>
  </si>
  <si>
    <t>74% Male - 47% Female</t>
  </si>
  <si>
    <t>61% Male - 36% Female</t>
  </si>
  <si>
    <t>75% Male - 33% Female</t>
  </si>
  <si>
    <t>47% Male - 58% Female</t>
  </si>
  <si>
    <t>67% Male - 25% Female</t>
  </si>
  <si>
    <t>80% Male - 46% Female</t>
  </si>
  <si>
    <t>45% Male - 46% Female</t>
  </si>
  <si>
    <t>71% Male - 60% Female</t>
  </si>
  <si>
    <t>64% Male - 45% Female</t>
  </si>
  <si>
    <t>47% Male - 34% Female</t>
  </si>
  <si>
    <t>63% Male - 33% Female</t>
  </si>
  <si>
    <t>60% Male - 39% Female</t>
  </si>
  <si>
    <t>67% Male - 41% Female</t>
  </si>
  <si>
    <t>58% Male - 21% Female</t>
  </si>
  <si>
    <t>76% Male - 56% Female</t>
  </si>
  <si>
    <t>77% Male - 31% Female</t>
  </si>
  <si>
    <t>63% Male - 39% Female</t>
  </si>
  <si>
    <t>46% Male - 39% Female</t>
  </si>
  <si>
    <t>73% Male - 32% Female</t>
  </si>
  <si>
    <t>70% Male - 46% Female</t>
  </si>
  <si>
    <t>73% Male - 24% Female</t>
  </si>
  <si>
    <t>74% Male - 44% Female</t>
  </si>
  <si>
    <t>71% Male - 59% Female</t>
  </si>
  <si>
    <t>65% Male - 21% Female</t>
  </si>
  <si>
    <t>49% Male - 42% Female</t>
  </si>
  <si>
    <t>69% Male - 49% Female</t>
  </si>
  <si>
    <t>55% Male - 40% Female</t>
  </si>
  <si>
    <t>71% Male - 58% Female</t>
  </si>
  <si>
    <t>47% Male - 53% Female</t>
  </si>
  <si>
    <t>59% Male - 24% Female</t>
  </si>
  <si>
    <t>57% Male - 28% Female</t>
  </si>
  <si>
    <t>54% Male - 21% Female</t>
  </si>
  <si>
    <t>80% Male - 53% Female</t>
  </si>
  <si>
    <t>71% Male - 57% Female</t>
  </si>
  <si>
    <t>43% Male - 48% Female</t>
  </si>
  <si>
    <t>75% Male - 32% Female</t>
  </si>
  <si>
    <t>40% Male - 56% Female</t>
  </si>
  <si>
    <t>68% Male - 51% Female</t>
  </si>
  <si>
    <t>78% Male - 22% Female</t>
  </si>
  <si>
    <t>73% Male - 45% Female</t>
  </si>
  <si>
    <t>59% Male - 57% Female</t>
  </si>
  <si>
    <t>48% Male - 60% Female</t>
  </si>
  <si>
    <t>44% Male - 46% Female</t>
  </si>
  <si>
    <t>47% Male - 38% Female</t>
  </si>
  <si>
    <t>47% Male - 20% Female</t>
  </si>
  <si>
    <t>70% Male - 43% Female</t>
  </si>
  <si>
    <t>47% Male - 51% Female</t>
  </si>
  <si>
    <t>80% Male - 42% Female</t>
  </si>
  <si>
    <t>78% Male - 44% Female</t>
  </si>
  <si>
    <t>72% Male - 43% Female</t>
  </si>
  <si>
    <t>56% Male - 56% Female</t>
  </si>
  <si>
    <t>55% Male - 20% Female</t>
  </si>
  <si>
    <t>63% Male - 50% Female</t>
  </si>
  <si>
    <t>49% Male - 55% Female</t>
  </si>
  <si>
    <t>48% Male - 59% Female</t>
  </si>
  <si>
    <t>59% Male - 58% Female</t>
  </si>
  <si>
    <t>53% Male - 42% Female</t>
  </si>
  <si>
    <t>Count</t>
  </si>
  <si>
    <t>Mean</t>
  </si>
  <si>
    <t>Standard Deviation(Std)</t>
  </si>
  <si>
    <t>Min</t>
  </si>
  <si>
    <t>Max</t>
  </si>
  <si>
    <t>male_percent</t>
  </si>
  <si>
    <t>female_percent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</si>
</sst>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;[Red]&quot;$&quot;#,##0"/>
    <numFmt numFmtId="165" formatCode="&quot;$&quot;#,##0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2" fillId="0" borderId="4" xfId="1" applyNumberFormat="1" applyFont="1" applyBorder="1" applyAlignment="1">
      <alignment horizontal="center"/>
    </xf>
    <xf numFmtId="166" fontId="2" fillId="0" borderId="5" xfId="1" applyNumberFormat="1" applyFont="1" applyBorder="1" applyAlignment="1">
      <alignment horizontal="center"/>
    </xf>
    <xf numFmtId="166" fontId="2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18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22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26"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64" formatCode="&quot;$&quot;#,##0;[Red]&quot;$&quot;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64" formatCode="&quot;$&quot;#,##0;[Red]&quot;$&quot;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64" formatCode="&quot;$&quot;#,##0;[Red]&quot;$&quot;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64" formatCode="&quot;$&quot;#,##0;[Red]&quot;$&quot;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64" formatCode="&quot;$&quot;#,##0;[Red]&quot;$&quot;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64" formatCode="&quot;$&quot;#,##0;[Red]&quot;$&quot;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65" formatCode="&quot;$&quot;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165" formatCode="&quot;$&quot;#,##0"/>
    </dxf>
    <dxf>
      <alignment horizontal="center"/>
    </dxf>
    <dxf>
      <alignment horizontal="center"/>
    </dxf>
    <dxf>
      <alignment horizontal="center"/>
    </dxf>
    <dxf>
      <numFmt numFmtId="165" formatCode="&quot;$&quot;#,##0"/>
    </dxf>
    <dxf>
      <numFmt numFmtId="164" formatCode="&quot;$&quot;#,##0;[Red]&quot;$&quot;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4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5" Type="http://schemas.openxmlformats.org/officeDocument/2006/relationships/pivotCacheDefinition" Target="pivotCache/pivotCacheDefinition1.xml"/><Relationship Id="rId15" Type="http://schemas.openxmlformats.org/officeDocument/2006/relationships/pivotTable" Target="pivotTables/pivotTable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6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Table" Target="pivotTables/pivotTable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Condom Sales by</a:t>
            </a:r>
            <a:r>
              <a:rPr lang="en-US" baseline="0"/>
              <a:t> Country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970427362114265"/>
          <c:y val="0.3179237856296982"/>
          <c:w val="0.73790328128370142"/>
          <c:h val="0.53456835217245113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C1A-4DA0-849B-98758A2D68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C1A-4DA0-849B-98758A2D68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C1A-4DA0-849B-98758A2D68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C1A-4DA0-849B-98758A2D68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C1A-4DA0-849B-98758A2D68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C1A-4DA0-849B-98758A2D68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C1A-4DA0-849B-98758A2D68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C1A-4DA0-849B-98758A2D68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C1A-4DA0-849B-98758A2D68D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C1A-4DA0-849B-98758A2D68D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Lit>
              <c:ptCount val="10"/>
              <c:pt idx="0">
                <c:v>Australia</c:v>
              </c:pt>
              <c:pt idx="1">
                <c:v>Brazil</c:v>
              </c:pt>
              <c:pt idx="2">
                <c:v>China</c:v>
              </c:pt>
              <c:pt idx="3">
                <c:v>France</c:v>
              </c:pt>
              <c:pt idx="4">
                <c:v>Germany</c:v>
              </c:pt>
              <c:pt idx="5">
                <c:v>India</c:v>
              </c:pt>
              <c:pt idx="6">
                <c:v>Japan</c:v>
              </c:pt>
              <c:pt idx="7">
                <c:v>South Africa</c:v>
              </c:pt>
              <c:pt idx="8">
                <c:v>UK</c:v>
              </c:pt>
              <c:pt idx="9">
                <c:v>USA</c:v>
              </c:pt>
            </c:strLit>
          </c:cat>
          <c:val>
            <c:numLit>
              <c:formatCode>General</c:formatCode>
              <c:ptCount val="10"/>
              <c:pt idx="0">
                <c:v>57619</c:v>
              </c:pt>
              <c:pt idx="1">
                <c:v>70648</c:v>
              </c:pt>
              <c:pt idx="2">
                <c:v>70390</c:v>
              </c:pt>
              <c:pt idx="3">
                <c:v>61512</c:v>
              </c:pt>
              <c:pt idx="4">
                <c:v>67692</c:v>
              </c:pt>
              <c:pt idx="5">
                <c:v>60771</c:v>
              </c:pt>
              <c:pt idx="6">
                <c:v>64851</c:v>
              </c:pt>
              <c:pt idx="7">
                <c:v>65922</c:v>
              </c:pt>
              <c:pt idx="8">
                <c:v>74583</c:v>
              </c:pt>
              <c:pt idx="9">
                <c:v>75830</c:v>
              </c:pt>
            </c:numLit>
          </c:val>
          <c:extLst>
            <c:ext xmlns:c16="http://schemas.microsoft.com/office/drawing/2014/chart" uri="{C3380CC4-5D6E-409C-BE32-E72D297353CC}">
              <c16:uniqueId val="{00000000-6B76-4DB4-8131-89B8A683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[Global Condom Usage.xlsx]PivotChartTable1</c15:name>
        <c15:fmtId val="0"/>
      </c15:pivotSource>
      <c15:pivotOptions>
        <c15:dropZoneFilter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Countries by Condom Sales</a:t>
            </a:r>
          </a:p>
        </c:rich>
      </c:tx>
      <c:layout>
        <c:manualLayout>
          <c:xMode val="edge"/>
          <c:yMode val="edge"/>
          <c:x val="0.16678498669016284"/>
          <c:y val="0.11232909611788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127918956844425"/>
          <c:y val="0.30485204055375431"/>
          <c:w val="0.69764283017020745"/>
          <c:h val="0.4909954883090594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Australia</c:v>
              </c:pt>
              <c:pt idx="1">
                <c:v>India</c:v>
              </c:pt>
              <c:pt idx="2">
                <c:v>France</c:v>
              </c:pt>
              <c:pt idx="3">
                <c:v>Japan</c:v>
              </c:pt>
              <c:pt idx="4">
                <c:v>South Africa</c:v>
              </c:pt>
              <c:pt idx="5">
                <c:v>Germany</c:v>
              </c:pt>
              <c:pt idx="6">
                <c:v>China</c:v>
              </c:pt>
              <c:pt idx="7">
                <c:v>Brazil</c:v>
              </c:pt>
              <c:pt idx="8">
                <c:v>UK</c:v>
              </c:pt>
              <c:pt idx="9">
                <c:v>USA</c:v>
              </c:pt>
            </c:strLit>
          </c:cat>
          <c:val>
            <c:numLit>
              <c:formatCode>General</c:formatCode>
              <c:ptCount val="10"/>
              <c:pt idx="0">
                <c:v>57619</c:v>
              </c:pt>
              <c:pt idx="1">
                <c:v>60771</c:v>
              </c:pt>
              <c:pt idx="2">
                <c:v>61512</c:v>
              </c:pt>
              <c:pt idx="3">
                <c:v>64851</c:v>
              </c:pt>
              <c:pt idx="4">
                <c:v>65922</c:v>
              </c:pt>
              <c:pt idx="5">
                <c:v>67692</c:v>
              </c:pt>
              <c:pt idx="6">
                <c:v>70390</c:v>
              </c:pt>
              <c:pt idx="7">
                <c:v>70648</c:v>
              </c:pt>
              <c:pt idx="8">
                <c:v>74583</c:v>
              </c:pt>
              <c:pt idx="9">
                <c:v>75830</c:v>
              </c:pt>
            </c:numLit>
          </c:val>
          <c:extLst>
            <c:ext xmlns:c16="http://schemas.microsoft.com/office/drawing/2014/chart" uri="{C3380CC4-5D6E-409C-BE32-E72D297353CC}">
              <c16:uniqueId val="{0000002A-E833-4BFC-8874-E599C073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834911"/>
        <c:axId val="126833951"/>
      </c:barChart>
      <c:catAx>
        <c:axId val="126834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395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683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 (Million Units)</a:t>
                </a:r>
              </a:p>
            </c:rich>
          </c:tx>
          <c:layout>
            <c:manualLayout>
              <c:xMode val="edge"/>
              <c:yMode val="edge"/>
              <c:x val="0.37152748446408673"/>
              <c:y val="0.87043693067778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491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[Global Condom Usage.xlsx]PivotChartTable3</c15:name>
        <c15:fmtId val="16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Popular Condom Types Worldwide</a:t>
            </a:r>
            <a:endParaRPr lang="en-US"/>
          </a:p>
        </c:rich>
      </c:tx>
      <c:layout>
        <c:manualLayout>
          <c:xMode val="edge"/>
          <c:yMode val="edge"/>
          <c:x val="0.16678498669016284"/>
          <c:y val="0.11232909611788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127918956844425"/>
          <c:y val="0.30485204055375431"/>
          <c:w val="0.69764283017020745"/>
          <c:h val="0.4909954883090594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Latex</c:v>
              </c:pt>
              <c:pt idx="1">
                <c:v>Non-Latex</c:v>
              </c:pt>
              <c:pt idx="2">
                <c:v>Textured</c:v>
              </c:pt>
              <c:pt idx="3">
                <c:v>Ultra-Thin</c:v>
              </c:pt>
            </c:strLit>
          </c:cat>
          <c:val>
            <c:numLit>
              <c:formatCode>General</c:formatCode>
              <c:ptCount val="4"/>
              <c:pt idx="0">
                <c:v>126</c:v>
              </c:pt>
              <c:pt idx="1">
                <c:v>126</c:v>
              </c:pt>
              <c:pt idx="2">
                <c:v>158</c:v>
              </c:pt>
              <c:pt idx="3">
                <c:v>140</c:v>
              </c:pt>
            </c:numLit>
          </c:val>
          <c:extLst>
            <c:ext xmlns:c16="http://schemas.microsoft.com/office/drawing/2014/chart" uri="{C3380CC4-5D6E-409C-BE32-E72D297353CC}">
              <c16:uniqueId val="{00000000-9BBB-4CCF-B818-4BBB8081B9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834911"/>
        <c:axId val="126833951"/>
      </c:barChart>
      <c:catAx>
        <c:axId val="126834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Condom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395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683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.37152748446408673"/>
              <c:y val="0.87043693067778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491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[Global Condom Usage.xlsx]PivotChartTable4</c15:name>
        <c15:fmtId val="56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vs Female Condom Purchases by Country</a:t>
            </a:r>
          </a:p>
        </c:rich>
      </c:tx>
      <c:layout>
        <c:manualLayout>
          <c:xMode val="edge"/>
          <c:yMode val="edge"/>
          <c:x val="0.10023301304204445"/>
          <c:y val="0.10830074829293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127918956844425"/>
          <c:y val="0.30485204055375431"/>
          <c:w val="0.69764283017020745"/>
          <c:h val="0.49099548830905942"/>
        </c:manualLayout>
      </c:layout>
      <c:barChart>
        <c:barDir val="col"/>
        <c:grouping val="percentStacked"/>
        <c:varyColors val="0"/>
        <c:ser>
          <c:idx val="0"/>
          <c:order val="0"/>
          <c:tx>
            <c:v>male_percent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Australia</c:v>
              </c:pt>
              <c:pt idx="1">
                <c:v>Brazil</c:v>
              </c:pt>
              <c:pt idx="2">
                <c:v>China</c:v>
              </c:pt>
              <c:pt idx="3">
                <c:v>France</c:v>
              </c:pt>
              <c:pt idx="4">
                <c:v>Germany</c:v>
              </c:pt>
              <c:pt idx="5">
                <c:v>India</c:v>
              </c:pt>
              <c:pt idx="6">
                <c:v>Japan</c:v>
              </c:pt>
              <c:pt idx="7">
                <c:v>South Africa</c:v>
              </c:pt>
              <c:pt idx="8">
                <c:v>UK</c:v>
              </c:pt>
              <c:pt idx="9">
                <c:v>USA</c:v>
              </c:pt>
            </c:strLit>
          </c:cat>
          <c:val>
            <c:numLit>
              <c:formatCode>General</c:formatCode>
              <c:ptCount val="10"/>
              <c:pt idx="0">
                <c:v>60.036363636363639</c:v>
              </c:pt>
              <c:pt idx="1">
                <c:v>62.290909090909089</c:v>
              </c:pt>
              <c:pt idx="2">
                <c:v>58.127272727272725</c:v>
              </c:pt>
              <c:pt idx="3">
                <c:v>62.581818181818178</c:v>
              </c:pt>
              <c:pt idx="4">
                <c:v>59.963636363636361</c:v>
              </c:pt>
              <c:pt idx="5">
                <c:v>64.345454545454544</c:v>
              </c:pt>
              <c:pt idx="6">
                <c:v>59.454545454545453</c:v>
              </c:pt>
              <c:pt idx="7">
                <c:v>58.945454545454545</c:v>
              </c:pt>
              <c:pt idx="8">
                <c:v>57.745454545454542</c:v>
              </c:pt>
              <c:pt idx="9">
                <c:v>58.690909090909088</c:v>
              </c:pt>
            </c:numLit>
          </c:val>
          <c:extLst>
            <c:ext xmlns:c16="http://schemas.microsoft.com/office/drawing/2014/chart" uri="{C3380CC4-5D6E-409C-BE32-E72D297353CC}">
              <c16:uniqueId val="{00000001-3040-4428-96B5-51E49FA301EE}"/>
            </c:ext>
          </c:extLst>
        </c:ser>
        <c:ser>
          <c:idx val="1"/>
          <c:order val="1"/>
          <c:tx>
            <c:v>female_percent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Australia</c:v>
              </c:pt>
              <c:pt idx="1">
                <c:v>Brazil</c:v>
              </c:pt>
              <c:pt idx="2">
                <c:v>China</c:v>
              </c:pt>
              <c:pt idx="3">
                <c:v>France</c:v>
              </c:pt>
              <c:pt idx="4">
                <c:v>Germany</c:v>
              </c:pt>
              <c:pt idx="5">
                <c:v>India</c:v>
              </c:pt>
              <c:pt idx="6">
                <c:v>Japan</c:v>
              </c:pt>
              <c:pt idx="7">
                <c:v>South Africa</c:v>
              </c:pt>
              <c:pt idx="8">
                <c:v>UK</c:v>
              </c:pt>
              <c:pt idx="9">
                <c:v>USA</c:v>
              </c:pt>
            </c:strLit>
          </c:cat>
          <c:val>
            <c:numLit>
              <c:formatCode>General</c:formatCode>
              <c:ptCount val="10"/>
              <c:pt idx="0">
                <c:v>39.690909090909088</c:v>
              </c:pt>
              <c:pt idx="1">
                <c:v>38.872727272727275</c:v>
              </c:pt>
              <c:pt idx="2">
                <c:v>41.581818181818178</c:v>
              </c:pt>
              <c:pt idx="3">
                <c:v>40.545454545454547</c:v>
              </c:pt>
              <c:pt idx="4">
                <c:v>39.6</c:v>
              </c:pt>
              <c:pt idx="5">
                <c:v>42.345454545454544</c:v>
              </c:pt>
              <c:pt idx="6">
                <c:v>39.909090909090907</c:v>
              </c:pt>
              <c:pt idx="7">
                <c:v>43.727272727272727</c:v>
              </c:pt>
              <c:pt idx="8">
                <c:v>39.81818181818182</c:v>
              </c:pt>
              <c:pt idx="9">
                <c:v>41.618181818181817</c:v>
              </c:pt>
            </c:numLit>
          </c:val>
          <c:extLst>
            <c:ext xmlns:c16="http://schemas.microsoft.com/office/drawing/2014/chart" uri="{C3380CC4-5D6E-409C-BE32-E72D297353CC}">
              <c16:uniqueId val="{00000003-3040-4428-96B5-51E49FA30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26834911"/>
        <c:axId val="126833951"/>
      </c:barChart>
      <c:catAx>
        <c:axId val="1268349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395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68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4911"/>
        <c:crosses val="autoZero"/>
        <c:crossBetween val="between"/>
        <c:extLst>
          <c:ext xmlns:c15="http://schemas.microsoft.com/office/drawing/2012/chart" uri="{F40574EE-89B7-4290-83BB-5DA773EAF853}">
            <c15:numFmt c:formatCode="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09503932490371"/>
          <c:y val="0.12203372519963362"/>
          <c:w val="0.16567254394405517"/>
          <c:h val="0.13595257005255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[Global Condom Usage.xlsx]PivotChartTable5</c15:name>
        <c15:fmtId val="62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2</xdr:row>
      <xdr:rowOff>19050</xdr:rowOff>
    </xdr:from>
    <xdr:to>
      <xdr:col>8</xdr:col>
      <xdr:colOff>428625</xdr:colOff>
      <xdr:row>17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10274-6F3D-CA47-5907-221BDAA35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2</xdr:row>
      <xdr:rowOff>57150</xdr:rowOff>
    </xdr:from>
    <xdr:to>
      <xdr:col>18</xdr:col>
      <xdr:colOff>323850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5825A2-57EE-4756-A593-63B2F5BDD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9</xdr:col>
      <xdr:colOff>485775</xdr:colOff>
      <xdr:row>35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BFFF34-CC8A-4F16-8813-5712ECCB0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381000</xdr:colOff>
      <xdr:row>19</xdr:row>
      <xdr:rowOff>47625</xdr:rowOff>
    </xdr:from>
    <xdr:to>
      <xdr:col>19</xdr:col>
      <xdr:colOff>428625</xdr:colOff>
      <xdr:row>35</xdr:row>
      <xdr:rowOff>152401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741662-FB43-4456-BE2B-6DD3704A8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 Velasco" refreshedDate="45918.850645370374" createdVersion="5" refreshedVersion="8" minRefreshableVersion="3" recordCount="0" supportSubquery="1" supportAdvancedDrill="1" xr:uid="{69DDDF67-6A81-4308-9856-5DA1DBF8C516}">
  <cacheSource type="external" connectionId="3"/>
  <cacheFields count="3">
    <cacheField name="[Rich_Global_Condom_Usage_Dataset].[Year].[Year]" caption="Year" numFmtId="0" level="1">
      <sharedItems containsSemiMixedTypes="0" containsString="0" containsNumber="1" containsInteger="1" minValue="2015" maxValue="2025" count="11">
        <n v="2015"/>
        <n v="2016"/>
        <n v="2017"/>
        <n v="2018"/>
        <n v="2019"/>
        <n v="2020"/>
        <n v="2021"/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Rich_Global_Condom_Usage_Dataset].[Year].&amp;[2015]"/>
            <x15:cachedUniqueName index="1" name="[Rich_Global_Condom_Usage_Dataset].[Year].&amp;[2016]"/>
            <x15:cachedUniqueName index="2" name="[Rich_Global_Condom_Usage_Dataset].[Year].&amp;[2017]"/>
            <x15:cachedUniqueName index="3" name="[Rich_Global_Condom_Usage_Dataset].[Year].&amp;[2018]"/>
            <x15:cachedUniqueName index="4" name="[Rich_Global_Condom_Usage_Dataset].[Year].&amp;[2019]"/>
            <x15:cachedUniqueName index="5" name="[Rich_Global_Condom_Usage_Dataset].[Year].&amp;[2020]"/>
            <x15:cachedUniqueName index="6" name="[Rich_Global_Condom_Usage_Dataset].[Year].&amp;[2021]"/>
            <x15:cachedUniqueName index="7" name="[Rich_Global_Condom_Usage_Dataset].[Year].&amp;[2022]"/>
            <x15:cachedUniqueName index="8" name="[Rich_Global_Condom_Usage_Dataset].[Year].&amp;[2023]"/>
            <x15:cachedUniqueName index="9" name="[Rich_Global_Condom_Usage_Dataset].[Year].&amp;[2024]"/>
            <x15:cachedUniqueName index="10" name="[Rich_Global_Condom_Usage_Dataset].[Year].&amp;[2025]"/>
          </x15:cachedUniqueNames>
        </ext>
      </extLst>
    </cacheField>
    <cacheField name="[Rich_Global_Condom_Usage_Dataset].[Most Popular Condom Type].[Most Popular Condom Type]" caption="Most Popular Condom Type" numFmtId="0" hierarchy="6" level="1">
      <sharedItems count="4">
        <s v="Latex"/>
        <s v="Non-Latex"/>
        <s v="Textured"/>
        <s v="Ultra-Thin"/>
      </sharedItems>
    </cacheField>
    <cacheField name="[Measures].[Sum of Total Sales (Million Units)]" caption="Sum of Total Sales (Million Units)" numFmtId="0" hierarchy="19" level="32767"/>
  </cacheFields>
  <cacheHierarchies count="31">
    <cacheHierarchy uniqueName="[Rich_Global_Condom_Usage_Dataset].[Year]" caption="Year" attribute="1" defaultMemberUniqueName="[Rich_Global_Condom_Usage_Dataset].[Year].[All]" allUniqueName="[Rich_Global_Condom_Usage_Dataset].[Year].[All]" dimensionUniqueName="[Rich_Global_Condom_Usage_Dataset]" displayFolder="" count="2" memberValueDatatype="20" unbalanced="0">
      <fieldsUsage count="2">
        <fieldUsage x="-1"/>
        <fieldUsage x="0"/>
      </fieldsUsage>
    </cacheHierarchy>
    <cacheHierarchy uniqueName="[Rich_Global_Condom_Usage_Dataset].[Country]" caption="Country" attribute="1" defaultMemberUniqueName="[Rich_Global_Condom_Usage_Dataset].[Country].[All]" allUniqueName="[Rich_Global_Condom_Usage_Dataset].[Country].[All]" dimensionUniqueName="[Rich_Global_Condom_Usage_Dataset]" displayFolder="" count="0" memberValueDatatype="130" unbalanced="0"/>
    <cacheHierarchy uniqueName="[Rich_Global_Condom_Usage_Dataset].[Total Sales (Million Units)]" caption="Total Sales (Million Units)" attribute="1" defaultMemberUniqueName="[Rich_Global_Condom_Usage_Dataset].[Total Sales (Million Units)].[All]" allUniqueName="[Rich_Global_Condom_Usage_Dataset].[Total Sales (Million Units)].[All]" dimensionUniqueName="[Rich_Global_Condom_Usage_Dataset]" displayFolder="" count="0" memberValueDatatype="20" unbalanced="0"/>
    <cacheHierarchy uniqueName="[Rich_Global_Condom_Usage_Dataset].[Market Revenue (Million USD)]" caption="Market Revenue (Million USD)" attribute="1" defaultMemberUniqueName="[Rich_Global_Condom_Usage_Dataset].[Market Revenue (Million USD)].[All]" allUniqueName="[Rich_Global_Condom_Usage_Dataset].[Market Revenue (Million USD)].[All]" dimensionUniqueName="[Rich_Global_Condom_Usage_Dataset]" displayFolder="" count="0" memberValueDatatype="5" unbalanced="0"/>
    <cacheHierarchy uniqueName="[Rich_Global_Condom_Usage_Dataset].[Government Campaigns]" caption="Government Campaigns" attribute="1" defaultMemberUniqueName="[Rich_Global_Condom_Usage_Dataset].[Government Campaigns].[All]" allUniqueName="[Rich_Global_Condom_Usage_Dataset].[Government Campaigns].[All]" dimensionUniqueName="[Rich_Global_Condom_Usage_Dataset]" displayFolder="" count="0" memberValueDatatype="130" unbalanced="0"/>
    <cacheHierarchy uniqueName="[Rich_Global_Condom_Usage_Dataset].[Awareness Index (0-10)]" caption="Awareness Index (0-10)" attribute="1" defaultMemberUniqueName="[Rich_Global_Condom_Usage_Dataset].[Awareness Index (0-10)].[All]" allUniqueName="[Rich_Global_Condom_Usage_Dataset].[Awareness Index (0-10)].[All]" dimensionUniqueName="[Rich_Global_Condom_Usage_Dataset]" displayFolder="" count="0" memberValueDatatype="5" unbalanced="0"/>
    <cacheHierarchy uniqueName="[Rich_Global_Condom_Usage_Dataset].[Most Popular Condom Type]" caption="Most Popular Condom Type" attribute="1" defaultMemberUniqueName="[Rich_Global_Condom_Usage_Dataset].[Most Popular Condom Type].[All]" allUniqueName="[Rich_Global_Condom_Usage_Dataset].[Most Popular Condom Type].[All]" dimensionUniqueName="[Rich_Global_Condom_Usage_Dataset]" displayFolder="" count="2" memberValueDatatype="130" unbalanced="0">
      <fieldsUsage count="2">
        <fieldUsage x="-1"/>
        <fieldUsage x="1"/>
      </fieldsUsage>
    </cacheHierarchy>
    <cacheHierarchy uniqueName="[Rich_Global_Condom_Usage_Dataset].[Contraceptive Usage Rate (%)]" caption="Contraceptive Usage Rate (%)" attribute="1" defaultMemberUniqueName="[Rich_Global_Condom_Usage_Dataset].[Contraceptive Usage Rate (%)].[All]" allUniqueName="[Rich_Global_Condom_Usage_Dataset].[Contraceptive Usage Rate (%)].[All]" dimensionUniqueName="[Rich_Global_Condom_Usage_Dataset]" displayFolder="" count="0" memberValueDatatype="5" unbalanced="0"/>
    <cacheHierarchy uniqueName="[Rich_Global_Condom_Usage_Dataset].[Teen Pregnancy Rate (per 1000 teens)]" caption="Teen Pregnancy Rate (per 1000 teens)" attribute="1" defaultMemberUniqueName="[Rich_Global_Condom_Usage_Dataset].[Teen Pregnancy Rate (per 1000 teens)].[All]" allUniqueName="[Rich_Global_Condom_Usage_Dataset].[Teen Pregnancy Rate (per 1000 teens)].[All]" dimensionUniqueName="[Rich_Global_Condom_Usage_Dataset]" displayFolder="" count="0" memberValueDatatype="5" unbalanced="0"/>
    <cacheHierarchy uniqueName="[Rich_Global_Condom_Usage_Dataset].[HIV Prevention Awareness (%)]" caption="HIV Prevention Awareness (%)" attribute="1" defaultMemberUniqueName="[Rich_Global_Condom_Usage_Dataset].[HIV Prevention Awareness (%)].[All]" allUniqueName="[Rich_Global_Condom_Usage_Dataset].[HIV Prevention Awareness (%)].[All]" dimensionUniqueName="[Rich_Global_Condom_Usage_Dataset]" displayFolder="" count="0" memberValueDatatype="5" unbalanced="0"/>
    <cacheHierarchy uniqueName="[Rich_Global_Condom_Usage_Dataset].[Online Sales (%)]" caption="Online Sales (%)" attribute="1" defaultMemberUniqueName="[Rich_Global_Condom_Usage_Dataset].[Online Sales (%)].[All]" allUniqueName="[Rich_Global_Condom_Usage_Dataset].[Online Sales (%)].[All]" dimensionUniqueName="[Rich_Global_Condom_Usage_Dataset]" displayFolder="" count="0" memberValueDatatype="5" unbalanced="0"/>
    <cacheHierarchy uniqueName="[Rich_Global_Condom_Usage_Dataset].[Average Price per Condom (USD)]" caption="Average Price per Condom (USD)" attribute="1" defaultMemberUniqueName="[Rich_Global_Condom_Usage_Dataset].[Average Price per Condom (USD)].[All]" allUniqueName="[Rich_Global_Condom_Usage_Dataset].[Average Price per Condom (USD)].[All]" dimensionUniqueName="[Rich_Global_Condom_Usage_Dataset]" displayFolder="" count="0" memberValueDatatype="5" unbalanced="0"/>
    <cacheHierarchy uniqueName="[Rich_Global_Condom_Usage_Dataset].[Male vs Female Purchases (%)]" caption="Male vs Female Purchases (%)" attribute="1" defaultMemberUniqueName="[Rich_Global_Condom_Usage_Dataset].[Male vs Female Purchases (%)].[All]" allUniqueName="[Rich_Global_Condom_Usage_Dataset].[Male vs Female Purchases (%)].[All]" dimensionUniqueName="[Rich_Global_Condom_Usage_Dataset]" displayFolder="" count="0" memberValueDatatype="130" unbalanced="0"/>
    <cacheHierarchy uniqueName="[Rich_Global_Condom_Usage_Dataset].[Brand Dominance]" caption="Brand Dominance" attribute="1" defaultMemberUniqueName="[Rich_Global_Condom_Usage_Dataset].[Brand Dominance].[All]" allUniqueName="[Rich_Global_Condom_Usage_Dataset].[Brand Dominance].[All]" dimensionUniqueName="[Rich_Global_Condom_Usage_Dataset]" displayFolder="" count="0" memberValueDatatype="130" unbalanced="0"/>
    <cacheHierarchy uniqueName="[Rich_Global_Condom_Usage_Dataset].[Sex Education Programs (Yes/No)]" caption="Sex Education Programs (Yes/No)" attribute="1" defaultMemberUniqueName="[Rich_Global_Condom_Usage_Dataset].[Sex Education Programs (Yes/No)].[All]" allUniqueName="[Rich_Global_Condom_Usage_Dataset].[Sex Education Programs (Yes/No)].[All]" dimensionUniqueName="[Rich_Global_Condom_Usage_Dataset]" displayFolder="" count="0" memberValueDatatype="130" unbalanced="0"/>
    <cacheHierarchy uniqueName="[Rich_Global_Condom_Usage_Dataset].[male_percent]" caption="male_percent" attribute="1" defaultMemberUniqueName="[Rich_Global_Condom_Usage_Dataset].[male_percent].[All]" allUniqueName="[Rich_Global_Condom_Usage_Dataset].[male_percent].[All]" dimensionUniqueName="[Rich_Global_Condom_Usage_Dataset]" displayFolder="" count="0" memberValueDatatype="5" unbalanced="0"/>
    <cacheHierarchy uniqueName="[Rich_Global_Condom_Usage_Dataset].[female_percent]" caption="female_percent" attribute="1" defaultMemberUniqueName="[Rich_Global_Condom_Usage_Dataset].[female_percent].[All]" allUniqueName="[Rich_Global_Condom_Usage_Dataset].[female_percent].[All]" dimensionUniqueName="[Rich_Global_Condom_Usage_Dataset]" displayFolder="" count="0" memberValueDatatype="5" unbalanced="0"/>
    <cacheHierarchy uniqueName="[Measures].[__XL_Count Rich_Global_Condom_Usage_Dataset]" caption="__XL_Count Rich_Global_Condom_Usage_Dataset" measure="1" displayFolder="" measureGroup="Rich_Global_Condom_Usage_Dataset" count="0" hidden="1"/>
    <cacheHierarchy uniqueName="[Measures].[__No measures defined]" caption="__No measures defined" measure="1" displayFolder="" count="0" hidden="1"/>
    <cacheHierarchy uniqueName="[Measures].[Sum of Total Sales (Million Units)]" caption="Sum of Total Sales (Million Units)" measure="1" displayFolder="" measureGroup="Rich_Global_Condom_Usage_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ket Revenue (Million USD)]" caption="Sum of Market Revenue (Million USD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ale_percent]" caption="Count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male_percent]" caption="Distinct Count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male_percent]" caption="Average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emale_percent]" caption="Sum of fe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emale_percent]" caption="Average of fe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een Pregnancy Rate (per 1000 teens)]" caption="Sum of Teen Pregnancy Rate (per 1000 teens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ost Popular Condom Type]" caption="Count of Most Popular Condom Type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ale_percent]" caption="Sum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Rich_Global_Condom_Usage_Dataset" uniqueName="[Rich_Global_Condom_Usage_Dataset]" caption="Rich_Global_Condom_Usage_Dataset"/>
  </dimensions>
  <measureGroups count="1">
    <measureGroup name="Rich_Global_Condom_Usage_Dataset" caption="Rich_Global_Condom_Usage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 Velasco" refreshedDate="45918.850644675927" createdVersion="5" refreshedVersion="8" minRefreshableVersion="3" recordCount="0" supportSubquery="1" supportAdvancedDrill="1" xr:uid="{AC483093-34A0-4DF0-B8DC-F13DA79456C8}">
  <cacheSource type="external" connectionId="3"/>
  <cacheFields count="3">
    <cacheField name="[Rich_Global_Condom_Usage_Dataset].[Year].[Year]" caption="Year" numFmtId="0" level="1">
      <sharedItems containsSemiMixedTypes="0" containsString="0" containsNumber="1" containsInteger="1" minValue="2015" maxValue="2025" count="11">
        <n v="2015"/>
        <n v="2016"/>
        <n v="2017"/>
        <n v="2018"/>
        <n v="2019"/>
        <n v="2020"/>
        <n v="2021"/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Rich_Global_Condom_Usage_Dataset].[Year].&amp;[2015]"/>
            <x15:cachedUniqueName index="1" name="[Rich_Global_Condom_Usage_Dataset].[Year].&amp;[2016]"/>
            <x15:cachedUniqueName index="2" name="[Rich_Global_Condom_Usage_Dataset].[Year].&amp;[2017]"/>
            <x15:cachedUniqueName index="3" name="[Rich_Global_Condom_Usage_Dataset].[Year].&amp;[2018]"/>
            <x15:cachedUniqueName index="4" name="[Rich_Global_Condom_Usage_Dataset].[Year].&amp;[2019]"/>
            <x15:cachedUniqueName index="5" name="[Rich_Global_Condom_Usage_Dataset].[Year].&amp;[2020]"/>
            <x15:cachedUniqueName index="6" name="[Rich_Global_Condom_Usage_Dataset].[Year].&amp;[2021]"/>
            <x15:cachedUniqueName index="7" name="[Rich_Global_Condom_Usage_Dataset].[Year].&amp;[2022]"/>
            <x15:cachedUniqueName index="8" name="[Rich_Global_Condom_Usage_Dataset].[Year].&amp;[2023]"/>
            <x15:cachedUniqueName index="9" name="[Rich_Global_Condom_Usage_Dataset].[Year].&amp;[2024]"/>
            <x15:cachedUniqueName index="10" name="[Rich_Global_Condom_Usage_Dataset].[Year].&amp;[2025]"/>
          </x15:cachedUniqueNames>
        </ext>
      </extLst>
    </cacheField>
    <cacheField name="[Rich_Global_Condom_Usage_Dataset].[Most Popular Condom Type].[Most Popular Condom Type]" caption="Most Popular Condom Type" numFmtId="0" hierarchy="6" level="1">
      <sharedItems count="4">
        <s v="Latex"/>
        <s v="Non-Latex"/>
        <s v="Textured"/>
        <s v="Ultra-Thin"/>
      </sharedItems>
    </cacheField>
    <cacheField name="[Measures].[Sum of Total Sales (Million Units)]" caption="Sum of Total Sales (Million Units)" numFmtId="0" hierarchy="19" level="32767"/>
  </cacheFields>
  <cacheHierarchies count="31">
    <cacheHierarchy uniqueName="[Rich_Global_Condom_Usage_Dataset].[Year]" caption="Year" attribute="1" defaultMemberUniqueName="[Rich_Global_Condom_Usage_Dataset].[Year].[All]" allUniqueName="[Rich_Global_Condom_Usage_Dataset].[Year].[All]" dimensionUniqueName="[Rich_Global_Condom_Usage_Dataset]" displayFolder="" count="2" memberValueDatatype="20" unbalanced="0">
      <fieldsUsage count="2">
        <fieldUsage x="-1"/>
        <fieldUsage x="0"/>
      </fieldsUsage>
    </cacheHierarchy>
    <cacheHierarchy uniqueName="[Rich_Global_Condom_Usage_Dataset].[Country]" caption="Country" attribute="1" defaultMemberUniqueName="[Rich_Global_Condom_Usage_Dataset].[Country].[All]" allUniqueName="[Rich_Global_Condom_Usage_Dataset].[Country].[All]" dimensionUniqueName="[Rich_Global_Condom_Usage_Dataset]" displayFolder="" count="0" memberValueDatatype="130" unbalanced="0"/>
    <cacheHierarchy uniqueName="[Rich_Global_Condom_Usage_Dataset].[Total Sales (Million Units)]" caption="Total Sales (Million Units)" attribute="1" defaultMemberUniqueName="[Rich_Global_Condom_Usage_Dataset].[Total Sales (Million Units)].[All]" allUniqueName="[Rich_Global_Condom_Usage_Dataset].[Total Sales (Million Units)].[All]" dimensionUniqueName="[Rich_Global_Condom_Usage_Dataset]" displayFolder="" count="0" memberValueDatatype="20" unbalanced="0"/>
    <cacheHierarchy uniqueName="[Rich_Global_Condom_Usage_Dataset].[Market Revenue (Million USD)]" caption="Market Revenue (Million USD)" attribute="1" defaultMemberUniqueName="[Rich_Global_Condom_Usage_Dataset].[Market Revenue (Million USD)].[All]" allUniqueName="[Rich_Global_Condom_Usage_Dataset].[Market Revenue (Million USD)].[All]" dimensionUniqueName="[Rich_Global_Condom_Usage_Dataset]" displayFolder="" count="0" memberValueDatatype="5" unbalanced="0"/>
    <cacheHierarchy uniqueName="[Rich_Global_Condom_Usage_Dataset].[Government Campaigns]" caption="Government Campaigns" attribute="1" defaultMemberUniqueName="[Rich_Global_Condom_Usage_Dataset].[Government Campaigns].[All]" allUniqueName="[Rich_Global_Condom_Usage_Dataset].[Government Campaigns].[All]" dimensionUniqueName="[Rich_Global_Condom_Usage_Dataset]" displayFolder="" count="0" memberValueDatatype="130" unbalanced="0"/>
    <cacheHierarchy uniqueName="[Rich_Global_Condom_Usage_Dataset].[Awareness Index (0-10)]" caption="Awareness Index (0-10)" attribute="1" defaultMemberUniqueName="[Rich_Global_Condom_Usage_Dataset].[Awareness Index (0-10)].[All]" allUniqueName="[Rich_Global_Condom_Usage_Dataset].[Awareness Index (0-10)].[All]" dimensionUniqueName="[Rich_Global_Condom_Usage_Dataset]" displayFolder="" count="0" memberValueDatatype="5" unbalanced="0"/>
    <cacheHierarchy uniqueName="[Rich_Global_Condom_Usage_Dataset].[Most Popular Condom Type]" caption="Most Popular Condom Type" attribute="1" defaultMemberUniqueName="[Rich_Global_Condom_Usage_Dataset].[Most Popular Condom Type].[All]" allUniqueName="[Rich_Global_Condom_Usage_Dataset].[Most Popular Condom Type].[All]" dimensionUniqueName="[Rich_Global_Condom_Usage_Dataset]" displayFolder="" count="2" memberValueDatatype="130" unbalanced="0">
      <fieldsUsage count="2">
        <fieldUsage x="-1"/>
        <fieldUsage x="1"/>
      </fieldsUsage>
    </cacheHierarchy>
    <cacheHierarchy uniqueName="[Rich_Global_Condom_Usage_Dataset].[Contraceptive Usage Rate (%)]" caption="Contraceptive Usage Rate (%)" attribute="1" defaultMemberUniqueName="[Rich_Global_Condom_Usage_Dataset].[Contraceptive Usage Rate (%)].[All]" allUniqueName="[Rich_Global_Condom_Usage_Dataset].[Contraceptive Usage Rate (%)].[All]" dimensionUniqueName="[Rich_Global_Condom_Usage_Dataset]" displayFolder="" count="0" memberValueDatatype="5" unbalanced="0"/>
    <cacheHierarchy uniqueName="[Rich_Global_Condom_Usage_Dataset].[Teen Pregnancy Rate (per 1000 teens)]" caption="Teen Pregnancy Rate (per 1000 teens)" attribute="1" defaultMemberUniqueName="[Rich_Global_Condom_Usage_Dataset].[Teen Pregnancy Rate (per 1000 teens)].[All]" allUniqueName="[Rich_Global_Condom_Usage_Dataset].[Teen Pregnancy Rate (per 1000 teens)].[All]" dimensionUniqueName="[Rich_Global_Condom_Usage_Dataset]" displayFolder="" count="0" memberValueDatatype="5" unbalanced="0"/>
    <cacheHierarchy uniqueName="[Rich_Global_Condom_Usage_Dataset].[HIV Prevention Awareness (%)]" caption="HIV Prevention Awareness (%)" attribute="1" defaultMemberUniqueName="[Rich_Global_Condom_Usage_Dataset].[HIV Prevention Awareness (%)].[All]" allUniqueName="[Rich_Global_Condom_Usage_Dataset].[HIV Prevention Awareness (%)].[All]" dimensionUniqueName="[Rich_Global_Condom_Usage_Dataset]" displayFolder="" count="0" memberValueDatatype="5" unbalanced="0"/>
    <cacheHierarchy uniqueName="[Rich_Global_Condom_Usage_Dataset].[Online Sales (%)]" caption="Online Sales (%)" attribute="1" defaultMemberUniqueName="[Rich_Global_Condom_Usage_Dataset].[Online Sales (%)].[All]" allUniqueName="[Rich_Global_Condom_Usage_Dataset].[Online Sales (%)].[All]" dimensionUniqueName="[Rich_Global_Condom_Usage_Dataset]" displayFolder="" count="0" memberValueDatatype="5" unbalanced="0"/>
    <cacheHierarchy uniqueName="[Rich_Global_Condom_Usage_Dataset].[Average Price per Condom (USD)]" caption="Average Price per Condom (USD)" attribute="1" defaultMemberUniqueName="[Rich_Global_Condom_Usage_Dataset].[Average Price per Condom (USD)].[All]" allUniqueName="[Rich_Global_Condom_Usage_Dataset].[Average Price per Condom (USD)].[All]" dimensionUniqueName="[Rich_Global_Condom_Usage_Dataset]" displayFolder="" count="0" memberValueDatatype="5" unbalanced="0"/>
    <cacheHierarchy uniqueName="[Rich_Global_Condom_Usage_Dataset].[Male vs Female Purchases (%)]" caption="Male vs Female Purchases (%)" attribute="1" defaultMemberUniqueName="[Rich_Global_Condom_Usage_Dataset].[Male vs Female Purchases (%)].[All]" allUniqueName="[Rich_Global_Condom_Usage_Dataset].[Male vs Female Purchases (%)].[All]" dimensionUniqueName="[Rich_Global_Condom_Usage_Dataset]" displayFolder="" count="0" memberValueDatatype="130" unbalanced="0"/>
    <cacheHierarchy uniqueName="[Rich_Global_Condom_Usage_Dataset].[Brand Dominance]" caption="Brand Dominance" attribute="1" defaultMemberUniqueName="[Rich_Global_Condom_Usage_Dataset].[Brand Dominance].[All]" allUniqueName="[Rich_Global_Condom_Usage_Dataset].[Brand Dominance].[All]" dimensionUniqueName="[Rich_Global_Condom_Usage_Dataset]" displayFolder="" count="0" memberValueDatatype="130" unbalanced="0"/>
    <cacheHierarchy uniqueName="[Rich_Global_Condom_Usage_Dataset].[Sex Education Programs (Yes/No)]" caption="Sex Education Programs (Yes/No)" attribute="1" defaultMemberUniqueName="[Rich_Global_Condom_Usage_Dataset].[Sex Education Programs (Yes/No)].[All]" allUniqueName="[Rich_Global_Condom_Usage_Dataset].[Sex Education Programs (Yes/No)].[All]" dimensionUniqueName="[Rich_Global_Condom_Usage_Dataset]" displayFolder="" count="0" memberValueDatatype="130" unbalanced="0"/>
    <cacheHierarchy uniqueName="[Rich_Global_Condom_Usage_Dataset].[male_percent]" caption="male_percent" attribute="1" defaultMemberUniqueName="[Rich_Global_Condom_Usage_Dataset].[male_percent].[All]" allUniqueName="[Rich_Global_Condom_Usage_Dataset].[male_percent].[All]" dimensionUniqueName="[Rich_Global_Condom_Usage_Dataset]" displayFolder="" count="0" memberValueDatatype="5" unbalanced="0"/>
    <cacheHierarchy uniqueName="[Rich_Global_Condom_Usage_Dataset].[female_percent]" caption="female_percent" attribute="1" defaultMemberUniqueName="[Rich_Global_Condom_Usage_Dataset].[female_percent].[All]" allUniqueName="[Rich_Global_Condom_Usage_Dataset].[female_percent].[All]" dimensionUniqueName="[Rich_Global_Condom_Usage_Dataset]" displayFolder="" count="0" memberValueDatatype="5" unbalanced="0"/>
    <cacheHierarchy uniqueName="[Measures].[__XL_Count Rich_Global_Condom_Usage_Dataset]" caption="__XL_Count Rich_Global_Condom_Usage_Dataset" measure="1" displayFolder="" measureGroup="Rich_Global_Condom_Usage_Dataset" count="0" hidden="1"/>
    <cacheHierarchy uniqueName="[Measures].[__No measures defined]" caption="__No measures defined" measure="1" displayFolder="" count="0" hidden="1"/>
    <cacheHierarchy uniqueName="[Measures].[Sum of Total Sales (Million Units)]" caption="Sum of Total Sales (Million Units)" measure="1" displayFolder="" measureGroup="Rich_Global_Condom_Usage_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ket Revenue (Million USD)]" caption="Sum of Market Revenue (Million USD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ale_percent]" caption="Count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male_percent]" caption="Distinct Count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male_percent]" caption="Average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emale_percent]" caption="Sum of fe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emale_percent]" caption="Average of fe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een Pregnancy Rate (per 1000 teens)]" caption="Sum of Teen Pregnancy Rate (per 1000 teens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ost Popular Condom Type]" caption="Count of Most Popular Condom Type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ale_percent]" caption="Sum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Rich_Global_Condom_Usage_Dataset" uniqueName="[Rich_Global_Condom_Usage_Dataset]" caption="Rich_Global_Condom_Usage_Dataset"/>
  </dimensions>
  <measureGroups count="1">
    <measureGroup name="Rich_Global_Condom_Usage_Dataset" caption="Rich_Global_Condom_Usage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 Velasco" refreshedDate="45918.850643749996" createdVersion="5" refreshedVersion="8" minRefreshableVersion="3" recordCount="0" supportSubquery="1" supportAdvancedDrill="1" xr:uid="{0D43F98A-01DC-47AF-983D-1D98383E6F5A}">
  <cacheSource type="external" connectionId="3"/>
  <cacheFields count="3">
    <cacheField name="[Rich_Global_Condom_Usage_Dataset].[Country].[Country]" caption="Country" numFmtId="0" hierarchy="1" level="1">
      <sharedItems count="10">
        <s v="Australia"/>
        <s v="Brazil"/>
        <s v="China"/>
        <s v="France"/>
        <s v="Germany"/>
        <s v="India"/>
        <s v="Japan"/>
        <s v="South Africa"/>
        <s v="UK"/>
        <s v="USA"/>
      </sharedItems>
    </cacheField>
    <cacheField name="[Rich_Global_Condom_Usage_Dataset].[Year].[Year]" caption="Year" numFmtId="0" level="1">
      <sharedItems containsSemiMixedTypes="0" containsString="0" containsNumber="1" containsInteger="1" minValue="2015" maxValue="2025" count="11">
        <n v="2015"/>
        <n v="2016"/>
        <n v="2017"/>
        <n v="2018"/>
        <n v="2019"/>
        <n v="2020"/>
        <n v="2021"/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Rich_Global_Condom_Usage_Dataset].[Year].&amp;[2015]"/>
            <x15:cachedUniqueName index="1" name="[Rich_Global_Condom_Usage_Dataset].[Year].&amp;[2016]"/>
            <x15:cachedUniqueName index="2" name="[Rich_Global_Condom_Usage_Dataset].[Year].&amp;[2017]"/>
            <x15:cachedUniqueName index="3" name="[Rich_Global_Condom_Usage_Dataset].[Year].&amp;[2018]"/>
            <x15:cachedUniqueName index="4" name="[Rich_Global_Condom_Usage_Dataset].[Year].&amp;[2019]"/>
            <x15:cachedUniqueName index="5" name="[Rich_Global_Condom_Usage_Dataset].[Year].&amp;[2020]"/>
            <x15:cachedUniqueName index="6" name="[Rich_Global_Condom_Usage_Dataset].[Year].&amp;[2021]"/>
            <x15:cachedUniqueName index="7" name="[Rich_Global_Condom_Usage_Dataset].[Year].&amp;[2022]"/>
            <x15:cachedUniqueName index="8" name="[Rich_Global_Condom_Usage_Dataset].[Year].&amp;[2023]"/>
            <x15:cachedUniqueName index="9" name="[Rich_Global_Condom_Usage_Dataset].[Year].&amp;[2024]"/>
            <x15:cachedUniqueName index="10" name="[Rich_Global_Condom_Usage_Dataset].[Year].&amp;[2025]"/>
          </x15:cachedUniqueNames>
        </ext>
      </extLst>
    </cacheField>
    <cacheField name="[Measures].[Sum of Market Revenue (Million USD)]" caption="Sum of Market Revenue (Million USD)" numFmtId="0" hierarchy="20" level="32767"/>
  </cacheFields>
  <cacheHierarchies count="31">
    <cacheHierarchy uniqueName="[Rich_Global_Condom_Usage_Dataset].[Year]" caption="Year" attribute="1" defaultMemberUniqueName="[Rich_Global_Condom_Usage_Dataset].[Year].[All]" allUniqueName="[Rich_Global_Condom_Usage_Dataset].[Year].[All]" dimensionUniqueName="[Rich_Global_Condom_Usage_Dataset]" displayFolder="" count="2" memberValueDatatype="20" unbalanced="0">
      <fieldsUsage count="2">
        <fieldUsage x="-1"/>
        <fieldUsage x="1"/>
      </fieldsUsage>
    </cacheHierarchy>
    <cacheHierarchy uniqueName="[Rich_Global_Condom_Usage_Dataset].[Country]" caption="Country" attribute="1" defaultMemberUniqueName="[Rich_Global_Condom_Usage_Dataset].[Country].[All]" allUniqueName="[Rich_Global_Condom_Usage_Dataset].[Country].[All]" dimensionUniqueName="[Rich_Global_Condom_Usage_Dataset]" displayFolder="" count="2" memberValueDatatype="130" unbalanced="0">
      <fieldsUsage count="2">
        <fieldUsage x="-1"/>
        <fieldUsage x="0"/>
      </fieldsUsage>
    </cacheHierarchy>
    <cacheHierarchy uniqueName="[Rich_Global_Condom_Usage_Dataset].[Total Sales (Million Units)]" caption="Total Sales (Million Units)" attribute="1" defaultMemberUniqueName="[Rich_Global_Condom_Usage_Dataset].[Total Sales (Million Units)].[All]" allUniqueName="[Rich_Global_Condom_Usage_Dataset].[Total Sales (Million Units)].[All]" dimensionUniqueName="[Rich_Global_Condom_Usage_Dataset]" displayFolder="" count="0" memberValueDatatype="20" unbalanced="0"/>
    <cacheHierarchy uniqueName="[Rich_Global_Condom_Usage_Dataset].[Market Revenue (Million USD)]" caption="Market Revenue (Million USD)" attribute="1" defaultMemberUniqueName="[Rich_Global_Condom_Usage_Dataset].[Market Revenue (Million USD)].[All]" allUniqueName="[Rich_Global_Condom_Usage_Dataset].[Market Revenue (Million USD)].[All]" dimensionUniqueName="[Rich_Global_Condom_Usage_Dataset]" displayFolder="" count="0" memberValueDatatype="5" unbalanced="0"/>
    <cacheHierarchy uniqueName="[Rich_Global_Condom_Usage_Dataset].[Government Campaigns]" caption="Government Campaigns" attribute="1" defaultMemberUniqueName="[Rich_Global_Condom_Usage_Dataset].[Government Campaigns].[All]" allUniqueName="[Rich_Global_Condom_Usage_Dataset].[Government Campaigns].[All]" dimensionUniqueName="[Rich_Global_Condom_Usage_Dataset]" displayFolder="" count="0" memberValueDatatype="130" unbalanced="0"/>
    <cacheHierarchy uniqueName="[Rich_Global_Condom_Usage_Dataset].[Awareness Index (0-10)]" caption="Awareness Index (0-10)" attribute="1" defaultMemberUniqueName="[Rich_Global_Condom_Usage_Dataset].[Awareness Index (0-10)].[All]" allUniqueName="[Rich_Global_Condom_Usage_Dataset].[Awareness Index (0-10)].[All]" dimensionUniqueName="[Rich_Global_Condom_Usage_Dataset]" displayFolder="" count="0" memberValueDatatype="5" unbalanced="0"/>
    <cacheHierarchy uniqueName="[Rich_Global_Condom_Usage_Dataset].[Most Popular Condom Type]" caption="Most Popular Condom Type" attribute="1" defaultMemberUniqueName="[Rich_Global_Condom_Usage_Dataset].[Most Popular Condom Type].[All]" allUniqueName="[Rich_Global_Condom_Usage_Dataset].[Most Popular Condom Type].[All]" dimensionUniqueName="[Rich_Global_Condom_Usage_Dataset]" displayFolder="" count="0" memberValueDatatype="130" unbalanced="0"/>
    <cacheHierarchy uniqueName="[Rich_Global_Condom_Usage_Dataset].[Contraceptive Usage Rate (%)]" caption="Contraceptive Usage Rate (%)" attribute="1" defaultMemberUniqueName="[Rich_Global_Condom_Usage_Dataset].[Contraceptive Usage Rate (%)].[All]" allUniqueName="[Rich_Global_Condom_Usage_Dataset].[Contraceptive Usage Rate (%)].[All]" dimensionUniqueName="[Rich_Global_Condom_Usage_Dataset]" displayFolder="" count="0" memberValueDatatype="5" unbalanced="0"/>
    <cacheHierarchy uniqueName="[Rich_Global_Condom_Usage_Dataset].[Teen Pregnancy Rate (per 1000 teens)]" caption="Teen Pregnancy Rate (per 1000 teens)" attribute="1" defaultMemberUniqueName="[Rich_Global_Condom_Usage_Dataset].[Teen Pregnancy Rate (per 1000 teens)].[All]" allUniqueName="[Rich_Global_Condom_Usage_Dataset].[Teen Pregnancy Rate (per 1000 teens)].[All]" dimensionUniqueName="[Rich_Global_Condom_Usage_Dataset]" displayFolder="" count="0" memberValueDatatype="5" unbalanced="0"/>
    <cacheHierarchy uniqueName="[Rich_Global_Condom_Usage_Dataset].[HIV Prevention Awareness (%)]" caption="HIV Prevention Awareness (%)" attribute="1" defaultMemberUniqueName="[Rich_Global_Condom_Usage_Dataset].[HIV Prevention Awareness (%)].[All]" allUniqueName="[Rich_Global_Condom_Usage_Dataset].[HIV Prevention Awareness (%)].[All]" dimensionUniqueName="[Rich_Global_Condom_Usage_Dataset]" displayFolder="" count="0" memberValueDatatype="5" unbalanced="0"/>
    <cacheHierarchy uniqueName="[Rich_Global_Condom_Usage_Dataset].[Online Sales (%)]" caption="Online Sales (%)" attribute="1" defaultMemberUniqueName="[Rich_Global_Condom_Usage_Dataset].[Online Sales (%)].[All]" allUniqueName="[Rich_Global_Condom_Usage_Dataset].[Online Sales (%)].[All]" dimensionUniqueName="[Rich_Global_Condom_Usage_Dataset]" displayFolder="" count="0" memberValueDatatype="5" unbalanced="0"/>
    <cacheHierarchy uniqueName="[Rich_Global_Condom_Usage_Dataset].[Average Price per Condom (USD)]" caption="Average Price per Condom (USD)" attribute="1" defaultMemberUniqueName="[Rich_Global_Condom_Usage_Dataset].[Average Price per Condom (USD)].[All]" allUniqueName="[Rich_Global_Condom_Usage_Dataset].[Average Price per Condom (USD)].[All]" dimensionUniqueName="[Rich_Global_Condom_Usage_Dataset]" displayFolder="" count="0" memberValueDatatype="5" unbalanced="0"/>
    <cacheHierarchy uniqueName="[Rich_Global_Condom_Usage_Dataset].[Male vs Female Purchases (%)]" caption="Male vs Female Purchases (%)" attribute="1" defaultMemberUniqueName="[Rich_Global_Condom_Usage_Dataset].[Male vs Female Purchases (%)].[All]" allUniqueName="[Rich_Global_Condom_Usage_Dataset].[Male vs Female Purchases (%)].[All]" dimensionUniqueName="[Rich_Global_Condom_Usage_Dataset]" displayFolder="" count="0" memberValueDatatype="130" unbalanced="0"/>
    <cacheHierarchy uniqueName="[Rich_Global_Condom_Usage_Dataset].[Brand Dominance]" caption="Brand Dominance" attribute="1" defaultMemberUniqueName="[Rich_Global_Condom_Usage_Dataset].[Brand Dominance].[All]" allUniqueName="[Rich_Global_Condom_Usage_Dataset].[Brand Dominance].[All]" dimensionUniqueName="[Rich_Global_Condom_Usage_Dataset]" displayFolder="" count="0" memberValueDatatype="130" unbalanced="0"/>
    <cacheHierarchy uniqueName="[Rich_Global_Condom_Usage_Dataset].[Sex Education Programs (Yes/No)]" caption="Sex Education Programs (Yes/No)" attribute="1" defaultMemberUniqueName="[Rich_Global_Condom_Usage_Dataset].[Sex Education Programs (Yes/No)].[All]" allUniqueName="[Rich_Global_Condom_Usage_Dataset].[Sex Education Programs (Yes/No)].[All]" dimensionUniqueName="[Rich_Global_Condom_Usage_Dataset]" displayFolder="" count="0" memberValueDatatype="130" unbalanced="0"/>
    <cacheHierarchy uniqueName="[Rich_Global_Condom_Usage_Dataset].[male_percent]" caption="male_percent" attribute="1" defaultMemberUniqueName="[Rich_Global_Condom_Usage_Dataset].[male_percent].[All]" allUniqueName="[Rich_Global_Condom_Usage_Dataset].[male_percent].[All]" dimensionUniqueName="[Rich_Global_Condom_Usage_Dataset]" displayFolder="" count="0" memberValueDatatype="5" unbalanced="0"/>
    <cacheHierarchy uniqueName="[Rich_Global_Condom_Usage_Dataset].[female_percent]" caption="female_percent" attribute="1" defaultMemberUniqueName="[Rich_Global_Condom_Usage_Dataset].[female_percent].[All]" allUniqueName="[Rich_Global_Condom_Usage_Dataset].[female_percent].[All]" dimensionUniqueName="[Rich_Global_Condom_Usage_Dataset]" displayFolder="" count="0" memberValueDatatype="5" unbalanced="0"/>
    <cacheHierarchy uniqueName="[Measures].[__XL_Count Rich_Global_Condom_Usage_Dataset]" caption="__XL_Count Rich_Global_Condom_Usage_Dataset" measure="1" displayFolder="" measureGroup="Rich_Global_Condom_Usage_Dataset" count="0" hidden="1"/>
    <cacheHierarchy uniqueName="[Measures].[__No measures defined]" caption="__No measures defined" measure="1" displayFolder="" count="0" hidden="1"/>
    <cacheHierarchy uniqueName="[Measures].[Sum of Total Sales (Million Units)]" caption="Sum of Total Sales (Million Units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ket Revenue (Million USD)]" caption="Sum of Market Revenue (Million USD)" measure="1" displayFolder="" measureGroup="Rich_Global_Condom_Usage_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ale_percent]" caption="Count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male_percent]" caption="Distinct Count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male_percent]" caption="Average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emale_percent]" caption="Sum of fe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emale_percent]" caption="Average of fe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een Pregnancy Rate (per 1000 teens)]" caption="Sum of Teen Pregnancy Rate (per 1000 teens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ost Popular Condom Type]" caption="Count of Most Popular Condom Type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ale_percent]" caption="Sum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Rich_Global_Condom_Usage_Dataset" uniqueName="[Rich_Global_Condom_Usage_Dataset]" caption="Rich_Global_Condom_Usage_Dataset"/>
  </dimensions>
  <measureGroups count="1">
    <measureGroup name="Rich_Global_Condom_Usage_Dataset" caption="Rich_Global_Condom_Usage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 Velasco" refreshedDate="45918.850642939811" createdVersion="5" refreshedVersion="8" minRefreshableVersion="3" recordCount="0" supportSubquery="1" supportAdvancedDrill="1" xr:uid="{215DFD61-3D03-4769-B5F2-3314EDC773F8}">
  <cacheSource type="external" connectionId="3"/>
  <cacheFields count="3">
    <cacheField name="[Rich_Global_Condom_Usage_Dataset].[Country].[Country]" caption="Country" numFmtId="0" hierarchy="1" level="1">
      <sharedItems count="10">
        <s v="Australia"/>
        <s v="Brazil"/>
        <s v="China"/>
        <s v="France"/>
        <s v="Germany"/>
        <s v="India"/>
        <s v="Japan"/>
        <s v="South Africa"/>
        <s v="UK"/>
        <s v="USA"/>
      </sharedItems>
    </cacheField>
    <cacheField name="[Measures].[Sum of Total Sales (Million Units)]" caption="Sum of Total Sales (Million Units)" numFmtId="0" hierarchy="19" level="32767"/>
    <cacheField name="[Rich_Global_Condom_Usage_Dataset].[Year].[Year]" caption="Year" numFmtId="0" level="1">
      <sharedItems containsSemiMixedTypes="0" containsString="0" containsNumber="1" containsInteger="1" minValue="2015" maxValue="2025" count="11">
        <n v="2015"/>
        <n v="2016"/>
        <n v="2017"/>
        <n v="2018"/>
        <n v="2019"/>
        <n v="2020"/>
        <n v="2021"/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Rich_Global_Condom_Usage_Dataset].[Year].&amp;[2015]"/>
            <x15:cachedUniqueName index="1" name="[Rich_Global_Condom_Usage_Dataset].[Year].&amp;[2016]"/>
            <x15:cachedUniqueName index="2" name="[Rich_Global_Condom_Usage_Dataset].[Year].&amp;[2017]"/>
            <x15:cachedUniqueName index="3" name="[Rich_Global_Condom_Usage_Dataset].[Year].&amp;[2018]"/>
            <x15:cachedUniqueName index="4" name="[Rich_Global_Condom_Usage_Dataset].[Year].&amp;[2019]"/>
            <x15:cachedUniqueName index="5" name="[Rich_Global_Condom_Usage_Dataset].[Year].&amp;[2020]"/>
            <x15:cachedUniqueName index="6" name="[Rich_Global_Condom_Usage_Dataset].[Year].&amp;[2021]"/>
            <x15:cachedUniqueName index="7" name="[Rich_Global_Condom_Usage_Dataset].[Year].&amp;[2022]"/>
            <x15:cachedUniqueName index="8" name="[Rich_Global_Condom_Usage_Dataset].[Year].&amp;[2023]"/>
            <x15:cachedUniqueName index="9" name="[Rich_Global_Condom_Usage_Dataset].[Year].&amp;[2024]"/>
            <x15:cachedUniqueName index="10" name="[Rich_Global_Condom_Usage_Dataset].[Year].&amp;[2025]"/>
          </x15:cachedUniqueNames>
        </ext>
      </extLst>
    </cacheField>
  </cacheFields>
  <cacheHierarchies count="31">
    <cacheHierarchy uniqueName="[Rich_Global_Condom_Usage_Dataset].[Year]" caption="Year" attribute="1" defaultMemberUniqueName="[Rich_Global_Condom_Usage_Dataset].[Year].[All]" allUniqueName="[Rich_Global_Condom_Usage_Dataset].[Year].[All]" dimensionUniqueName="[Rich_Global_Condom_Usage_Dataset]" displayFolder="" count="2" memberValueDatatype="20" unbalanced="0">
      <fieldsUsage count="2">
        <fieldUsage x="-1"/>
        <fieldUsage x="2"/>
      </fieldsUsage>
    </cacheHierarchy>
    <cacheHierarchy uniqueName="[Rich_Global_Condom_Usage_Dataset].[Country]" caption="Country" attribute="1" defaultMemberUniqueName="[Rich_Global_Condom_Usage_Dataset].[Country].[All]" allUniqueName="[Rich_Global_Condom_Usage_Dataset].[Country].[All]" dimensionUniqueName="[Rich_Global_Condom_Usage_Dataset]" displayFolder="" count="2" memberValueDatatype="130" unbalanced="0">
      <fieldsUsage count="2">
        <fieldUsage x="-1"/>
        <fieldUsage x="0"/>
      </fieldsUsage>
    </cacheHierarchy>
    <cacheHierarchy uniqueName="[Rich_Global_Condom_Usage_Dataset].[Total Sales (Million Units)]" caption="Total Sales (Million Units)" attribute="1" defaultMemberUniqueName="[Rich_Global_Condom_Usage_Dataset].[Total Sales (Million Units)].[All]" allUniqueName="[Rich_Global_Condom_Usage_Dataset].[Total Sales (Million Units)].[All]" dimensionUniqueName="[Rich_Global_Condom_Usage_Dataset]" displayFolder="" count="0" memberValueDatatype="20" unbalanced="0"/>
    <cacheHierarchy uniqueName="[Rich_Global_Condom_Usage_Dataset].[Market Revenue (Million USD)]" caption="Market Revenue (Million USD)" attribute="1" defaultMemberUniqueName="[Rich_Global_Condom_Usage_Dataset].[Market Revenue (Million USD)].[All]" allUniqueName="[Rich_Global_Condom_Usage_Dataset].[Market Revenue (Million USD)].[All]" dimensionUniqueName="[Rich_Global_Condom_Usage_Dataset]" displayFolder="" count="0" memberValueDatatype="5" unbalanced="0"/>
    <cacheHierarchy uniqueName="[Rich_Global_Condom_Usage_Dataset].[Government Campaigns]" caption="Government Campaigns" attribute="1" defaultMemberUniqueName="[Rich_Global_Condom_Usage_Dataset].[Government Campaigns].[All]" allUniqueName="[Rich_Global_Condom_Usage_Dataset].[Government Campaigns].[All]" dimensionUniqueName="[Rich_Global_Condom_Usage_Dataset]" displayFolder="" count="0" memberValueDatatype="130" unbalanced="0"/>
    <cacheHierarchy uniqueName="[Rich_Global_Condom_Usage_Dataset].[Awareness Index (0-10)]" caption="Awareness Index (0-10)" attribute="1" defaultMemberUniqueName="[Rich_Global_Condom_Usage_Dataset].[Awareness Index (0-10)].[All]" allUniqueName="[Rich_Global_Condom_Usage_Dataset].[Awareness Index (0-10)].[All]" dimensionUniqueName="[Rich_Global_Condom_Usage_Dataset]" displayFolder="" count="0" memberValueDatatype="5" unbalanced="0"/>
    <cacheHierarchy uniqueName="[Rich_Global_Condom_Usage_Dataset].[Most Popular Condom Type]" caption="Most Popular Condom Type" attribute="1" defaultMemberUniqueName="[Rich_Global_Condom_Usage_Dataset].[Most Popular Condom Type].[All]" allUniqueName="[Rich_Global_Condom_Usage_Dataset].[Most Popular Condom Type].[All]" dimensionUniqueName="[Rich_Global_Condom_Usage_Dataset]" displayFolder="" count="0" memberValueDatatype="130" unbalanced="0"/>
    <cacheHierarchy uniqueName="[Rich_Global_Condom_Usage_Dataset].[Contraceptive Usage Rate (%)]" caption="Contraceptive Usage Rate (%)" attribute="1" defaultMemberUniqueName="[Rich_Global_Condom_Usage_Dataset].[Contraceptive Usage Rate (%)].[All]" allUniqueName="[Rich_Global_Condom_Usage_Dataset].[Contraceptive Usage Rate (%)].[All]" dimensionUniqueName="[Rich_Global_Condom_Usage_Dataset]" displayFolder="" count="0" memberValueDatatype="5" unbalanced="0"/>
    <cacheHierarchy uniqueName="[Rich_Global_Condom_Usage_Dataset].[Teen Pregnancy Rate (per 1000 teens)]" caption="Teen Pregnancy Rate (per 1000 teens)" attribute="1" defaultMemberUniqueName="[Rich_Global_Condom_Usage_Dataset].[Teen Pregnancy Rate (per 1000 teens)].[All]" allUniqueName="[Rich_Global_Condom_Usage_Dataset].[Teen Pregnancy Rate (per 1000 teens)].[All]" dimensionUniqueName="[Rich_Global_Condom_Usage_Dataset]" displayFolder="" count="0" memberValueDatatype="5" unbalanced="0"/>
    <cacheHierarchy uniqueName="[Rich_Global_Condom_Usage_Dataset].[HIV Prevention Awareness (%)]" caption="HIV Prevention Awareness (%)" attribute="1" defaultMemberUniqueName="[Rich_Global_Condom_Usage_Dataset].[HIV Prevention Awareness (%)].[All]" allUniqueName="[Rich_Global_Condom_Usage_Dataset].[HIV Prevention Awareness (%)].[All]" dimensionUniqueName="[Rich_Global_Condom_Usage_Dataset]" displayFolder="" count="0" memberValueDatatype="5" unbalanced="0"/>
    <cacheHierarchy uniqueName="[Rich_Global_Condom_Usage_Dataset].[Online Sales (%)]" caption="Online Sales (%)" attribute="1" defaultMemberUniqueName="[Rich_Global_Condom_Usage_Dataset].[Online Sales (%)].[All]" allUniqueName="[Rich_Global_Condom_Usage_Dataset].[Online Sales (%)].[All]" dimensionUniqueName="[Rich_Global_Condom_Usage_Dataset]" displayFolder="" count="0" memberValueDatatype="5" unbalanced="0"/>
    <cacheHierarchy uniqueName="[Rich_Global_Condom_Usage_Dataset].[Average Price per Condom (USD)]" caption="Average Price per Condom (USD)" attribute="1" defaultMemberUniqueName="[Rich_Global_Condom_Usage_Dataset].[Average Price per Condom (USD)].[All]" allUniqueName="[Rich_Global_Condom_Usage_Dataset].[Average Price per Condom (USD)].[All]" dimensionUniqueName="[Rich_Global_Condom_Usage_Dataset]" displayFolder="" count="0" memberValueDatatype="5" unbalanced="0"/>
    <cacheHierarchy uniqueName="[Rich_Global_Condom_Usage_Dataset].[Male vs Female Purchases (%)]" caption="Male vs Female Purchases (%)" attribute="1" defaultMemberUniqueName="[Rich_Global_Condom_Usage_Dataset].[Male vs Female Purchases (%)].[All]" allUniqueName="[Rich_Global_Condom_Usage_Dataset].[Male vs Female Purchases (%)].[All]" dimensionUniqueName="[Rich_Global_Condom_Usage_Dataset]" displayFolder="" count="0" memberValueDatatype="130" unbalanced="0"/>
    <cacheHierarchy uniqueName="[Rich_Global_Condom_Usage_Dataset].[Brand Dominance]" caption="Brand Dominance" attribute="1" defaultMemberUniqueName="[Rich_Global_Condom_Usage_Dataset].[Brand Dominance].[All]" allUniqueName="[Rich_Global_Condom_Usage_Dataset].[Brand Dominance].[All]" dimensionUniqueName="[Rich_Global_Condom_Usage_Dataset]" displayFolder="" count="0" memberValueDatatype="130" unbalanced="0"/>
    <cacheHierarchy uniqueName="[Rich_Global_Condom_Usage_Dataset].[Sex Education Programs (Yes/No)]" caption="Sex Education Programs (Yes/No)" attribute="1" defaultMemberUniqueName="[Rich_Global_Condom_Usage_Dataset].[Sex Education Programs (Yes/No)].[All]" allUniqueName="[Rich_Global_Condom_Usage_Dataset].[Sex Education Programs (Yes/No)].[All]" dimensionUniqueName="[Rich_Global_Condom_Usage_Dataset]" displayFolder="" count="0" memberValueDatatype="130" unbalanced="0"/>
    <cacheHierarchy uniqueName="[Rich_Global_Condom_Usage_Dataset].[male_percent]" caption="male_percent" attribute="1" defaultMemberUniqueName="[Rich_Global_Condom_Usage_Dataset].[male_percent].[All]" allUniqueName="[Rich_Global_Condom_Usage_Dataset].[male_percent].[All]" dimensionUniqueName="[Rich_Global_Condom_Usage_Dataset]" displayFolder="" count="0" memberValueDatatype="5" unbalanced="0"/>
    <cacheHierarchy uniqueName="[Rich_Global_Condom_Usage_Dataset].[female_percent]" caption="female_percent" attribute="1" defaultMemberUniqueName="[Rich_Global_Condom_Usage_Dataset].[female_percent].[All]" allUniqueName="[Rich_Global_Condom_Usage_Dataset].[female_percent].[All]" dimensionUniqueName="[Rich_Global_Condom_Usage_Dataset]" displayFolder="" count="0" memberValueDatatype="5" unbalanced="0"/>
    <cacheHierarchy uniqueName="[Measures].[__XL_Count Rich_Global_Condom_Usage_Dataset]" caption="__XL_Count Rich_Global_Condom_Usage_Dataset" measure="1" displayFolder="" measureGroup="Rich_Global_Condom_Usage_Dataset" count="0" hidden="1"/>
    <cacheHierarchy uniqueName="[Measures].[__No measures defined]" caption="__No measures defined" measure="1" displayFolder="" count="0" hidden="1"/>
    <cacheHierarchy uniqueName="[Measures].[Sum of Total Sales (Million Units)]" caption="Sum of Total Sales (Million Units)" measure="1" displayFolder="" measureGroup="Rich_Global_Condom_Usage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ket Revenue (Million USD)]" caption="Sum of Market Revenue (Million USD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ale_percent]" caption="Count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male_percent]" caption="Distinct Count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male_percent]" caption="Average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emale_percent]" caption="Sum of fe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emale_percent]" caption="Average of fe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een Pregnancy Rate (per 1000 teens)]" caption="Sum of Teen Pregnancy Rate (per 1000 teens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ost Popular Condom Type]" caption="Count of Most Popular Condom Type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ale_percent]" caption="Sum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Rich_Global_Condom_Usage_Dataset" uniqueName="[Rich_Global_Condom_Usage_Dataset]" caption="Rich_Global_Condom_Usage_Dataset"/>
  </dimensions>
  <measureGroups count="1">
    <measureGroup name="Rich_Global_Condom_Usage_Dataset" caption="Rich_Global_Condom_Usage_Datas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 Velasco" refreshedDate="45918.864766550927" createdVersion="5" refreshedVersion="8" minRefreshableVersion="3" recordCount="0" supportSubquery="1" supportAdvancedDrill="1" xr:uid="{F4D731C5-BF92-4B1B-A381-FE9D62F0D60E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ich_Global_Condom_Usage_Dataset].[Most Popular Condom Type].[Most Popular Condom Type]" caption="Most Popular Condom Type" numFmtId="0" hierarchy="6" level="1">
      <sharedItems count="4">
        <s v="Latex"/>
        <s v="Non-Latex"/>
        <s v="Textured"/>
        <s v="Ultra-Thin"/>
      </sharedItems>
    </cacheField>
    <cacheField name="[Measures].[Count of Most Popular Condom Type]" caption="Count of Most Popular Condom Type" numFmtId="0" hierarchy="29" level="32767"/>
  </cacheFields>
  <cacheHierarchies count="31">
    <cacheHierarchy uniqueName="[Rich_Global_Condom_Usage_Dataset].[Year]" caption="Year" attribute="1" defaultMemberUniqueName="[Rich_Global_Condom_Usage_Dataset].[Year].[All]" allUniqueName="[Rich_Global_Condom_Usage_Dataset].[Year].[All]" dimensionUniqueName="[Rich_Global_Condom_Usage_Dataset]" displayFolder="" count="0" memberValueDatatype="20" unbalanced="0"/>
    <cacheHierarchy uniqueName="[Rich_Global_Condom_Usage_Dataset].[Country]" caption="Country" attribute="1" defaultMemberUniqueName="[Rich_Global_Condom_Usage_Dataset].[Country].[All]" allUniqueName="[Rich_Global_Condom_Usage_Dataset].[Country].[All]" dimensionUniqueName="[Rich_Global_Condom_Usage_Dataset]" displayFolder="" count="0" memberValueDatatype="130" unbalanced="0"/>
    <cacheHierarchy uniqueName="[Rich_Global_Condom_Usage_Dataset].[Total Sales (Million Units)]" caption="Total Sales (Million Units)" attribute="1" defaultMemberUniqueName="[Rich_Global_Condom_Usage_Dataset].[Total Sales (Million Units)].[All]" allUniqueName="[Rich_Global_Condom_Usage_Dataset].[Total Sales (Million Units)].[All]" dimensionUniqueName="[Rich_Global_Condom_Usage_Dataset]" displayFolder="" count="0" memberValueDatatype="20" unbalanced="0"/>
    <cacheHierarchy uniqueName="[Rich_Global_Condom_Usage_Dataset].[Market Revenue (Million USD)]" caption="Market Revenue (Million USD)" attribute="1" defaultMemberUniqueName="[Rich_Global_Condom_Usage_Dataset].[Market Revenue (Million USD)].[All]" allUniqueName="[Rich_Global_Condom_Usage_Dataset].[Market Revenue (Million USD)].[All]" dimensionUniqueName="[Rich_Global_Condom_Usage_Dataset]" displayFolder="" count="0" memberValueDatatype="5" unbalanced="0"/>
    <cacheHierarchy uniqueName="[Rich_Global_Condom_Usage_Dataset].[Government Campaigns]" caption="Government Campaigns" attribute="1" defaultMemberUniqueName="[Rich_Global_Condom_Usage_Dataset].[Government Campaigns].[All]" allUniqueName="[Rich_Global_Condom_Usage_Dataset].[Government Campaigns].[All]" dimensionUniqueName="[Rich_Global_Condom_Usage_Dataset]" displayFolder="" count="0" memberValueDatatype="130" unbalanced="0"/>
    <cacheHierarchy uniqueName="[Rich_Global_Condom_Usage_Dataset].[Awareness Index (0-10)]" caption="Awareness Index (0-10)" attribute="1" defaultMemberUniqueName="[Rich_Global_Condom_Usage_Dataset].[Awareness Index (0-10)].[All]" allUniqueName="[Rich_Global_Condom_Usage_Dataset].[Awareness Index (0-10)].[All]" dimensionUniqueName="[Rich_Global_Condom_Usage_Dataset]" displayFolder="" count="0" memberValueDatatype="5" unbalanced="0"/>
    <cacheHierarchy uniqueName="[Rich_Global_Condom_Usage_Dataset].[Most Popular Condom Type]" caption="Most Popular Condom Type" attribute="1" defaultMemberUniqueName="[Rich_Global_Condom_Usage_Dataset].[Most Popular Condom Type].[All]" allUniqueName="[Rich_Global_Condom_Usage_Dataset].[Most Popular Condom Type].[All]" dimensionUniqueName="[Rich_Global_Condom_Usage_Dataset]" displayFolder="" count="2" memberValueDatatype="130" unbalanced="0">
      <fieldsUsage count="2">
        <fieldUsage x="-1"/>
        <fieldUsage x="0"/>
      </fieldsUsage>
    </cacheHierarchy>
    <cacheHierarchy uniqueName="[Rich_Global_Condom_Usage_Dataset].[Contraceptive Usage Rate (%)]" caption="Contraceptive Usage Rate (%)" attribute="1" defaultMemberUniqueName="[Rich_Global_Condom_Usage_Dataset].[Contraceptive Usage Rate (%)].[All]" allUniqueName="[Rich_Global_Condom_Usage_Dataset].[Contraceptive Usage Rate (%)].[All]" dimensionUniqueName="[Rich_Global_Condom_Usage_Dataset]" displayFolder="" count="0" memberValueDatatype="5" unbalanced="0"/>
    <cacheHierarchy uniqueName="[Rich_Global_Condom_Usage_Dataset].[Teen Pregnancy Rate (per 1000 teens)]" caption="Teen Pregnancy Rate (per 1000 teens)" attribute="1" defaultMemberUniqueName="[Rich_Global_Condom_Usage_Dataset].[Teen Pregnancy Rate (per 1000 teens)].[All]" allUniqueName="[Rich_Global_Condom_Usage_Dataset].[Teen Pregnancy Rate (per 1000 teens)].[All]" dimensionUniqueName="[Rich_Global_Condom_Usage_Dataset]" displayFolder="" count="0" memberValueDatatype="5" unbalanced="0"/>
    <cacheHierarchy uniqueName="[Rich_Global_Condom_Usage_Dataset].[HIV Prevention Awareness (%)]" caption="HIV Prevention Awareness (%)" attribute="1" defaultMemberUniqueName="[Rich_Global_Condom_Usage_Dataset].[HIV Prevention Awareness (%)].[All]" allUniqueName="[Rich_Global_Condom_Usage_Dataset].[HIV Prevention Awareness (%)].[All]" dimensionUniqueName="[Rich_Global_Condom_Usage_Dataset]" displayFolder="" count="0" memberValueDatatype="5" unbalanced="0"/>
    <cacheHierarchy uniqueName="[Rich_Global_Condom_Usage_Dataset].[Online Sales (%)]" caption="Online Sales (%)" attribute="1" defaultMemberUniqueName="[Rich_Global_Condom_Usage_Dataset].[Online Sales (%)].[All]" allUniqueName="[Rich_Global_Condom_Usage_Dataset].[Online Sales (%)].[All]" dimensionUniqueName="[Rich_Global_Condom_Usage_Dataset]" displayFolder="" count="0" memberValueDatatype="5" unbalanced="0"/>
    <cacheHierarchy uniqueName="[Rich_Global_Condom_Usage_Dataset].[Average Price per Condom (USD)]" caption="Average Price per Condom (USD)" attribute="1" defaultMemberUniqueName="[Rich_Global_Condom_Usage_Dataset].[Average Price per Condom (USD)].[All]" allUniqueName="[Rich_Global_Condom_Usage_Dataset].[Average Price per Condom (USD)].[All]" dimensionUniqueName="[Rich_Global_Condom_Usage_Dataset]" displayFolder="" count="0" memberValueDatatype="5" unbalanced="0"/>
    <cacheHierarchy uniqueName="[Rich_Global_Condom_Usage_Dataset].[Male vs Female Purchases (%)]" caption="Male vs Female Purchases (%)" attribute="1" defaultMemberUniqueName="[Rich_Global_Condom_Usage_Dataset].[Male vs Female Purchases (%)].[All]" allUniqueName="[Rich_Global_Condom_Usage_Dataset].[Male vs Female Purchases (%)].[All]" dimensionUniqueName="[Rich_Global_Condom_Usage_Dataset]" displayFolder="" count="0" memberValueDatatype="130" unbalanced="0"/>
    <cacheHierarchy uniqueName="[Rich_Global_Condom_Usage_Dataset].[Brand Dominance]" caption="Brand Dominance" attribute="1" defaultMemberUniqueName="[Rich_Global_Condom_Usage_Dataset].[Brand Dominance].[All]" allUniqueName="[Rich_Global_Condom_Usage_Dataset].[Brand Dominance].[All]" dimensionUniqueName="[Rich_Global_Condom_Usage_Dataset]" displayFolder="" count="0" memberValueDatatype="130" unbalanced="0"/>
    <cacheHierarchy uniqueName="[Rich_Global_Condom_Usage_Dataset].[Sex Education Programs (Yes/No)]" caption="Sex Education Programs (Yes/No)" attribute="1" defaultMemberUniqueName="[Rich_Global_Condom_Usage_Dataset].[Sex Education Programs (Yes/No)].[All]" allUniqueName="[Rich_Global_Condom_Usage_Dataset].[Sex Education Programs (Yes/No)].[All]" dimensionUniqueName="[Rich_Global_Condom_Usage_Dataset]" displayFolder="" count="0" memberValueDatatype="130" unbalanced="0"/>
    <cacheHierarchy uniqueName="[Rich_Global_Condom_Usage_Dataset].[male_percent]" caption="male_percent" attribute="1" defaultMemberUniqueName="[Rich_Global_Condom_Usage_Dataset].[male_percent].[All]" allUniqueName="[Rich_Global_Condom_Usage_Dataset].[male_percent].[All]" dimensionUniqueName="[Rich_Global_Condom_Usage_Dataset]" displayFolder="" count="0" memberValueDatatype="5" unbalanced="0"/>
    <cacheHierarchy uniqueName="[Rich_Global_Condom_Usage_Dataset].[female_percent]" caption="female_percent" attribute="1" defaultMemberUniqueName="[Rich_Global_Condom_Usage_Dataset].[female_percent].[All]" allUniqueName="[Rich_Global_Condom_Usage_Dataset].[female_percent].[All]" dimensionUniqueName="[Rich_Global_Condom_Usage_Dataset]" displayFolder="" count="0" memberValueDatatype="5" unbalanced="0"/>
    <cacheHierarchy uniqueName="[Measures].[__XL_Count Rich_Global_Condom_Usage_Dataset]" caption="__XL_Count Rich_Global_Condom_Usage_Dataset" measure="1" displayFolder="" measureGroup="Rich_Global_Condom_Usage_Dataset" count="0" hidden="1"/>
    <cacheHierarchy uniqueName="[Measures].[__No measures defined]" caption="__No measures defined" measure="1" displayFolder="" count="0" hidden="1"/>
    <cacheHierarchy uniqueName="[Measures].[Sum of Total Sales (Million Units)]" caption="Sum of Total Sales (Million Units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ket Revenue (Million USD)]" caption="Sum of Market Revenue (Million USD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ale_percent]" caption="Count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male_percent]" caption="Distinct Count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male_percent]" caption="Average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emale_percent]" caption="Sum of fe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emale_percent]" caption="Average of fe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een Pregnancy Rate (per 1000 teens)]" caption="Sum of Teen Pregnancy Rate (per 1000 teens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ost Popular Condom Type]" caption="Count of Most Popular Condom Type" measure="1" displayFolder="" measureGroup="Rich_Global_Condom_Usage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ale_percent]" caption="Sum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Rich_Global_Condom_Usage_Dataset" uniqueName="[Rich_Global_Condom_Usage_Dataset]" caption="Rich_Global_Condom_Usage_Dataset"/>
  </dimensions>
  <measureGroups count="1">
    <measureGroup name="Rich_Global_Condom_Usage_Dataset" caption="Rich_Global_Condom_Usage_Datase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22677096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 Velasco" refreshedDate="45918.850642245372" createdVersion="5" refreshedVersion="8" minRefreshableVersion="3" recordCount="0" supportSubquery="1" supportAdvancedDrill="1" xr:uid="{BD4AE0BD-419A-48FB-A6C3-F7A1676AF076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ich_Global_Condom_Usage_Dataset].[Country].[Country]" caption="Country" numFmtId="0" hierarchy="1" level="1">
      <sharedItems count="10">
        <s v="Australia"/>
        <s v="Brazil"/>
        <s v="China"/>
        <s v="France"/>
        <s v="Germany"/>
        <s v="India"/>
        <s v="Japan"/>
        <s v="South Africa"/>
        <s v="UK"/>
        <s v="USA"/>
      </sharedItems>
    </cacheField>
    <cacheField name="[Measures].[Sum of Total Sales (Million Units)]" caption="Sum of Total Sales (Million Units)" numFmtId="0" hierarchy="19" level="32767"/>
  </cacheFields>
  <cacheHierarchies count="31">
    <cacheHierarchy uniqueName="[Rich_Global_Condom_Usage_Dataset].[Year]" caption="Year" attribute="1" defaultMemberUniqueName="[Rich_Global_Condom_Usage_Dataset].[Year].[All]" allUniqueName="[Rich_Global_Condom_Usage_Dataset].[Year].[All]" dimensionUniqueName="[Rich_Global_Condom_Usage_Dataset]" displayFolder="" count="0" memberValueDatatype="20" unbalanced="0"/>
    <cacheHierarchy uniqueName="[Rich_Global_Condom_Usage_Dataset].[Country]" caption="Country" attribute="1" defaultMemberUniqueName="[Rich_Global_Condom_Usage_Dataset].[Country].[All]" allUniqueName="[Rich_Global_Condom_Usage_Dataset].[Country].[All]" dimensionUniqueName="[Rich_Global_Condom_Usage_Dataset]" displayFolder="" count="2" memberValueDatatype="130" unbalanced="0">
      <fieldsUsage count="2">
        <fieldUsage x="-1"/>
        <fieldUsage x="0"/>
      </fieldsUsage>
    </cacheHierarchy>
    <cacheHierarchy uniqueName="[Rich_Global_Condom_Usage_Dataset].[Total Sales (Million Units)]" caption="Total Sales (Million Units)" attribute="1" defaultMemberUniqueName="[Rich_Global_Condom_Usage_Dataset].[Total Sales (Million Units)].[All]" allUniqueName="[Rich_Global_Condom_Usage_Dataset].[Total Sales (Million Units)].[All]" dimensionUniqueName="[Rich_Global_Condom_Usage_Dataset]" displayFolder="" count="0" memberValueDatatype="20" unbalanced="0"/>
    <cacheHierarchy uniqueName="[Rich_Global_Condom_Usage_Dataset].[Market Revenue (Million USD)]" caption="Market Revenue (Million USD)" attribute="1" defaultMemberUniqueName="[Rich_Global_Condom_Usage_Dataset].[Market Revenue (Million USD)].[All]" allUniqueName="[Rich_Global_Condom_Usage_Dataset].[Market Revenue (Million USD)].[All]" dimensionUniqueName="[Rich_Global_Condom_Usage_Dataset]" displayFolder="" count="0" memberValueDatatype="5" unbalanced="0"/>
    <cacheHierarchy uniqueName="[Rich_Global_Condom_Usage_Dataset].[Government Campaigns]" caption="Government Campaigns" attribute="1" defaultMemberUniqueName="[Rich_Global_Condom_Usage_Dataset].[Government Campaigns].[All]" allUniqueName="[Rich_Global_Condom_Usage_Dataset].[Government Campaigns].[All]" dimensionUniqueName="[Rich_Global_Condom_Usage_Dataset]" displayFolder="" count="0" memberValueDatatype="130" unbalanced="0"/>
    <cacheHierarchy uniqueName="[Rich_Global_Condom_Usage_Dataset].[Awareness Index (0-10)]" caption="Awareness Index (0-10)" attribute="1" defaultMemberUniqueName="[Rich_Global_Condom_Usage_Dataset].[Awareness Index (0-10)].[All]" allUniqueName="[Rich_Global_Condom_Usage_Dataset].[Awareness Index (0-10)].[All]" dimensionUniqueName="[Rich_Global_Condom_Usage_Dataset]" displayFolder="" count="0" memberValueDatatype="5" unbalanced="0"/>
    <cacheHierarchy uniqueName="[Rich_Global_Condom_Usage_Dataset].[Most Popular Condom Type]" caption="Most Popular Condom Type" attribute="1" defaultMemberUniqueName="[Rich_Global_Condom_Usage_Dataset].[Most Popular Condom Type].[All]" allUniqueName="[Rich_Global_Condom_Usage_Dataset].[Most Popular Condom Type].[All]" dimensionUniqueName="[Rich_Global_Condom_Usage_Dataset]" displayFolder="" count="0" memberValueDatatype="130" unbalanced="0"/>
    <cacheHierarchy uniqueName="[Rich_Global_Condom_Usage_Dataset].[Contraceptive Usage Rate (%)]" caption="Contraceptive Usage Rate (%)" attribute="1" defaultMemberUniqueName="[Rich_Global_Condom_Usage_Dataset].[Contraceptive Usage Rate (%)].[All]" allUniqueName="[Rich_Global_Condom_Usage_Dataset].[Contraceptive Usage Rate (%)].[All]" dimensionUniqueName="[Rich_Global_Condom_Usage_Dataset]" displayFolder="" count="0" memberValueDatatype="5" unbalanced="0"/>
    <cacheHierarchy uniqueName="[Rich_Global_Condom_Usage_Dataset].[Teen Pregnancy Rate (per 1000 teens)]" caption="Teen Pregnancy Rate (per 1000 teens)" attribute="1" defaultMemberUniqueName="[Rich_Global_Condom_Usage_Dataset].[Teen Pregnancy Rate (per 1000 teens)].[All]" allUniqueName="[Rich_Global_Condom_Usage_Dataset].[Teen Pregnancy Rate (per 1000 teens)].[All]" dimensionUniqueName="[Rich_Global_Condom_Usage_Dataset]" displayFolder="" count="0" memberValueDatatype="5" unbalanced="0"/>
    <cacheHierarchy uniqueName="[Rich_Global_Condom_Usage_Dataset].[HIV Prevention Awareness (%)]" caption="HIV Prevention Awareness (%)" attribute="1" defaultMemberUniqueName="[Rich_Global_Condom_Usage_Dataset].[HIV Prevention Awareness (%)].[All]" allUniqueName="[Rich_Global_Condom_Usage_Dataset].[HIV Prevention Awareness (%)].[All]" dimensionUniqueName="[Rich_Global_Condom_Usage_Dataset]" displayFolder="" count="0" memberValueDatatype="5" unbalanced="0"/>
    <cacheHierarchy uniqueName="[Rich_Global_Condom_Usage_Dataset].[Online Sales (%)]" caption="Online Sales (%)" attribute="1" defaultMemberUniqueName="[Rich_Global_Condom_Usage_Dataset].[Online Sales (%)].[All]" allUniqueName="[Rich_Global_Condom_Usage_Dataset].[Online Sales (%)].[All]" dimensionUniqueName="[Rich_Global_Condom_Usage_Dataset]" displayFolder="" count="0" memberValueDatatype="5" unbalanced="0"/>
    <cacheHierarchy uniqueName="[Rich_Global_Condom_Usage_Dataset].[Average Price per Condom (USD)]" caption="Average Price per Condom (USD)" attribute="1" defaultMemberUniqueName="[Rich_Global_Condom_Usage_Dataset].[Average Price per Condom (USD)].[All]" allUniqueName="[Rich_Global_Condom_Usage_Dataset].[Average Price per Condom (USD)].[All]" dimensionUniqueName="[Rich_Global_Condom_Usage_Dataset]" displayFolder="" count="0" memberValueDatatype="5" unbalanced="0"/>
    <cacheHierarchy uniqueName="[Rich_Global_Condom_Usage_Dataset].[Male vs Female Purchases (%)]" caption="Male vs Female Purchases (%)" attribute="1" defaultMemberUniqueName="[Rich_Global_Condom_Usage_Dataset].[Male vs Female Purchases (%)].[All]" allUniqueName="[Rich_Global_Condom_Usage_Dataset].[Male vs Female Purchases (%)].[All]" dimensionUniqueName="[Rich_Global_Condom_Usage_Dataset]" displayFolder="" count="0" memberValueDatatype="130" unbalanced="0"/>
    <cacheHierarchy uniqueName="[Rich_Global_Condom_Usage_Dataset].[Brand Dominance]" caption="Brand Dominance" attribute="1" defaultMemberUniqueName="[Rich_Global_Condom_Usage_Dataset].[Brand Dominance].[All]" allUniqueName="[Rich_Global_Condom_Usage_Dataset].[Brand Dominance].[All]" dimensionUniqueName="[Rich_Global_Condom_Usage_Dataset]" displayFolder="" count="0" memberValueDatatype="130" unbalanced="0"/>
    <cacheHierarchy uniqueName="[Rich_Global_Condom_Usage_Dataset].[Sex Education Programs (Yes/No)]" caption="Sex Education Programs (Yes/No)" attribute="1" defaultMemberUniqueName="[Rich_Global_Condom_Usage_Dataset].[Sex Education Programs (Yes/No)].[All]" allUniqueName="[Rich_Global_Condom_Usage_Dataset].[Sex Education Programs (Yes/No)].[All]" dimensionUniqueName="[Rich_Global_Condom_Usage_Dataset]" displayFolder="" count="0" memberValueDatatype="130" unbalanced="0"/>
    <cacheHierarchy uniqueName="[Rich_Global_Condom_Usage_Dataset].[male_percent]" caption="male_percent" attribute="1" defaultMemberUniqueName="[Rich_Global_Condom_Usage_Dataset].[male_percent].[All]" allUniqueName="[Rich_Global_Condom_Usage_Dataset].[male_percent].[All]" dimensionUniqueName="[Rich_Global_Condom_Usage_Dataset]" displayFolder="" count="0" memberValueDatatype="5" unbalanced="0"/>
    <cacheHierarchy uniqueName="[Rich_Global_Condom_Usage_Dataset].[female_percent]" caption="female_percent" attribute="1" defaultMemberUniqueName="[Rich_Global_Condom_Usage_Dataset].[female_percent].[All]" allUniqueName="[Rich_Global_Condom_Usage_Dataset].[female_percent].[All]" dimensionUniqueName="[Rich_Global_Condom_Usage_Dataset]" displayFolder="" count="0" memberValueDatatype="5" unbalanced="0"/>
    <cacheHierarchy uniqueName="[Measures].[__XL_Count Rich_Global_Condom_Usage_Dataset]" caption="__XL_Count Rich_Global_Condom_Usage_Dataset" measure="1" displayFolder="" measureGroup="Rich_Global_Condom_Usage_Dataset" count="0" hidden="1"/>
    <cacheHierarchy uniqueName="[Measures].[__No measures defined]" caption="__No measures defined" measure="1" displayFolder="" count="0" hidden="1"/>
    <cacheHierarchy uniqueName="[Measures].[Sum of Total Sales (Million Units)]" caption="Sum of Total Sales (Million Units)" measure="1" displayFolder="" measureGroup="Rich_Global_Condom_Usage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ket Revenue (Million USD)]" caption="Sum of Market Revenue (Million USD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ale_percent]" caption="Count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male_percent]" caption="Distinct Count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male_percent]" caption="Average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emale_percent]" caption="Sum of fe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emale_percent]" caption="Average of fe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een Pregnancy Rate (per 1000 teens)]" caption="Sum of Teen Pregnancy Rate (per 1000 teens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ost Popular Condom Type]" caption="Count of Most Popular Condom Type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ale_percent]" caption="Sum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Rich_Global_Condom_Usage_Dataset" uniqueName="[Rich_Global_Condom_Usage_Dataset]" caption="Rich_Global_Condom_Usage_Dataset"/>
  </dimensions>
  <measureGroups count="1">
    <measureGroup name="Rich_Global_Condom_Usage_Dataset" caption="Rich_Global_Condom_Usage_Datase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33920760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 Velasco" refreshedDate="45918.850641435187" createdVersion="5" refreshedVersion="8" minRefreshableVersion="3" recordCount="0" supportSubquery="1" supportAdvancedDrill="1" xr:uid="{E18BD76A-1817-497F-AC33-BF67ED847D9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ich_Global_Condom_Usage_Dataset].[Country].[Country]" caption="Country" numFmtId="0" hierarchy="1" level="1">
      <sharedItems count="10">
        <s v="Australia"/>
        <s v="Brazil"/>
        <s v="China"/>
        <s v="France"/>
        <s v="Germany"/>
        <s v="India"/>
        <s v="Japan"/>
        <s v="South Africa"/>
        <s v="UK"/>
        <s v="USA"/>
      </sharedItems>
    </cacheField>
    <cacheField name="[Measures].[Sum of Total Sales (Million Units)]" caption="Sum of Total Sales (Million Units)" numFmtId="0" hierarchy="19" level="32767"/>
  </cacheFields>
  <cacheHierarchies count="31">
    <cacheHierarchy uniqueName="[Rich_Global_Condom_Usage_Dataset].[Year]" caption="Year" attribute="1" defaultMemberUniqueName="[Rich_Global_Condom_Usage_Dataset].[Year].[All]" allUniqueName="[Rich_Global_Condom_Usage_Dataset].[Year].[All]" dimensionUniqueName="[Rich_Global_Condom_Usage_Dataset]" displayFolder="" count="0" memberValueDatatype="20" unbalanced="0"/>
    <cacheHierarchy uniqueName="[Rich_Global_Condom_Usage_Dataset].[Country]" caption="Country" attribute="1" defaultMemberUniqueName="[Rich_Global_Condom_Usage_Dataset].[Country].[All]" allUniqueName="[Rich_Global_Condom_Usage_Dataset].[Country].[All]" dimensionUniqueName="[Rich_Global_Condom_Usage_Dataset]" displayFolder="" count="2" memberValueDatatype="130" unbalanced="0">
      <fieldsUsage count="2">
        <fieldUsage x="-1"/>
        <fieldUsage x="0"/>
      </fieldsUsage>
    </cacheHierarchy>
    <cacheHierarchy uniqueName="[Rich_Global_Condom_Usage_Dataset].[Total Sales (Million Units)]" caption="Total Sales (Million Units)" attribute="1" defaultMemberUniqueName="[Rich_Global_Condom_Usage_Dataset].[Total Sales (Million Units)].[All]" allUniqueName="[Rich_Global_Condom_Usage_Dataset].[Total Sales (Million Units)].[All]" dimensionUniqueName="[Rich_Global_Condom_Usage_Dataset]" displayFolder="" count="0" memberValueDatatype="20" unbalanced="0"/>
    <cacheHierarchy uniqueName="[Rich_Global_Condom_Usage_Dataset].[Market Revenue (Million USD)]" caption="Market Revenue (Million USD)" attribute="1" defaultMemberUniqueName="[Rich_Global_Condom_Usage_Dataset].[Market Revenue (Million USD)].[All]" allUniqueName="[Rich_Global_Condom_Usage_Dataset].[Market Revenue (Million USD)].[All]" dimensionUniqueName="[Rich_Global_Condom_Usage_Dataset]" displayFolder="" count="0" memberValueDatatype="5" unbalanced="0"/>
    <cacheHierarchy uniqueName="[Rich_Global_Condom_Usage_Dataset].[Government Campaigns]" caption="Government Campaigns" attribute="1" defaultMemberUniqueName="[Rich_Global_Condom_Usage_Dataset].[Government Campaigns].[All]" allUniqueName="[Rich_Global_Condom_Usage_Dataset].[Government Campaigns].[All]" dimensionUniqueName="[Rich_Global_Condom_Usage_Dataset]" displayFolder="" count="0" memberValueDatatype="130" unbalanced="0"/>
    <cacheHierarchy uniqueName="[Rich_Global_Condom_Usage_Dataset].[Awareness Index (0-10)]" caption="Awareness Index (0-10)" attribute="1" defaultMemberUniqueName="[Rich_Global_Condom_Usage_Dataset].[Awareness Index (0-10)].[All]" allUniqueName="[Rich_Global_Condom_Usage_Dataset].[Awareness Index (0-10)].[All]" dimensionUniqueName="[Rich_Global_Condom_Usage_Dataset]" displayFolder="" count="0" memberValueDatatype="5" unbalanced="0"/>
    <cacheHierarchy uniqueName="[Rich_Global_Condom_Usage_Dataset].[Most Popular Condom Type]" caption="Most Popular Condom Type" attribute="1" defaultMemberUniqueName="[Rich_Global_Condom_Usage_Dataset].[Most Popular Condom Type].[All]" allUniqueName="[Rich_Global_Condom_Usage_Dataset].[Most Popular Condom Type].[All]" dimensionUniqueName="[Rich_Global_Condom_Usage_Dataset]" displayFolder="" count="0" memberValueDatatype="130" unbalanced="0"/>
    <cacheHierarchy uniqueName="[Rich_Global_Condom_Usage_Dataset].[Contraceptive Usage Rate (%)]" caption="Contraceptive Usage Rate (%)" attribute="1" defaultMemberUniqueName="[Rich_Global_Condom_Usage_Dataset].[Contraceptive Usage Rate (%)].[All]" allUniqueName="[Rich_Global_Condom_Usage_Dataset].[Contraceptive Usage Rate (%)].[All]" dimensionUniqueName="[Rich_Global_Condom_Usage_Dataset]" displayFolder="" count="0" memberValueDatatype="5" unbalanced="0"/>
    <cacheHierarchy uniqueName="[Rich_Global_Condom_Usage_Dataset].[Teen Pregnancy Rate (per 1000 teens)]" caption="Teen Pregnancy Rate (per 1000 teens)" attribute="1" defaultMemberUniqueName="[Rich_Global_Condom_Usage_Dataset].[Teen Pregnancy Rate (per 1000 teens)].[All]" allUniqueName="[Rich_Global_Condom_Usage_Dataset].[Teen Pregnancy Rate (per 1000 teens)].[All]" dimensionUniqueName="[Rich_Global_Condom_Usage_Dataset]" displayFolder="" count="0" memberValueDatatype="5" unbalanced="0"/>
    <cacheHierarchy uniqueName="[Rich_Global_Condom_Usage_Dataset].[HIV Prevention Awareness (%)]" caption="HIV Prevention Awareness (%)" attribute="1" defaultMemberUniqueName="[Rich_Global_Condom_Usage_Dataset].[HIV Prevention Awareness (%)].[All]" allUniqueName="[Rich_Global_Condom_Usage_Dataset].[HIV Prevention Awareness (%)].[All]" dimensionUniqueName="[Rich_Global_Condom_Usage_Dataset]" displayFolder="" count="0" memberValueDatatype="5" unbalanced="0"/>
    <cacheHierarchy uniqueName="[Rich_Global_Condom_Usage_Dataset].[Online Sales (%)]" caption="Online Sales (%)" attribute="1" defaultMemberUniqueName="[Rich_Global_Condom_Usage_Dataset].[Online Sales (%)].[All]" allUniqueName="[Rich_Global_Condom_Usage_Dataset].[Online Sales (%)].[All]" dimensionUniqueName="[Rich_Global_Condom_Usage_Dataset]" displayFolder="" count="0" memberValueDatatype="5" unbalanced="0"/>
    <cacheHierarchy uniqueName="[Rich_Global_Condom_Usage_Dataset].[Average Price per Condom (USD)]" caption="Average Price per Condom (USD)" attribute="1" defaultMemberUniqueName="[Rich_Global_Condom_Usage_Dataset].[Average Price per Condom (USD)].[All]" allUniqueName="[Rich_Global_Condom_Usage_Dataset].[Average Price per Condom (USD)].[All]" dimensionUniqueName="[Rich_Global_Condom_Usage_Dataset]" displayFolder="" count="0" memberValueDatatype="5" unbalanced="0"/>
    <cacheHierarchy uniqueName="[Rich_Global_Condom_Usage_Dataset].[Male vs Female Purchases (%)]" caption="Male vs Female Purchases (%)" attribute="1" defaultMemberUniqueName="[Rich_Global_Condom_Usage_Dataset].[Male vs Female Purchases (%)].[All]" allUniqueName="[Rich_Global_Condom_Usage_Dataset].[Male vs Female Purchases (%)].[All]" dimensionUniqueName="[Rich_Global_Condom_Usage_Dataset]" displayFolder="" count="0" memberValueDatatype="130" unbalanced="0"/>
    <cacheHierarchy uniqueName="[Rich_Global_Condom_Usage_Dataset].[Brand Dominance]" caption="Brand Dominance" attribute="1" defaultMemberUniqueName="[Rich_Global_Condom_Usage_Dataset].[Brand Dominance].[All]" allUniqueName="[Rich_Global_Condom_Usage_Dataset].[Brand Dominance].[All]" dimensionUniqueName="[Rich_Global_Condom_Usage_Dataset]" displayFolder="" count="0" memberValueDatatype="130" unbalanced="0"/>
    <cacheHierarchy uniqueName="[Rich_Global_Condom_Usage_Dataset].[Sex Education Programs (Yes/No)]" caption="Sex Education Programs (Yes/No)" attribute="1" defaultMemberUniqueName="[Rich_Global_Condom_Usage_Dataset].[Sex Education Programs (Yes/No)].[All]" allUniqueName="[Rich_Global_Condom_Usage_Dataset].[Sex Education Programs (Yes/No)].[All]" dimensionUniqueName="[Rich_Global_Condom_Usage_Dataset]" displayFolder="" count="0" memberValueDatatype="130" unbalanced="0"/>
    <cacheHierarchy uniqueName="[Rich_Global_Condom_Usage_Dataset].[male_percent]" caption="male_percent" attribute="1" defaultMemberUniqueName="[Rich_Global_Condom_Usage_Dataset].[male_percent].[All]" allUniqueName="[Rich_Global_Condom_Usage_Dataset].[male_percent].[All]" dimensionUniqueName="[Rich_Global_Condom_Usage_Dataset]" displayFolder="" count="0" memberValueDatatype="5" unbalanced="0"/>
    <cacheHierarchy uniqueName="[Rich_Global_Condom_Usage_Dataset].[female_percent]" caption="female_percent" attribute="1" defaultMemberUniqueName="[Rich_Global_Condom_Usage_Dataset].[female_percent].[All]" allUniqueName="[Rich_Global_Condom_Usage_Dataset].[female_percent].[All]" dimensionUniqueName="[Rich_Global_Condom_Usage_Dataset]" displayFolder="" count="0" memberValueDatatype="5" unbalanced="0"/>
    <cacheHierarchy uniqueName="[Measures].[__XL_Count Rich_Global_Condom_Usage_Dataset]" caption="__XL_Count Rich_Global_Condom_Usage_Dataset" measure="1" displayFolder="" measureGroup="Rich_Global_Condom_Usage_Dataset" count="0" hidden="1"/>
    <cacheHierarchy uniqueName="[Measures].[__No measures defined]" caption="__No measures defined" measure="1" displayFolder="" count="0" hidden="1"/>
    <cacheHierarchy uniqueName="[Measures].[Sum of Total Sales (Million Units)]" caption="Sum of Total Sales (Million Units)" measure="1" displayFolder="" measureGroup="Rich_Global_Condom_Usage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ket Revenue (Million USD)]" caption="Sum of Market Revenue (Million USD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ale_percent]" caption="Count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male_percent]" caption="Distinct Count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male_percent]" caption="Average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emale_percent]" caption="Sum of fe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emale_percent]" caption="Average of fe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een Pregnancy Rate (per 1000 teens)]" caption="Sum of Teen Pregnancy Rate (per 1000 teens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ost Popular Condom Type]" caption="Count of Most Popular Condom Type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ale_percent]" caption="Sum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Rich_Global_Condom_Usage_Dataset" uniqueName="[Rich_Global_Condom_Usage_Dataset]" caption="Rich_Global_Condom_Usage_Dataset"/>
  </dimensions>
  <measureGroups count="1">
    <measureGroup name="Rich_Global_Condom_Usage_Dataset" caption="Rich_Global_Condom_Usage_Datase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0958079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 Velasco" refreshedDate="45918.868945138885" createdVersion="5" refreshedVersion="8" minRefreshableVersion="3" recordCount="0" supportSubquery="1" supportAdvancedDrill="1" xr:uid="{C0014D25-30CE-43B0-8A74-88C60279DD7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ich_Global_Condom_Usage_Dataset].[Country].[Country]" caption="Country" numFmtId="0" hierarchy="1" level="1">
      <sharedItems count="10">
        <s v="Australia"/>
        <s v="Brazil"/>
        <s v="China"/>
        <s v="France"/>
        <s v="Germany"/>
        <s v="India"/>
        <s v="Japan"/>
        <s v="South Africa"/>
        <s v="UK"/>
        <s v="USA"/>
      </sharedItems>
    </cacheField>
    <cacheField name="[Measures].[Average of male_percent]" caption="Average of male_percent" numFmtId="0" hierarchy="25" level="32767"/>
    <cacheField name="[Measures].[Average of female_percent]" caption="Average of female_percent" numFmtId="0" hierarchy="27" level="32767"/>
  </cacheFields>
  <cacheHierarchies count="31">
    <cacheHierarchy uniqueName="[Rich_Global_Condom_Usage_Dataset].[Year]" caption="Year" attribute="1" defaultMemberUniqueName="[Rich_Global_Condom_Usage_Dataset].[Year].[All]" allUniqueName="[Rich_Global_Condom_Usage_Dataset].[Year].[All]" dimensionUniqueName="[Rich_Global_Condom_Usage_Dataset]" displayFolder="" count="0" memberValueDatatype="20" unbalanced="0"/>
    <cacheHierarchy uniqueName="[Rich_Global_Condom_Usage_Dataset].[Country]" caption="Country" attribute="1" defaultMemberUniqueName="[Rich_Global_Condom_Usage_Dataset].[Country].[All]" allUniqueName="[Rich_Global_Condom_Usage_Dataset].[Country].[All]" dimensionUniqueName="[Rich_Global_Condom_Usage_Dataset]" displayFolder="" count="2" memberValueDatatype="130" unbalanced="0">
      <fieldsUsage count="2">
        <fieldUsage x="-1"/>
        <fieldUsage x="0"/>
      </fieldsUsage>
    </cacheHierarchy>
    <cacheHierarchy uniqueName="[Rich_Global_Condom_Usage_Dataset].[Total Sales (Million Units)]" caption="Total Sales (Million Units)" attribute="1" defaultMemberUniqueName="[Rich_Global_Condom_Usage_Dataset].[Total Sales (Million Units)].[All]" allUniqueName="[Rich_Global_Condom_Usage_Dataset].[Total Sales (Million Units)].[All]" dimensionUniqueName="[Rich_Global_Condom_Usage_Dataset]" displayFolder="" count="0" memberValueDatatype="20" unbalanced="0"/>
    <cacheHierarchy uniqueName="[Rich_Global_Condom_Usage_Dataset].[Market Revenue (Million USD)]" caption="Market Revenue (Million USD)" attribute="1" defaultMemberUniqueName="[Rich_Global_Condom_Usage_Dataset].[Market Revenue (Million USD)].[All]" allUniqueName="[Rich_Global_Condom_Usage_Dataset].[Market Revenue (Million USD)].[All]" dimensionUniqueName="[Rich_Global_Condom_Usage_Dataset]" displayFolder="" count="0" memberValueDatatype="5" unbalanced="0"/>
    <cacheHierarchy uniqueName="[Rich_Global_Condom_Usage_Dataset].[Government Campaigns]" caption="Government Campaigns" attribute="1" defaultMemberUniqueName="[Rich_Global_Condom_Usage_Dataset].[Government Campaigns].[All]" allUniqueName="[Rich_Global_Condom_Usage_Dataset].[Government Campaigns].[All]" dimensionUniqueName="[Rich_Global_Condom_Usage_Dataset]" displayFolder="" count="0" memberValueDatatype="130" unbalanced="0"/>
    <cacheHierarchy uniqueName="[Rich_Global_Condom_Usage_Dataset].[Awareness Index (0-10)]" caption="Awareness Index (0-10)" attribute="1" defaultMemberUniqueName="[Rich_Global_Condom_Usage_Dataset].[Awareness Index (0-10)].[All]" allUniqueName="[Rich_Global_Condom_Usage_Dataset].[Awareness Index (0-10)].[All]" dimensionUniqueName="[Rich_Global_Condom_Usage_Dataset]" displayFolder="" count="0" memberValueDatatype="5" unbalanced="0"/>
    <cacheHierarchy uniqueName="[Rich_Global_Condom_Usage_Dataset].[Most Popular Condom Type]" caption="Most Popular Condom Type" attribute="1" defaultMemberUniqueName="[Rich_Global_Condom_Usage_Dataset].[Most Popular Condom Type].[All]" allUniqueName="[Rich_Global_Condom_Usage_Dataset].[Most Popular Condom Type].[All]" dimensionUniqueName="[Rich_Global_Condom_Usage_Dataset]" displayFolder="" count="0" memberValueDatatype="130" unbalanced="0"/>
    <cacheHierarchy uniqueName="[Rich_Global_Condom_Usage_Dataset].[Contraceptive Usage Rate (%)]" caption="Contraceptive Usage Rate (%)" attribute="1" defaultMemberUniqueName="[Rich_Global_Condom_Usage_Dataset].[Contraceptive Usage Rate (%)].[All]" allUniqueName="[Rich_Global_Condom_Usage_Dataset].[Contraceptive Usage Rate (%)].[All]" dimensionUniqueName="[Rich_Global_Condom_Usage_Dataset]" displayFolder="" count="0" memberValueDatatype="5" unbalanced="0"/>
    <cacheHierarchy uniqueName="[Rich_Global_Condom_Usage_Dataset].[Teen Pregnancy Rate (per 1000 teens)]" caption="Teen Pregnancy Rate (per 1000 teens)" attribute="1" defaultMemberUniqueName="[Rich_Global_Condom_Usage_Dataset].[Teen Pregnancy Rate (per 1000 teens)].[All]" allUniqueName="[Rich_Global_Condom_Usage_Dataset].[Teen Pregnancy Rate (per 1000 teens)].[All]" dimensionUniqueName="[Rich_Global_Condom_Usage_Dataset]" displayFolder="" count="0" memberValueDatatype="5" unbalanced="0"/>
    <cacheHierarchy uniqueName="[Rich_Global_Condom_Usage_Dataset].[HIV Prevention Awareness (%)]" caption="HIV Prevention Awareness (%)" attribute="1" defaultMemberUniqueName="[Rich_Global_Condom_Usage_Dataset].[HIV Prevention Awareness (%)].[All]" allUniqueName="[Rich_Global_Condom_Usage_Dataset].[HIV Prevention Awareness (%)].[All]" dimensionUniqueName="[Rich_Global_Condom_Usage_Dataset]" displayFolder="" count="0" memberValueDatatype="5" unbalanced="0"/>
    <cacheHierarchy uniqueName="[Rich_Global_Condom_Usage_Dataset].[Online Sales (%)]" caption="Online Sales (%)" attribute="1" defaultMemberUniqueName="[Rich_Global_Condom_Usage_Dataset].[Online Sales (%)].[All]" allUniqueName="[Rich_Global_Condom_Usage_Dataset].[Online Sales (%)].[All]" dimensionUniqueName="[Rich_Global_Condom_Usage_Dataset]" displayFolder="" count="0" memberValueDatatype="5" unbalanced="0"/>
    <cacheHierarchy uniqueName="[Rich_Global_Condom_Usage_Dataset].[Average Price per Condom (USD)]" caption="Average Price per Condom (USD)" attribute="1" defaultMemberUniqueName="[Rich_Global_Condom_Usage_Dataset].[Average Price per Condom (USD)].[All]" allUniqueName="[Rich_Global_Condom_Usage_Dataset].[Average Price per Condom (USD)].[All]" dimensionUniqueName="[Rich_Global_Condom_Usage_Dataset]" displayFolder="" count="0" memberValueDatatype="5" unbalanced="0"/>
    <cacheHierarchy uniqueName="[Rich_Global_Condom_Usage_Dataset].[Male vs Female Purchases (%)]" caption="Male vs Female Purchases (%)" attribute="1" defaultMemberUniqueName="[Rich_Global_Condom_Usage_Dataset].[Male vs Female Purchases (%)].[All]" allUniqueName="[Rich_Global_Condom_Usage_Dataset].[Male vs Female Purchases (%)].[All]" dimensionUniqueName="[Rich_Global_Condom_Usage_Dataset]" displayFolder="" count="0" memberValueDatatype="130" unbalanced="0"/>
    <cacheHierarchy uniqueName="[Rich_Global_Condom_Usage_Dataset].[Brand Dominance]" caption="Brand Dominance" attribute="1" defaultMemberUniqueName="[Rich_Global_Condom_Usage_Dataset].[Brand Dominance].[All]" allUniqueName="[Rich_Global_Condom_Usage_Dataset].[Brand Dominance].[All]" dimensionUniqueName="[Rich_Global_Condom_Usage_Dataset]" displayFolder="" count="0" memberValueDatatype="130" unbalanced="0"/>
    <cacheHierarchy uniqueName="[Rich_Global_Condom_Usage_Dataset].[Sex Education Programs (Yes/No)]" caption="Sex Education Programs (Yes/No)" attribute="1" defaultMemberUniqueName="[Rich_Global_Condom_Usage_Dataset].[Sex Education Programs (Yes/No)].[All]" allUniqueName="[Rich_Global_Condom_Usage_Dataset].[Sex Education Programs (Yes/No)].[All]" dimensionUniqueName="[Rich_Global_Condom_Usage_Dataset]" displayFolder="" count="0" memberValueDatatype="130" unbalanced="0"/>
    <cacheHierarchy uniqueName="[Rich_Global_Condom_Usage_Dataset].[male_percent]" caption="male_percent" attribute="1" defaultMemberUniqueName="[Rich_Global_Condom_Usage_Dataset].[male_percent].[All]" allUniqueName="[Rich_Global_Condom_Usage_Dataset].[male_percent].[All]" dimensionUniqueName="[Rich_Global_Condom_Usage_Dataset]" displayFolder="" count="0" memberValueDatatype="5" unbalanced="0"/>
    <cacheHierarchy uniqueName="[Rich_Global_Condom_Usage_Dataset].[female_percent]" caption="female_percent" attribute="1" defaultMemberUniqueName="[Rich_Global_Condom_Usage_Dataset].[female_percent].[All]" allUniqueName="[Rich_Global_Condom_Usage_Dataset].[female_percent].[All]" dimensionUniqueName="[Rich_Global_Condom_Usage_Dataset]" displayFolder="" count="0" memberValueDatatype="5" unbalanced="0"/>
    <cacheHierarchy uniqueName="[Measures].[__XL_Count Rich_Global_Condom_Usage_Dataset]" caption="__XL_Count Rich_Global_Condom_Usage_Dataset" measure="1" displayFolder="" measureGroup="Rich_Global_Condom_Usage_Dataset" count="0" hidden="1"/>
    <cacheHierarchy uniqueName="[Measures].[__No measures defined]" caption="__No measures defined" measure="1" displayFolder="" count="0" hidden="1"/>
    <cacheHierarchy uniqueName="[Measures].[Sum of Total Sales (Million Units)]" caption="Sum of Total Sales (Million Units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ket Revenue (Million USD)]" caption="Sum of Market Revenue (Million USD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ountry]" caption="Count of Country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ale_percent]" caption="Count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male_percent]" caption="Distinct Count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male_percent]" caption="Average of male_percent" measure="1" displayFolder="" measureGroup="Rich_Global_Condom_Usage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female_percent]" caption="Sum of fe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female_percent]" caption="Average of female_percent" measure="1" displayFolder="" measureGroup="Rich_Global_Condom_Usage_Datas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een Pregnancy Rate (per 1000 teens)]" caption="Sum of Teen Pregnancy Rate (per 1000 teens)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ost Popular Condom Type]" caption="Count of Most Popular Condom Type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ale_percent]" caption="Sum of male_percent" measure="1" displayFolder="" measureGroup="Rich_Global_Condom_Usage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2">
    <dimension measure="1" name="Measures" uniqueName="[Measures]" caption="Measures"/>
    <dimension name="Rich_Global_Condom_Usage_Dataset" uniqueName="[Rich_Global_Condom_Usage_Dataset]" caption="Rich_Global_Condom_Usage_Dataset"/>
  </dimensions>
  <measureGroups count="1">
    <measureGroup name="Rich_Global_Condom_Usage_Dataset" caption="Rich_Global_Condom_Usage_Datase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92725776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33CA0-32F4-4502-ADE8-CAD68502D497}" name="PivotChartTable5" cacheId="29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71">
  <location ref="A1:C12" firstHeaderRow="0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male_percent" fld="1" subtotal="average" baseField="0" baseItem="0"/>
    <dataField name="female_percent" fld="2" subtotal="average" baseField="0" baseItem="0"/>
  </dataFields>
  <chartFormats count="2">
    <chartFormat chart="62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le_percent"/>
    <pivotHierarchy dragToData="1"/>
    <pivotHierarchy dragToData="1" caption="female_percent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2" cacheId="1927257765">
        <x15:pivotRow count="2">
          <x15:c>
            <x15:v>60.036363636363639</x15:v>
          </x15:c>
          <x15:c>
            <x15:v>39.690909090909088</x15:v>
          </x15:c>
        </x15:pivotRow>
        <x15:pivotRow count="2">
          <x15:c>
            <x15:v>62.290909090909089</x15:v>
          </x15:c>
          <x15:c>
            <x15:v>38.872727272727275</x15:v>
          </x15:c>
        </x15:pivotRow>
        <x15:pivotRow count="2">
          <x15:c>
            <x15:v>58.127272727272725</x15:v>
          </x15:c>
          <x15:c>
            <x15:v>41.581818181818178</x15:v>
          </x15:c>
        </x15:pivotRow>
        <x15:pivotRow count="2">
          <x15:c>
            <x15:v>62.581818181818178</x15:v>
          </x15:c>
          <x15:c>
            <x15:v>40.545454545454547</x15:v>
          </x15:c>
        </x15:pivotRow>
        <x15:pivotRow count="2">
          <x15:c>
            <x15:v>59.963636363636361</x15:v>
          </x15:c>
          <x15:c>
            <x15:v>39.6</x15:v>
          </x15:c>
        </x15:pivotRow>
        <x15:pivotRow count="2">
          <x15:c>
            <x15:v>64.345454545454544</x15:v>
          </x15:c>
          <x15:c>
            <x15:v>42.345454545454544</x15:v>
          </x15:c>
        </x15:pivotRow>
        <x15:pivotRow count="2">
          <x15:c>
            <x15:v>59.454545454545453</x15:v>
          </x15:c>
          <x15:c>
            <x15:v>39.909090909090907</x15:v>
          </x15:c>
        </x15:pivotRow>
        <x15:pivotRow count="2">
          <x15:c>
            <x15:v>58.945454545454545</x15:v>
          </x15:c>
          <x15:c>
            <x15:v>43.727272727272727</x15:v>
          </x15:c>
        </x15:pivotRow>
        <x15:pivotRow count="2">
          <x15:c>
            <x15:v>57.745454545454542</x15:v>
          </x15:c>
          <x15:c>
            <x15:v>39.81818181818182</x15:v>
          </x15:c>
        </x15:pivotRow>
        <x15:pivotRow count="2">
          <x15:c>
            <x15:v>58.690909090909088</x15:v>
          </x15:c>
          <x15:c>
            <x15:v>41.618181818181817</x15:v>
          </x15:c>
        </x15:pivotRow>
        <x15:pivotRow count="2">
          <x15:c>
            <x15:v>60.218181818181819</x15:v>
          </x15:c>
          <x15:c>
            <x15:v>40.770909090909093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ch_Global_Condom_Usag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33CA0-32F4-4502-ADE8-CAD68502D497}" name="PivotChartTable4" cacheId="27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61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ost Popular Condom Type" fld="1" subtotal="count" baseField="0" baseItem="0"/>
  </dataFields>
  <chartFormats count="1">
    <chartFormat chart="56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1226770966">
        <x15:pivotRow count="1">
          <x15:c>
            <x15:v>126</x15:v>
          </x15:c>
        </x15:pivotRow>
        <x15:pivotRow count="1">
          <x15:c>
            <x15:v>126</x15:v>
          </x15:c>
        </x15:pivotRow>
        <x15:pivotRow count="1">
          <x15:c>
            <x15:v>158</x15:v>
          </x15:c>
        </x15:pivotRow>
        <x15:pivotRow count="1">
          <x15:c>
            <x15:v>140</x15:v>
          </x15:c>
        </x15:pivotRow>
        <x15:pivotRow count="1">
          <x15:c>
            <x15:v>550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ch_Global_Condom_Usag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33CA0-32F4-4502-ADE8-CAD68502D497}" name="PivotChartTable1" cacheId="27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20">
  <location ref="A1:B12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Sales (Million Units)" fld="1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1" cacheId="1339207604">
        <x15:pivotRow count="1">
          <x15:c>
            <x15:v>57619</x15:v>
          </x15:c>
        </x15:pivotRow>
        <x15:pivotRow count="1">
          <x15:c>
            <x15:v>70648</x15:v>
          </x15:c>
        </x15:pivotRow>
        <x15:pivotRow count="1">
          <x15:c>
            <x15:v>70390</x15:v>
          </x15:c>
        </x15:pivotRow>
        <x15:pivotRow count="1">
          <x15:c>
            <x15:v>61512</x15:v>
          </x15:c>
        </x15:pivotRow>
        <x15:pivotRow count="1">
          <x15:c>
            <x15:v>67692</x15:v>
          </x15:c>
        </x15:pivotRow>
        <x15:pivotRow count="1">
          <x15:c>
            <x15:v>60771</x15:v>
          </x15:c>
        </x15:pivotRow>
        <x15:pivotRow count="1">
          <x15:c>
            <x15:v>64851</x15:v>
          </x15:c>
        </x15:pivotRow>
        <x15:pivotRow count="1">
          <x15:c>
            <x15:v>65922</x15:v>
          </x15:c>
        </x15:pivotRow>
        <x15:pivotRow count="1">
          <x15:c>
            <x15:v>74583</x15:v>
          </x15:c>
        </x15:pivotRow>
        <x15:pivotRow count="1">
          <x15:c>
            <x15:v>75830</x15:v>
          </x15:c>
        </x15:pivotRow>
        <x15:pivotRow count="1">
          <x15:c>
            <x15:v>669818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ch_Global_Condom_Usag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33CA0-32F4-4502-ADE8-CAD68502D497}" name="PivotChartTable3" cacheId="27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55">
  <location ref="A1:B12" firstHeaderRow="1" firstDataRow="1" firstDataCol="1"/>
  <pivotFields count="2"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/>
    </i>
    <i>
      <x v="5"/>
    </i>
    <i>
      <x v="3"/>
    </i>
    <i>
      <x v="6"/>
    </i>
    <i>
      <x v="7"/>
    </i>
    <i>
      <x v="4"/>
    </i>
    <i>
      <x v="2"/>
    </i>
    <i>
      <x v="1"/>
    </i>
    <i>
      <x v="8"/>
    </i>
    <i>
      <x v="9"/>
    </i>
    <i t="grand">
      <x/>
    </i>
  </rowItems>
  <colItems count="1">
    <i/>
  </colItems>
  <dataFields count="1">
    <dataField name="Sum of Total Sales (Million Units)" fld="1" baseField="0" baseItem="0"/>
  </dataFields>
  <chartFormats count="1">
    <chartFormat chart="16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1" cacheId="2095807940">
        <x15:pivotRow count="1">
          <x15:c>
            <x15:v>57619</x15:v>
          </x15:c>
        </x15:pivotRow>
        <x15:pivotRow count="1">
          <x15:c>
            <x15:v>60771</x15:v>
          </x15:c>
        </x15:pivotRow>
        <x15:pivotRow count="1">
          <x15:c>
            <x15:v>61512</x15:v>
          </x15:c>
        </x15:pivotRow>
        <x15:pivotRow count="1">
          <x15:c>
            <x15:v>64851</x15:v>
          </x15:c>
        </x15:pivotRow>
        <x15:pivotRow count="1">
          <x15:c>
            <x15:v>65922</x15:v>
          </x15:c>
        </x15:pivotRow>
        <x15:pivotRow count="1">
          <x15:c>
            <x15:v>67692</x15:v>
          </x15:c>
        </x15:pivotRow>
        <x15:pivotRow count="1">
          <x15:c>
            <x15:v>70390</x15:v>
          </x15:c>
        </x15:pivotRow>
        <x15:pivotRow count="1">
          <x15:c>
            <x15:v>70648</x15:v>
          </x15:c>
        </x15:pivotRow>
        <x15:pivotRow count="1">
          <x15:c>
            <x15:v>74583</x15:v>
          </x15:c>
        </x15:pivotRow>
        <x15:pivotRow count="1">
          <x15:c>
            <x15:v>75830</x15:v>
          </x15:c>
        </x15:pivotRow>
        <x15:pivotRow count="1">
          <x15:c>
            <x15:v>669818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ch_Global_Condom_Usag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1A02A-756F-4412-BBDD-041B220F8B68}" name="PivotTable4" cacheId="268" applyNumberFormats="0" applyBorderFormats="0" applyFontFormats="0" applyPatternFormats="0" applyAlignmentFormats="0" applyWidthHeightFormats="1" dataCaption="Values" tag="28eee72c-db37-42d9-b8e9-2b070d3ac3f3" updatedVersion="8" minRefreshableVersion="3" useAutoFormatting="1" itemPrintTitles="1" createdVersion="5" indent="0" outline="1" outlineData="1" multipleFieldFilters="0">
  <location ref="A50:M56" firstHeaderRow="1" firstDataRow="2" firstDataCol="1"/>
  <pivotFields count="3">
    <pivotField axis="axisCol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5">
    <i>
      <x v="2"/>
    </i>
    <i>
      <x v="3"/>
    </i>
    <i>
      <x/>
    </i>
    <i>
      <x v="1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 Sales (Million Units)" fld="2" baseField="0" baseItem="0" numFmtId="3"/>
  </dataFields>
  <formats count="5">
    <format dxfId="210">
      <pivotArea grandRow="1" outline="0" collapsedLevelsAreSubtotals="1" fieldPosition="0"/>
    </format>
    <format dxfId="209">
      <pivotArea outline="0" collapsedLevelsAreSubtotals="1" fieldPosition="0"/>
    </format>
    <format dxfId="208">
      <pivotArea dataOnly="0" labelOnly="1" fieldPosition="0">
        <references count="1">
          <reference field="0" count="0"/>
        </references>
      </pivotArea>
    </format>
    <format dxfId="207">
      <pivotArea dataOnly="0" labelOnly="1" grandCol="1" outline="0" fieldPosition="0"/>
    </format>
    <format dxfId="206">
      <pivotArea outline="0" collapsedLevelsAreSubtotals="1" fieldPosition="0"/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ch_Global_Condom_Usag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3F29B-D5C6-490E-8281-D7F5F5E59ADF}" name="PivotTable3" cacheId="269" applyNumberFormats="0" applyBorderFormats="0" applyFontFormats="0" applyPatternFormats="0" applyAlignmentFormats="0" applyWidthHeightFormats="1" dataCaption="Values" tag="4391daea-2b99-46e6-9bb0-c050f0e83e68" updatedVersion="8" minRefreshableVersion="3" useAutoFormatting="1" itemPrintTitles="1" createdVersion="5" indent="0" outline="1" outlineData="1" multipleFieldFilters="0">
  <location ref="A41:M47" firstHeaderRow="1" firstDataRow="2" firstDataCol="1"/>
  <pivotFields count="3">
    <pivotField axis="axisCol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5">
    <i>
      <x v="2"/>
    </i>
    <i>
      <x v="3"/>
    </i>
    <i>
      <x/>
    </i>
    <i>
      <x v="1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 Sales (Million Units)" fld="2" baseField="0" baseItem="0" numFmtId="3"/>
  </dataFields>
  <formats count="5">
    <format dxfId="215">
      <pivotArea grandRow="1" outline="0" collapsedLevelsAreSubtotals="1" fieldPosition="0"/>
    </format>
    <format dxfId="214">
      <pivotArea outline="0" collapsedLevelsAreSubtotals="1" fieldPosition="0"/>
    </format>
    <format dxfId="213">
      <pivotArea dataOnly="0" labelOnly="1" fieldPosition="0">
        <references count="1">
          <reference field="0" count="0"/>
        </references>
      </pivotArea>
    </format>
    <format dxfId="212">
      <pivotArea dataOnly="0" labelOnly="1" grandCol="1" outline="0" fieldPosition="0"/>
    </format>
    <format dxfId="211">
      <pivotArea outline="0" collapsedLevelsAreSubtotals="1" fieldPosition="0"/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ch_Global_Condom_Usag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89FBE-7C17-4697-BFCD-C849EA3C0316}" name="PivotTable2" cacheId="270" applyNumberFormats="0" applyBorderFormats="0" applyFontFormats="0" applyPatternFormats="0" applyAlignmentFormats="0" applyWidthHeightFormats="1" dataCaption="Values" tag="c01e16c0-fb97-4291-a27d-46bae3f1c999" updatedVersion="8" minRefreshableVersion="3" useAutoFormatting="1" itemPrintTitles="1" createdVersion="5" indent="0" outline="1" outlineData="1" multipleFieldFilters="0">
  <location ref="A27:M39" firstHeaderRow="1" firstDataRow="2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1">
    <i>
      <x v="8"/>
    </i>
    <i>
      <x v="1"/>
    </i>
    <i>
      <x v="9"/>
    </i>
    <i>
      <x v="4"/>
    </i>
    <i>
      <x v="2"/>
    </i>
    <i>
      <x v="7"/>
    </i>
    <i>
      <x v="5"/>
    </i>
    <i>
      <x v="3"/>
    </i>
    <i>
      <x v="6"/>
    </i>
    <i>
      <x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Market Revenue (Million USD)" fld="2" baseField="0" baseItem="0"/>
  </dataFields>
  <formats count="5">
    <format dxfId="220">
      <pivotArea collapsedLevelsAreSubtotals="1" fieldPosition="0">
        <references count="1">
          <reference field="0" count="0"/>
        </references>
      </pivotArea>
    </format>
    <format dxfId="219">
      <pivotArea grandRow="1" outline="0" collapsedLevelsAreSubtotals="1" fieldPosition="0"/>
    </format>
    <format dxfId="218">
      <pivotArea outline="0" collapsedLevelsAreSubtotals="1" fieldPosition="0"/>
    </format>
    <format dxfId="217">
      <pivotArea dataOnly="0" labelOnly="1" fieldPosition="0">
        <references count="1">
          <reference field="1" count="0"/>
        </references>
      </pivotArea>
    </format>
    <format dxfId="216">
      <pivotArea dataOnly="0" labelOnly="1" grandCol="1" outline="0" fieldPosition="0"/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ch_Global_Condom_Usag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6E895-C0F9-42E8-8111-55FB3EF16E2F}" name="PivotTable1" cacheId="271" applyNumberFormats="0" applyBorderFormats="0" applyFontFormats="0" applyPatternFormats="0" applyAlignmentFormats="0" applyWidthHeightFormats="1" dataCaption="Values" tag="54b04459-1af9-4296-aba1-6cf05a671937" updatedVersion="8" minRefreshableVersion="3" useAutoFormatting="1" itemPrintTitles="1" createdVersion="5" indent="0" outline="1" outlineData="1" multipleFieldFilters="0">
  <location ref="A10:M22" firstHeaderRow="1" firstDataRow="2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0"/>
  </rowFields>
  <rowItems count="11">
    <i>
      <x v="9"/>
    </i>
    <i>
      <x v="8"/>
    </i>
    <i>
      <x v="1"/>
    </i>
    <i>
      <x v="2"/>
    </i>
    <i>
      <x v="4"/>
    </i>
    <i>
      <x v="7"/>
    </i>
    <i>
      <x v="6"/>
    </i>
    <i>
      <x v="3"/>
    </i>
    <i>
      <x v="5"/>
    </i>
    <i>
      <x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 Sales (Million Units)" fld="1" baseField="0" baseItem="0" numFmtId="3"/>
  </dataFields>
  <formats count="5">
    <format dxfId="225">
      <pivotArea collapsedLevelsAreSubtotals="1" fieldPosition="0">
        <references count="1">
          <reference field="0" count="0"/>
        </references>
      </pivotArea>
    </format>
    <format dxfId="224">
      <pivotArea outline="0" collapsedLevelsAreSubtotals="1" fieldPosition="0"/>
    </format>
    <format dxfId="223">
      <pivotArea outline="0" collapsedLevelsAreSubtotals="1" fieldPosition="0"/>
    </format>
    <format dxfId="222">
      <pivotArea dataOnly="0" labelOnly="1" fieldPosition="0">
        <references count="1">
          <reference field="2" count="0"/>
        </references>
      </pivotArea>
    </format>
    <format dxfId="221">
      <pivotArea dataOnly="0" labelOnly="1" grandCol="1" outline="0" fieldPosition="0"/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ch_Global_Condom_Usag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6B5F0B0-B6B6-40F5-8918-6785219F0B5B}" autoFormatId="16" applyNumberFormats="0" applyBorderFormats="0" applyFontFormats="0" applyPatternFormats="0" applyAlignmentFormats="0" applyWidthHeightFormats="0">
  <queryTableRefresh nextId="20">
    <queryTableFields count="17">
      <queryTableField id="1" name="Year" tableColumnId="1"/>
      <queryTableField id="2" name="Country" tableColumnId="2"/>
      <queryTableField id="3" name="Total Sales (Million Units)" tableColumnId="3"/>
      <queryTableField id="4" name="Market Revenue (Million USD)" tableColumnId="4"/>
      <queryTableField id="5" name="Government Campaigns" tableColumnId="5"/>
      <queryTableField id="6" name="Awareness Index (0-10)" tableColumnId="6"/>
      <queryTableField id="7" name="Most Popular Condom Type" tableColumnId="7"/>
      <queryTableField id="8" name="Contraceptive Usage Rate (%)" tableColumnId="8"/>
      <queryTableField id="9" name="Teen Pregnancy Rate (per 1000 teens)" tableColumnId="9"/>
      <queryTableField id="10" name="HIV Prevention Awareness (%)" tableColumnId="10"/>
      <queryTableField id="11" name="Online Sales (%)" tableColumnId="11"/>
      <queryTableField id="12" name="Average Price per Condom (USD)" tableColumnId="12"/>
      <queryTableField id="13" name="Male vs Female Purchases (%)" tableColumnId="13"/>
      <queryTableField id="14" name="Brand Dominance" tableColumnId="14"/>
      <queryTableField id="15" name="Sex Education Programs (Yes/No)" tableColumnId="15"/>
      <queryTableField id="18" name="male_percent" tableColumnId="18"/>
      <queryTableField id="19" name="female_percent" tableColumnId="19"/>
    </queryTableFields>
  </queryTableRefresh>
  <extLst>
    <ext xmlns:x15="http://schemas.microsoft.com/office/spreadsheetml/2010/11/main" uri="{883FBD77-0823-4a55-B5E3-86C4891E6966}">
      <x15:queryTable sourceDataName="Query - Rich_Global_Condom_Usage_Datase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097E5A-7496-4DF4-A765-4303D5E69A75}" name="Rich_Global_Condom_Usage_Dataset" displayName="Rich_Global_Condom_Usage_Dataset" ref="A1:Q551" tableType="queryTable" totalsRowShown="0">
  <autoFilter ref="A1:Q551" xr:uid="{5D097E5A-7496-4DF4-A765-4303D5E69A75}"/>
  <tableColumns count="17">
    <tableColumn id="1" xr3:uid="{DDA5E4C2-9DE1-4B9D-9916-97C16AE3CE60}" uniqueName="1" name="Year" queryTableFieldId="1"/>
    <tableColumn id="2" xr3:uid="{D17F0B05-5763-4DE5-8165-187EBFD4E368}" uniqueName="2" name="Country" queryTableFieldId="2" dataDxfId="205"/>
    <tableColumn id="3" xr3:uid="{1FE863F8-F811-41F6-A2D6-781644D4E542}" uniqueName="3" name="Total Sales (Million Units)" queryTableFieldId="3"/>
    <tableColumn id="4" xr3:uid="{829B5FEB-EF78-44F8-A26D-3EA0E010C07E}" uniqueName="4" name="Market Revenue (Million USD)" queryTableFieldId="4"/>
    <tableColumn id="5" xr3:uid="{B653E6A8-8385-49B0-B656-D025C1E14638}" uniqueName="5" name="Government Campaigns" queryTableFieldId="5" dataDxfId="204"/>
    <tableColumn id="6" xr3:uid="{F8EFA67E-719E-47BA-B31A-C62474F42AD8}" uniqueName="6" name="Awareness Index (0-10)" queryTableFieldId="6"/>
    <tableColumn id="7" xr3:uid="{77C84909-F126-43D0-B7B6-D33C0A1B98CC}" uniqueName="7" name="Most Popular Condom Type" queryTableFieldId="7" dataDxfId="203"/>
    <tableColumn id="8" xr3:uid="{596D26D4-6844-4380-8441-CBDEDBF6D0F5}" uniqueName="8" name="Contraceptive Usage Rate (%)" queryTableFieldId="8"/>
    <tableColumn id="9" xr3:uid="{12FE3FF1-CF29-4D00-BC8B-EDD7929A0898}" uniqueName="9" name="Teen Pregnancy Rate (per 1000 teens)" queryTableFieldId="9"/>
    <tableColumn id="10" xr3:uid="{6A754ED4-822F-42F5-915A-F634D6367199}" uniqueName="10" name="HIV Prevention Awareness (%)" queryTableFieldId="10"/>
    <tableColumn id="11" xr3:uid="{62D9CD2E-71D4-41F7-8EAA-E68CE90DA847}" uniqueName="11" name="Online Sales (%)" queryTableFieldId="11"/>
    <tableColumn id="12" xr3:uid="{AF86D57B-BBED-433E-9176-762ED9F811A3}" uniqueName="12" name="Average Price per Condom (USD)" queryTableFieldId="12"/>
    <tableColumn id="13" xr3:uid="{24E7121C-F277-45D8-B505-3A3DDC17B598}" uniqueName="13" name="Male vs Female Purchases (%)" queryTableFieldId="13" dataDxfId="202"/>
    <tableColumn id="14" xr3:uid="{FB041660-060E-40AD-9877-4FB9DDC8FC1B}" uniqueName="14" name="Brand Dominance" queryTableFieldId="14" dataDxfId="201"/>
    <tableColumn id="15" xr3:uid="{9399EC37-FDAD-4223-BCDF-1AEB0AFEA586}" uniqueName="15" name="Sex Education Programs (Yes/No)" queryTableFieldId="15" dataDxfId="200"/>
    <tableColumn id="18" xr3:uid="{A5B344C5-213A-4DEE-B4B5-D345AB0067E4}" uniqueName="18" name="male_percent" queryTableFieldId="18"/>
    <tableColumn id="19" xr3:uid="{2A63A2B8-1509-4A32-AAF6-72E6E5E18B38}" uniqueName="19" name="female_percent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A7D0-A1AF-4254-B51A-1BBF63ECE23C}">
  <dimension ref="A1"/>
  <sheetViews>
    <sheetView showGridLines="0" tabSelected="1" workbookViewId="0">
      <selection activeCell="V21" sqref="V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0238-34F7-4363-9C44-709F1AB2A48F}">
  <dimension ref="A1:J9"/>
  <sheetViews>
    <sheetView workbookViewId="0">
      <selection activeCell="D34" sqref="D34"/>
    </sheetView>
  </sheetViews>
  <sheetFormatPr defaultRowHeight="15" x14ac:dyDescent="0.25"/>
  <cols>
    <col min="1" max="1" width="22.28515625" bestFit="1" customWidth="1"/>
    <col min="2" max="2" width="7" bestFit="1" customWidth="1"/>
    <col min="3" max="3" width="24" bestFit="1" customWidth="1"/>
    <col min="4" max="4" width="27.28515625" bestFit="1" customWidth="1"/>
    <col min="5" max="5" width="21.7109375" bestFit="1" customWidth="1"/>
    <col min="6" max="6" width="27.140625" bestFit="1" customWidth="1"/>
    <col min="7" max="7" width="34.140625" bestFit="1" customWidth="1"/>
    <col min="8" max="8" width="27.7109375" bestFit="1" customWidth="1"/>
    <col min="9" max="9" width="15.5703125" bestFit="1" customWidth="1"/>
    <col min="10" max="10" width="30" bestFit="1" customWidth="1"/>
  </cols>
  <sheetData>
    <row r="1" spans="1:10" ht="15.75" thickBot="1" x14ac:dyDescent="0.3">
      <c r="B1" s="3" t="s">
        <v>26</v>
      </c>
      <c r="C1" s="4" t="s">
        <v>28</v>
      </c>
      <c r="D1" s="4" t="s">
        <v>29</v>
      </c>
      <c r="E1" s="4" t="s">
        <v>31</v>
      </c>
      <c r="F1" s="4" t="s">
        <v>33</v>
      </c>
      <c r="G1" s="4" t="s">
        <v>34</v>
      </c>
      <c r="H1" s="4" t="s">
        <v>35</v>
      </c>
      <c r="I1" s="4" t="s">
        <v>36</v>
      </c>
      <c r="J1" s="5" t="s">
        <v>37</v>
      </c>
    </row>
    <row r="2" spans="1:10" x14ac:dyDescent="0.25">
      <c r="A2" s="21" t="s">
        <v>525</v>
      </c>
      <c r="B2" s="25">
        <f>COUNT(Rich_Global_Condom_Usage_Dataset[Year])</f>
        <v>550</v>
      </c>
      <c r="C2" s="26">
        <f>COUNT(Rich_Global_Condom_Usage_Dataset[Total Sales (Million Units)])</f>
        <v>550</v>
      </c>
      <c r="D2" s="26">
        <f>COUNT(Rich_Global_Condom_Usage_Dataset[Market Revenue (Million USD)])</f>
        <v>550</v>
      </c>
      <c r="E2" s="26">
        <f>COUNT(Rich_Global_Condom_Usage_Dataset[Awareness Index (0-10)])</f>
        <v>550</v>
      </c>
      <c r="F2" s="26">
        <f>COUNT(Rich_Global_Condom_Usage_Dataset[Contraceptive Usage Rate (%)])</f>
        <v>550</v>
      </c>
      <c r="G2" s="26">
        <f>COUNT(Rich_Global_Condom_Usage_Dataset[Teen Pregnancy Rate (per 1000 teens)])</f>
        <v>550</v>
      </c>
      <c r="H2" s="26">
        <f>COUNT(Rich_Global_Condom_Usage_Dataset[HIV Prevention Awareness (%)])</f>
        <v>550</v>
      </c>
      <c r="I2" s="26">
        <f>COUNT(Rich_Global_Condom_Usage_Dataset[Online Sales (%)])</f>
        <v>550</v>
      </c>
      <c r="J2" s="27">
        <f>COUNT(Rich_Global_Condom_Usage_Dataset[Average Price per Condom (USD)])</f>
        <v>550</v>
      </c>
    </row>
    <row r="3" spans="1:10" x14ac:dyDescent="0.25">
      <c r="A3" s="22" t="s">
        <v>526</v>
      </c>
      <c r="B3" s="28">
        <f>AVERAGE(Rich_Global_Condom_Usage_Dataset[Year])</f>
        <v>2020</v>
      </c>
      <c r="C3" s="14">
        <f>AVERAGE(Rich_Global_Condom_Usage_Dataset[Total Sales (Million Units)])</f>
        <v>1217.850909090909</v>
      </c>
      <c r="D3" s="14">
        <f>AVERAGE(Rich_Global_Condom_Usage_Dataset[Market Revenue (Million USD)])</f>
        <v>2460.1044281971263</v>
      </c>
      <c r="E3" s="14">
        <f>AVERAGE(Rich_Global_Condom_Usage_Dataset[Awareness Index (0-10)])</f>
        <v>6.2483818181818167</v>
      </c>
      <c r="F3" s="14">
        <f>AVERAGE(Rich_Global_Condom_Usage_Dataset[Contraceptive Usage Rate (%)])</f>
        <v>54.625527272727268</v>
      </c>
      <c r="G3" s="14">
        <f>AVERAGE(Rich_Global_Condom_Usage_Dataset[Teen Pregnancy Rate (per 1000 teens)])</f>
        <v>34.780054545454583</v>
      </c>
      <c r="H3" s="14">
        <f>AVERAGE(Rich_Global_Condom_Usage_Dataset[HIV Prevention Awareness (%)])</f>
        <v>62.049836363636373</v>
      </c>
      <c r="I3" s="14">
        <f>AVERAGE(Rich_Global_Condom_Usage_Dataset[Online Sales (%)])</f>
        <v>36.902309090909071</v>
      </c>
      <c r="J3" s="29">
        <f>AVERAGE(Rich_Global_Condom_Usage_Dataset[Average Price per Condom (USD)])</f>
        <v>1.3608909090909083</v>
      </c>
    </row>
    <row r="4" spans="1:10" x14ac:dyDescent="0.25">
      <c r="A4" s="22" t="s">
        <v>527</v>
      </c>
      <c r="B4" s="28">
        <f>_xlfn.STDEV.S(Rich_Global_Condom_Usage_Dataset[Year])</f>
        <v>3.1651563841693071</v>
      </c>
      <c r="C4" s="14">
        <f>_xlfn.STDEV.S(Rich_Global_Condom_Usage_Dataset[Total Sales (Million Units)])</f>
        <v>707.86153207213795</v>
      </c>
      <c r="D4" s="14">
        <f>_xlfn.STDEV.S(Rich_Global_Condom_Usage_Dataset[Market Revenue (Million USD)])</f>
        <v>1908.0288849480769</v>
      </c>
      <c r="E4" s="14">
        <f>_xlfn.STDEV.S(Rich_Global_Condom_Usage_Dataset[Awareness Index (0-10)])</f>
        <v>2.3936781719616369</v>
      </c>
      <c r="F4" s="14">
        <f>_xlfn.STDEV.S(Rich_Global_Condom_Usage_Dataset[Contraceptive Usage Rate (%)])</f>
        <v>22.865826228285943</v>
      </c>
      <c r="G4" s="14">
        <f>_xlfn.STDEV.S(Rich_Global_Condom_Usage_Dataset[Teen Pregnancy Rate (per 1000 teens)])</f>
        <v>19.778428254613157</v>
      </c>
      <c r="H4" s="14">
        <f>_xlfn.STDEV.S(Rich_Global_Condom_Usage_Dataset[HIV Prevention Awareness (%)])</f>
        <v>21.341931433536942</v>
      </c>
      <c r="I4" s="14">
        <f>_xlfn.STDEV.S(Rich_Global_Condom_Usage_Dataset[Online Sales (%)])</f>
        <v>19.25603969631069</v>
      </c>
      <c r="J4" s="29">
        <f>_xlfn.STDEV.S(Rich_Global_Condom_Usage_Dataset[Average Price per Condom (USD)])</f>
        <v>0.66466374458054034</v>
      </c>
    </row>
    <row r="5" spans="1:10" x14ac:dyDescent="0.25">
      <c r="A5" s="22" t="s">
        <v>528</v>
      </c>
      <c r="B5" s="28">
        <f>MIN(Rich_Global_Condom_Usage_Dataset[Year])</f>
        <v>2015</v>
      </c>
      <c r="C5" s="14">
        <f>MIN(Rich_Global_Condom_Usage_Dataset[Total Sales (Million Units)])</f>
        <v>51</v>
      </c>
      <c r="D5" s="14">
        <f>MIN(Rich_Global_Condom_Usage_Dataset[Market Revenue (Million USD)])</f>
        <v>34.656205520350227</v>
      </c>
      <c r="E5" s="14">
        <f>MIN(Rich_Global_Condom_Usage_Dataset[Awareness Index (0-10)])</f>
        <v>2.0099999999999998</v>
      </c>
      <c r="F5" s="14">
        <f>MIN(Rich_Global_Condom_Usage_Dataset[Contraceptive Usage Rate (%)])</f>
        <v>15.02</v>
      </c>
      <c r="G5" s="14">
        <f>MIN(Rich_Global_Condom_Usage_Dataset[Teen Pregnancy Rate (per 1000 teens)])</f>
        <v>2.02</v>
      </c>
      <c r="H5" s="14">
        <f>MIN(Rich_Global_Condom_Usage_Dataset[HIV Prevention Awareness (%)])</f>
        <v>25.07</v>
      </c>
      <c r="I5" s="14">
        <f>MIN(Rich_Global_Condom_Usage_Dataset[Online Sales (%)])</f>
        <v>5.01</v>
      </c>
      <c r="J5" s="29">
        <f>MIN(Rich_Global_Condom_Usage_Dataset[Average Price per Condom (USD)])</f>
        <v>0.2</v>
      </c>
    </row>
    <row r="6" spans="1:10" x14ac:dyDescent="0.25">
      <c r="A6" s="23">
        <v>0.25</v>
      </c>
      <c r="B6" s="28">
        <f>_xlfn.PERCENTILE.INC(Rich_Global_Condom_Usage_Dataset[Year],0.25)</f>
        <v>2017</v>
      </c>
      <c r="C6" s="14">
        <f>_xlfn.PERCENTILE.INC(Rich_Global_Condom_Usage_Dataset[Total Sales (Million Units)],0.25)</f>
        <v>599.75</v>
      </c>
      <c r="D6" s="14">
        <f>_xlfn.PERCENTILE.INC(Rich_Global_Condom_Usage_Dataset[Market Revenue (Million USD)],0.25)</f>
        <v>947.55017848431817</v>
      </c>
      <c r="E6" s="14">
        <f>_xlfn.PERCENTILE.INC(Rich_Global_Condom_Usage_Dataset[Awareness Index (0-10)],0.25)</f>
        <v>4.0649999999999995</v>
      </c>
      <c r="F6" s="14">
        <f>_xlfn.PERCENTILE.INC(Rich_Global_Condom_Usage_Dataset[Contraceptive Usage Rate (%)],0.25)</f>
        <v>34.774999999999999</v>
      </c>
      <c r="G6" s="14">
        <f>_xlfn.PERCENTILE.INC(Rich_Global_Condom_Usage_Dataset[Teen Pregnancy Rate (per 1000 teens)],0.25)</f>
        <v>17.532499999999999</v>
      </c>
      <c r="H6" s="14">
        <f>_xlfn.PERCENTILE.INC(Rich_Global_Condom_Usage_Dataset[HIV Prevention Awareness (%)],0.25)</f>
        <v>43.86</v>
      </c>
      <c r="I6" s="14">
        <f>_xlfn.PERCENTILE.INC(Rich_Global_Condom_Usage_Dataset[Online Sales (%)],0.25)</f>
        <v>19.564999999999998</v>
      </c>
      <c r="J6" s="29">
        <f>_xlfn.PERCENTILE.INC(Rich_Global_Condom_Usage_Dataset[Average Price per Condom (USD)],0.25)</f>
        <v>0.78249999999999997</v>
      </c>
    </row>
    <row r="7" spans="1:10" x14ac:dyDescent="0.25">
      <c r="A7" s="23">
        <v>0.5</v>
      </c>
      <c r="B7" s="28">
        <f>_xlfn.PERCENTILE.INC(Rich_Global_Condom_Usage_Dataset[Year],0.5)</f>
        <v>2020</v>
      </c>
      <c r="C7" s="14">
        <f>_xlfn.PERCENTILE.INC(Rich_Global_Condom_Usage_Dataset[Total Sales (Million Units)],0.5)</f>
        <v>1160</v>
      </c>
      <c r="D7" s="14">
        <f>_xlfn.PERCENTILE.INC(Rich_Global_Condom_Usage_Dataset[Market Revenue (Million USD)],0.5)</f>
        <v>2002.3742406665019</v>
      </c>
      <c r="E7" s="14">
        <f>_xlfn.PERCENTILE.INC(Rich_Global_Condom_Usage_Dataset[Awareness Index (0-10)],0.5)</f>
        <v>6.4350000000000005</v>
      </c>
      <c r="F7" s="14">
        <f>_xlfn.PERCENTILE.INC(Rich_Global_Condom_Usage_Dataset[Contraceptive Usage Rate (%)],0.5)</f>
        <v>53.92</v>
      </c>
      <c r="G7" s="14">
        <f>_xlfn.PERCENTILE.INC(Rich_Global_Condom_Usage_Dataset[Teen Pregnancy Rate (per 1000 teens)],0.5)</f>
        <v>34.704999999999998</v>
      </c>
      <c r="H7" s="14">
        <f>_xlfn.PERCENTILE.INC(Rich_Global_Condom_Usage_Dataset[HIV Prevention Awareness (%)],0.5)</f>
        <v>63.125</v>
      </c>
      <c r="I7" s="14">
        <f>_xlfn.PERCENTILE.INC(Rich_Global_Condom_Usage_Dataset[Online Sales (%)],0.5)</f>
        <v>35.505000000000003</v>
      </c>
      <c r="J7" s="29">
        <f>_xlfn.PERCENTILE.INC(Rich_Global_Condom_Usage_Dataset[Average Price per Condom (USD)],0.5)</f>
        <v>1.39</v>
      </c>
    </row>
    <row r="8" spans="1:10" x14ac:dyDescent="0.25">
      <c r="A8" s="23">
        <v>0.75</v>
      </c>
      <c r="B8" s="28">
        <f>_xlfn.PERCENTILE.INC(Rich_Global_Condom_Usage_Dataset[Year],0.75)</f>
        <v>2023</v>
      </c>
      <c r="C8" s="14">
        <f>_xlfn.PERCENTILE.INC(Rich_Global_Condom_Usage_Dataset[Total Sales (Million Units)],0.75)</f>
        <v>1846</v>
      </c>
      <c r="D8" s="14">
        <f>_xlfn.PERCENTILE.INC(Rich_Global_Condom_Usage_Dataset[Market Revenue (Million USD)],0.75)</f>
        <v>3593.3516202243813</v>
      </c>
      <c r="E8" s="14">
        <f>_xlfn.PERCENTILE.INC(Rich_Global_Condom_Usage_Dataset[Awareness Index (0-10)],0.75)</f>
        <v>8.4324999999999992</v>
      </c>
      <c r="F8" s="14">
        <f>_xlfn.PERCENTILE.INC(Rich_Global_Condom_Usage_Dataset[Contraceptive Usage Rate (%)],0.75)</f>
        <v>75.747500000000002</v>
      </c>
      <c r="G8" s="14">
        <f>_xlfn.PERCENTILE.INC(Rich_Global_Condom_Usage_Dataset[Teen Pregnancy Rate (per 1000 teens)],0.75)</f>
        <v>50.787500000000001</v>
      </c>
      <c r="H8" s="14">
        <f>_xlfn.PERCENTILE.INC(Rich_Global_Condom_Usage_Dataset[HIV Prevention Awareness (%)],0.75)</f>
        <v>79.989999999999995</v>
      </c>
      <c r="I8" s="14">
        <f>_xlfn.PERCENTILE.INC(Rich_Global_Condom_Usage_Dataset[Online Sales (%)],0.75)</f>
        <v>52.917499999999997</v>
      </c>
      <c r="J8" s="29">
        <f>_xlfn.PERCENTILE.INC(Rich_Global_Condom_Usage_Dataset[Average Price per Condom (USD)],0.75)</f>
        <v>1.9275</v>
      </c>
    </row>
    <row r="9" spans="1:10" ht="15.75" thickBot="1" x14ac:dyDescent="0.3">
      <c r="A9" s="24" t="s">
        <v>529</v>
      </c>
      <c r="B9" s="15">
        <f>MAX(Rich_Global_Condom_Usage_Dataset[Year])</f>
        <v>2025</v>
      </c>
      <c r="C9" s="16">
        <f>MAX(Rich_Global_Condom_Usage_Dataset[Total Sales (Million Units)])</f>
        <v>2500</v>
      </c>
      <c r="D9" s="16">
        <f>MAX(Rich_Global_Condom_Usage_Dataset[Market Revenue (Million USD)])</f>
        <v>8536.1632594884413</v>
      </c>
      <c r="E9" s="16">
        <f>MAX(Rich_Global_Condom_Usage_Dataset[Awareness Index (0-10)])</f>
        <v>9.98</v>
      </c>
      <c r="F9" s="16">
        <f>MAX(Rich_Global_Condom_Usage_Dataset[Contraceptive Usage Rate (%)])</f>
        <v>94.97</v>
      </c>
      <c r="G9" s="16">
        <f>MAX(Rich_Global_Condom_Usage_Dataset[Teen Pregnancy Rate (per 1000 teens)])</f>
        <v>69.89</v>
      </c>
      <c r="H9" s="16">
        <f>MAX(Rich_Global_Condom_Usage_Dataset[HIV Prevention Awareness (%)])</f>
        <v>98.84</v>
      </c>
      <c r="I9" s="16">
        <f>MAX(Rich_Global_Condom_Usage_Dataset[Online Sales (%)])</f>
        <v>69.959999999999994</v>
      </c>
      <c r="J9" s="17">
        <f>MAX(Rich_Global_Condom_Usage_Dataset[Average Price per Condom (USD)])</f>
        <v>2.4900000000000002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D3A6-59E8-4690-BF8B-983EADAE89C6}">
  <dimension ref="A9:W56"/>
  <sheetViews>
    <sheetView topLeftCell="A34" zoomScale="73" zoomScaleNormal="73" workbookViewId="0">
      <selection activeCell="E75" sqref="E75"/>
    </sheetView>
  </sheetViews>
  <sheetFormatPr defaultRowHeight="15" x14ac:dyDescent="0.25"/>
  <cols>
    <col min="1" max="1" width="14.42578125" bestFit="1" customWidth="1"/>
    <col min="2" max="2" width="24" bestFit="1" customWidth="1"/>
    <col min="3" max="3" width="26" bestFit="1" customWidth="1"/>
    <col min="4" max="4" width="24" bestFit="1" customWidth="1"/>
    <col min="5" max="5" width="26" bestFit="1" customWidth="1"/>
    <col min="6" max="6" width="24" bestFit="1" customWidth="1"/>
    <col min="7" max="7" width="26" bestFit="1" customWidth="1"/>
    <col min="8" max="8" width="24" bestFit="1" customWidth="1"/>
    <col min="9" max="9" width="26" bestFit="1" customWidth="1"/>
    <col min="10" max="10" width="24" bestFit="1" customWidth="1"/>
    <col min="11" max="11" width="26" bestFit="1" customWidth="1"/>
    <col min="12" max="12" width="24" bestFit="1" customWidth="1"/>
    <col min="13" max="13" width="26" bestFit="1" customWidth="1"/>
    <col min="14" max="14" width="24" bestFit="1" customWidth="1"/>
    <col min="15" max="15" width="26" bestFit="1" customWidth="1"/>
    <col min="16" max="16" width="24" bestFit="1" customWidth="1"/>
    <col min="17" max="17" width="26" bestFit="1" customWidth="1"/>
    <col min="18" max="18" width="24" bestFit="1" customWidth="1"/>
    <col min="19" max="19" width="26" bestFit="1" customWidth="1"/>
    <col min="20" max="20" width="24" bestFit="1" customWidth="1"/>
    <col min="21" max="21" width="26" bestFit="1" customWidth="1"/>
    <col min="22" max="22" width="24" bestFit="1" customWidth="1"/>
    <col min="23" max="23" width="26" bestFit="1" customWidth="1"/>
    <col min="24" max="24" width="29.140625" bestFit="1" customWidth="1"/>
    <col min="25" max="25" width="31" bestFit="1" customWidth="1"/>
    <col min="26" max="472" width="21.85546875" bestFit="1" customWidth="1"/>
    <col min="473" max="473" width="11.28515625" bestFit="1" customWidth="1"/>
  </cols>
  <sheetData>
    <row r="9" spans="1:23" ht="15.75" thickBot="1" x14ac:dyDescent="0.3"/>
    <row r="10" spans="1:23" ht="15.75" thickBot="1" x14ac:dyDescent="0.3">
      <c r="A10" s="1" t="s">
        <v>12</v>
      </c>
      <c r="B10" s="1" t="s">
        <v>13</v>
      </c>
      <c r="N10" s="39" t="s">
        <v>15</v>
      </c>
      <c r="O10" s="40"/>
      <c r="P10" s="40"/>
      <c r="Q10" s="40"/>
      <c r="R10" s="40"/>
      <c r="S10" s="40"/>
      <c r="T10" s="40"/>
      <c r="U10" s="40"/>
      <c r="V10" s="40"/>
      <c r="W10" s="41"/>
    </row>
    <row r="11" spans="1:23" ht="15.75" thickBot="1" x14ac:dyDescent="0.3">
      <c r="A11" s="1" t="s">
        <v>0</v>
      </c>
      <c r="B11" s="6">
        <v>2015</v>
      </c>
      <c r="C11" s="6">
        <v>2016</v>
      </c>
      <c r="D11" s="6">
        <v>2017</v>
      </c>
      <c r="E11" s="6">
        <v>2018</v>
      </c>
      <c r="F11" s="6">
        <v>2019</v>
      </c>
      <c r="G11" s="6">
        <v>2020</v>
      </c>
      <c r="H11" s="6">
        <v>2021</v>
      </c>
      <c r="I11" s="6">
        <v>2022</v>
      </c>
      <c r="J11" s="6">
        <v>2023</v>
      </c>
      <c r="K11" s="6">
        <v>2024</v>
      </c>
      <c r="L11" s="6">
        <v>2025</v>
      </c>
      <c r="M11" s="6" t="s">
        <v>11</v>
      </c>
      <c r="N11" s="18" t="s">
        <v>16</v>
      </c>
      <c r="O11" s="19" t="s">
        <v>17</v>
      </c>
      <c r="P11" s="19" t="s">
        <v>18</v>
      </c>
      <c r="Q11" s="19" t="s">
        <v>19</v>
      </c>
      <c r="R11" s="19" t="s">
        <v>20</v>
      </c>
      <c r="S11" s="19" t="s">
        <v>21</v>
      </c>
      <c r="T11" s="19" t="s">
        <v>22</v>
      </c>
      <c r="U11" s="19" t="s">
        <v>23</v>
      </c>
      <c r="V11" s="19" t="s">
        <v>24</v>
      </c>
      <c r="W11" s="20" t="s">
        <v>25</v>
      </c>
    </row>
    <row r="12" spans="1:23" x14ac:dyDescent="0.25">
      <c r="A12" s="2" t="s">
        <v>10</v>
      </c>
      <c r="B12" s="7">
        <v>8109</v>
      </c>
      <c r="C12" s="7">
        <v>7751</v>
      </c>
      <c r="D12" s="7">
        <v>4516</v>
      </c>
      <c r="E12" s="7">
        <v>6681</v>
      </c>
      <c r="F12" s="7">
        <v>7642</v>
      </c>
      <c r="G12" s="7">
        <v>7235</v>
      </c>
      <c r="H12" s="7">
        <v>6637</v>
      </c>
      <c r="I12" s="7">
        <v>7956</v>
      </c>
      <c r="J12" s="7">
        <v>5920</v>
      </c>
      <c r="K12" s="7">
        <v>6953</v>
      </c>
      <c r="L12" s="7">
        <v>6430</v>
      </c>
      <c r="M12" s="7">
        <v>75830</v>
      </c>
      <c r="N12" s="8">
        <f>(C12-B12)/B12</f>
        <v>-4.4148477000863239E-2</v>
      </c>
      <c r="O12" s="8">
        <f>(D12-C12)/C12</f>
        <v>-0.41736550122564831</v>
      </c>
      <c r="P12" s="8">
        <f t="shared" ref="P12:R12" si="0">(E12-D12)/D12</f>
        <v>0.47940655447298497</v>
      </c>
      <c r="Q12" s="8">
        <f t="shared" si="0"/>
        <v>0.14384074240383177</v>
      </c>
      <c r="R12" s="8">
        <f t="shared" si="0"/>
        <v>-5.3258309343103896E-2</v>
      </c>
      <c r="S12" s="8">
        <f>(H12-G12)/G12</f>
        <v>-8.2653766413268825E-2</v>
      </c>
      <c r="T12" s="8">
        <f t="shared" ref="T12:U12" si="1">(I12-H12)/H12</f>
        <v>0.19873436793732108</v>
      </c>
      <c r="U12" s="8">
        <f t="shared" si="1"/>
        <v>-0.25590749120160883</v>
      </c>
      <c r="V12" s="8">
        <f>(K12-J12)/J12</f>
        <v>0.17449324324324325</v>
      </c>
      <c r="W12" s="8">
        <f>(L12-K12)/K12</f>
        <v>-7.5219329785704017E-2</v>
      </c>
    </row>
    <row r="13" spans="1:23" x14ac:dyDescent="0.25">
      <c r="A13" s="2" t="s">
        <v>9</v>
      </c>
      <c r="B13" s="7">
        <v>4742</v>
      </c>
      <c r="C13" s="7">
        <v>8966</v>
      </c>
      <c r="D13" s="7">
        <v>7886</v>
      </c>
      <c r="E13" s="7">
        <v>7332</v>
      </c>
      <c r="F13" s="7">
        <v>3304</v>
      </c>
      <c r="G13" s="7">
        <v>9154</v>
      </c>
      <c r="H13" s="7">
        <v>6758</v>
      </c>
      <c r="I13" s="7">
        <v>6755</v>
      </c>
      <c r="J13" s="7">
        <v>8475</v>
      </c>
      <c r="K13" s="7">
        <v>6085</v>
      </c>
      <c r="L13" s="7">
        <v>5126</v>
      </c>
      <c r="M13" s="7">
        <v>74583</v>
      </c>
      <c r="N13" s="8">
        <f t="shared" ref="N13:N22" si="2">(C13-B13)/B13</f>
        <v>0.89076339097427248</v>
      </c>
      <c r="O13" s="8">
        <f t="shared" ref="O13:O22" si="3">(D13-C13)/C13</f>
        <v>-0.1204550524202543</v>
      </c>
      <c r="P13" s="8">
        <f t="shared" ref="P13:P22" si="4">(E13-D13)/D13</f>
        <v>-7.0251077859497843E-2</v>
      </c>
      <c r="Q13" s="8">
        <f t="shared" ref="Q13:Q22" si="5">(F13-E13)/E13</f>
        <v>-0.54937261320240038</v>
      </c>
      <c r="R13" s="8">
        <f t="shared" ref="R13:R22" si="6">(G13-F13)/F13</f>
        <v>1.7705811138014529</v>
      </c>
      <c r="S13" s="8">
        <f t="shared" ref="S13:S22" si="7">(H13-G13)/G13</f>
        <v>-0.26174350010924186</v>
      </c>
      <c r="T13" s="8">
        <f t="shared" ref="T13:T22" si="8">(I13-H13)/H13</f>
        <v>-4.439183190292986E-4</v>
      </c>
      <c r="U13" s="8">
        <f t="shared" ref="U13:U22" si="9">(J13-I13)/I13</f>
        <v>0.25462620281273129</v>
      </c>
      <c r="V13" s="8">
        <f t="shared" ref="V13:V22" si="10">(K13-J13)/J13</f>
        <v>-0.28200589970501477</v>
      </c>
      <c r="W13" s="8">
        <f t="shared" ref="W13:W22" si="11">(L13-K13)/K13</f>
        <v>-0.15760065735414955</v>
      </c>
    </row>
    <row r="14" spans="1:23" x14ac:dyDescent="0.25">
      <c r="A14" s="2" t="s">
        <v>2</v>
      </c>
      <c r="B14" s="7">
        <v>5337</v>
      </c>
      <c r="C14" s="7">
        <v>4702</v>
      </c>
      <c r="D14" s="7">
        <v>6382</v>
      </c>
      <c r="E14" s="7">
        <v>4560</v>
      </c>
      <c r="F14" s="7">
        <v>8130</v>
      </c>
      <c r="G14" s="7">
        <v>7092</v>
      </c>
      <c r="H14" s="7">
        <v>7083</v>
      </c>
      <c r="I14" s="7">
        <v>6201</v>
      </c>
      <c r="J14" s="7">
        <v>7937</v>
      </c>
      <c r="K14" s="7">
        <v>5659</v>
      </c>
      <c r="L14" s="7">
        <v>7565</v>
      </c>
      <c r="M14" s="7">
        <v>70648</v>
      </c>
      <c r="N14" s="8">
        <f t="shared" si="2"/>
        <v>-0.11898070076822184</v>
      </c>
      <c r="O14" s="8">
        <f t="shared" si="3"/>
        <v>0.35729476818375161</v>
      </c>
      <c r="P14" s="8">
        <f t="shared" si="4"/>
        <v>-0.28549044186775308</v>
      </c>
      <c r="Q14" s="8">
        <f t="shared" si="5"/>
        <v>0.78289473684210531</v>
      </c>
      <c r="R14" s="8">
        <f t="shared" si="6"/>
        <v>-0.12767527675276752</v>
      </c>
      <c r="S14" s="8">
        <f t="shared" si="7"/>
        <v>-1.2690355329949238E-3</v>
      </c>
      <c r="T14" s="8">
        <f t="shared" si="8"/>
        <v>-0.12452350698856417</v>
      </c>
      <c r="U14" s="8">
        <f t="shared" si="9"/>
        <v>0.27995484599258186</v>
      </c>
      <c r="V14" s="8">
        <f t="shared" si="10"/>
        <v>-0.28701020536726723</v>
      </c>
      <c r="W14" s="8">
        <f t="shared" si="11"/>
        <v>0.3368086234317017</v>
      </c>
    </row>
    <row r="15" spans="1:23" x14ac:dyDescent="0.25">
      <c r="A15" s="2" t="s">
        <v>3</v>
      </c>
      <c r="B15" s="7">
        <v>8747</v>
      </c>
      <c r="C15" s="7">
        <v>6577</v>
      </c>
      <c r="D15" s="7">
        <v>6670</v>
      </c>
      <c r="E15" s="7">
        <v>5499</v>
      </c>
      <c r="F15" s="7">
        <v>5262</v>
      </c>
      <c r="G15" s="7">
        <v>8872</v>
      </c>
      <c r="H15" s="7">
        <v>6549</v>
      </c>
      <c r="I15" s="7">
        <v>5560</v>
      </c>
      <c r="J15" s="7">
        <v>3655</v>
      </c>
      <c r="K15" s="7">
        <v>8024</v>
      </c>
      <c r="L15" s="7">
        <v>4975</v>
      </c>
      <c r="M15" s="7">
        <v>70390</v>
      </c>
      <c r="N15" s="8">
        <f t="shared" si="2"/>
        <v>-0.24808505773408027</v>
      </c>
      <c r="O15" s="8">
        <f t="shared" si="3"/>
        <v>1.4140185494906492E-2</v>
      </c>
      <c r="P15" s="8">
        <f t="shared" si="4"/>
        <v>-0.17556221889055473</v>
      </c>
      <c r="Q15" s="8">
        <f t="shared" si="5"/>
        <v>-4.3098745226404798E-2</v>
      </c>
      <c r="R15" s="8">
        <f t="shared" si="6"/>
        <v>0.68605093120486504</v>
      </c>
      <c r="S15" s="8">
        <f t="shared" si="7"/>
        <v>-0.26183498647430115</v>
      </c>
      <c r="T15" s="8">
        <f t="shared" si="8"/>
        <v>-0.15101542220186287</v>
      </c>
      <c r="U15" s="8">
        <f t="shared" si="9"/>
        <v>-0.34262589928057552</v>
      </c>
      <c r="V15" s="8">
        <f t="shared" si="10"/>
        <v>1.1953488372093024</v>
      </c>
      <c r="W15" s="8">
        <f t="shared" si="11"/>
        <v>-0.3799850448654038</v>
      </c>
    </row>
    <row r="16" spans="1:23" x14ac:dyDescent="0.25">
      <c r="A16" s="2" t="s">
        <v>5</v>
      </c>
      <c r="B16" s="7">
        <v>3702</v>
      </c>
      <c r="C16" s="7">
        <v>3291</v>
      </c>
      <c r="D16" s="7">
        <v>5453</v>
      </c>
      <c r="E16" s="7">
        <v>6339</v>
      </c>
      <c r="F16" s="7">
        <v>7506</v>
      </c>
      <c r="G16" s="7">
        <v>6965</v>
      </c>
      <c r="H16" s="7">
        <v>7013</v>
      </c>
      <c r="I16" s="7">
        <v>2909</v>
      </c>
      <c r="J16" s="7">
        <v>6307</v>
      </c>
      <c r="K16" s="7">
        <v>9061</v>
      </c>
      <c r="L16" s="7">
        <v>9146</v>
      </c>
      <c r="M16" s="7">
        <v>67692</v>
      </c>
      <c r="N16" s="8">
        <f t="shared" si="2"/>
        <v>-0.11102106969205834</v>
      </c>
      <c r="O16" s="8">
        <f t="shared" si="3"/>
        <v>0.65694317836523852</v>
      </c>
      <c r="P16" s="8">
        <f t="shared" si="4"/>
        <v>0.16247936915459379</v>
      </c>
      <c r="Q16" s="8">
        <f t="shared" si="5"/>
        <v>0.18409843823946995</v>
      </c>
      <c r="R16" s="8">
        <f t="shared" si="6"/>
        <v>-7.2075672795097259E-2</v>
      </c>
      <c r="S16" s="8">
        <f t="shared" si="7"/>
        <v>6.8916008614501078E-3</v>
      </c>
      <c r="T16" s="8">
        <f t="shared" si="8"/>
        <v>-0.58519891629830312</v>
      </c>
      <c r="U16" s="8">
        <f t="shared" si="9"/>
        <v>1.1680990030938467</v>
      </c>
      <c r="V16" s="8">
        <f t="shared" si="10"/>
        <v>0.43665768194070081</v>
      </c>
      <c r="W16" s="8">
        <f t="shared" si="11"/>
        <v>9.3808630393996256E-3</v>
      </c>
    </row>
    <row r="17" spans="1:23" x14ac:dyDescent="0.25">
      <c r="A17" s="2" t="s">
        <v>8</v>
      </c>
      <c r="B17" s="7">
        <v>4716</v>
      </c>
      <c r="C17" s="7">
        <v>6433</v>
      </c>
      <c r="D17" s="7">
        <v>4298</v>
      </c>
      <c r="E17" s="7">
        <v>6270</v>
      </c>
      <c r="F17" s="7">
        <v>4574</v>
      </c>
      <c r="G17" s="7">
        <v>6873</v>
      </c>
      <c r="H17" s="7">
        <v>7251</v>
      </c>
      <c r="I17" s="7">
        <v>9112</v>
      </c>
      <c r="J17" s="7">
        <v>7731</v>
      </c>
      <c r="K17" s="7">
        <v>3116</v>
      </c>
      <c r="L17" s="7">
        <v>5548</v>
      </c>
      <c r="M17" s="7">
        <v>65922</v>
      </c>
      <c r="N17" s="8">
        <f t="shared" si="2"/>
        <v>0.36407972858354537</v>
      </c>
      <c r="O17" s="8">
        <f t="shared" si="3"/>
        <v>-0.33188248095756256</v>
      </c>
      <c r="P17" s="8">
        <f t="shared" si="4"/>
        <v>0.45881805490926014</v>
      </c>
      <c r="Q17" s="8">
        <f t="shared" si="5"/>
        <v>-0.2704944178628389</v>
      </c>
      <c r="R17" s="8">
        <f t="shared" si="6"/>
        <v>0.50262352426759949</v>
      </c>
      <c r="S17" s="8">
        <f t="shared" si="7"/>
        <v>5.4997817546922741E-2</v>
      </c>
      <c r="T17" s="8">
        <f t="shared" si="8"/>
        <v>0.25665425458557439</v>
      </c>
      <c r="U17" s="8">
        <f t="shared" si="9"/>
        <v>-0.15155838454784898</v>
      </c>
      <c r="V17" s="8">
        <f t="shared" si="10"/>
        <v>-0.59694735480532923</v>
      </c>
      <c r="W17" s="8">
        <f t="shared" si="11"/>
        <v>0.78048780487804881</v>
      </c>
    </row>
    <row r="18" spans="1:23" x14ac:dyDescent="0.25">
      <c r="A18" s="2" t="s">
        <v>7</v>
      </c>
      <c r="B18" s="7">
        <v>4428</v>
      </c>
      <c r="C18" s="7">
        <v>4566</v>
      </c>
      <c r="D18" s="7">
        <v>5612</v>
      </c>
      <c r="E18" s="7">
        <v>5852</v>
      </c>
      <c r="F18" s="7">
        <v>6372</v>
      </c>
      <c r="G18" s="7">
        <v>3775</v>
      </c>
      <c r="H18" s="7">
        <v>8147</v>
      </c>
      <c r="I18" s="7">
        <v>6095</v>
      </c>
      <c r="J18" s="7">
        <v>7027</v>
      </c>
      <c r="K18" s="7">
        <v>7695</v>
      </c>
      <c r="L18" s="7">
        <v>5282</v>
      </c>
      <c r="M18" s="7">
        <v>64851</v>
      </c>
      <c r="N18" s="8">
        <f t="shared" si="2"/>
        <v>3.1165311653116531E-2</v>
      </c>
      <c r="O18" s="8">
        <f t="shared" si="3"/>
        <v>0.22908453788874289</v>
      </c>
      <c r="P18" s="8">
        <f t="shared" si="4"/>
        <v>4.2765502494654314E-2</v>
      </c>
      <c r="Q18" s="8">
        <f t="shared" si="5"/>
        <v>8.8858509911141484E-2</v>
      </c>
      <c r="R18" s="8">
        <f t="shared" si="6"/>
        <v>-0.40756434400502195</v>
      </c>
      <c r="S18" s="8">
        <f t="shared" si="7"/>
        <v>1.1581456953642384</v>
      </c>
      <c r="T18" s="8">
        <f t="shared" si="8"/>
        <v>-0.25187185467043083</v>
      </c>
      <c r="U18" s="8">
        <f t="shared" si="9"/>
        <v>0.15291222313371616</v>
      </c>
      <c r="V18" s="8">
        <f t="shared" si="10"/>
        <v>9.5061904084246474E-2</v>
      </c>
      <c r="W18" s="8">
        <f t="shared" si="11"/>
        <v>-0.31358024691358027</v>
      </c>
    </row>
    <row r="19" spans="1:23" x14ac:dyDescent="0.25">
      <c r="A19" s="2" t="s">
        <v>4</v>
      </c>
      <c r="B19" s="7">
        <v>5492</v>
      </c>
      <c r="C19" s="7">
        <v>3818</v>
      </c>
      <c r="D19" s="7">
        <v>7348</v>
      </c>
      <c r="E19" s="7">
        <v>6325</v>
      </c>
      <c r="F19" s="7">
        <v>7594</v>
      </c>
      <c r="G19" s="7">
        <v>2710</v>
      </c>
      <c r="H19" s="7">
        <v>2675</v>
      </c>
      <c r="I19" s="7">
        <v>5640</v>
      </c>
      <c r="J19" s="7">
        <v>7195</v>
      </c>
      <c r="K19" s="7">
        <v>7167</v>
      </c>
      <c r="L19" s="7">
        <v>5548</v>
      </c>
      <c r="M19" s="7">
        <v>61512</v>
      </c>
      <c r="N19" s="8">
        <f t="shared" si="2"/>
        <v>-0.30480699198834671</v>
      </c>
      <c r="O19" s="8">
        <f t="shared" si="3"/>
        <v>0.92456783656364594</v>
      </c>
      <c r="P19" s="8">
        <f t="shared" si="4"/>
        <v>-0.13922155688622753</v>
      </c>
      <c r="Q19" s="8">
        <f t="shared" si="5"/>
        <v>0.20063241106719368</v>
      </c>
      <c r="R19" s="8">
        <f t="shared" si="6"/>
        <v>-0.64313932051619704</v>
      </c>
      <c r="S19" s="8">
        <f t="shared" si="7"/>
        <v>-1.2915129151291513E-2</v>
      </c>
      <c r="T19" s="8">
        <f t="shared" si="8"/>
        <v>1.108411214953271</v>
      </c>
      <c r="U19" s="8">
        <f t="shared" si="9"/>
        <v>0.27570921985815605</v>
      </c>
      <c r="V19" s="8">
        <f t="shared" si="10"/>
        <v>-3.8915913829047949E-3</v>
      </c>
      <c r="W19" s="8">
        <f t="shared" si="11"/>
        <v>-0.22589646993163109</v>
      </c>
    </row>
    <row r="20" spans="1:23" x14ac:dyDescent="0.25">
      <c r="A20" s="2" t="s">
        <v>6</v>
      </c>
      <c r="B20" s="7">
        <v>4870</v>
      </c>
      <c r="C20" s="7">
        <v>6341</v>
      </c>
      <c r="D20" s="7">
        <v>7812</v>
      </c>
      <c r="E20" s="7">
        <v>4823</v>
      </c>
      <c r="F20" s="7">
        <v>1993</v>
      </c>
      <c r="G20" s="7">
        <v>5350</v>
      </c>
      <c r="H20" s="7">
        <v>5804</v>
      </c>
      <c r="I20" s="7">
        <v>6515</v>
      </c>
      <c r="J20" s="7">
        <v>4563</v>
      </c>
      <c r="K20" s="7">
        <v>7049</v>
      </c>
      <c r="L20" s="7">
        <v>5651</v>
      </c>
      <c r="M20" s="7">
        <v>60771</v>
      </c>
      <c r="N20" s="8">
        <f t="shared" si="2"/>
        <v>0.3020533880903491</v>
      </c>
      <c r="O20" s="8">
        <f t="shared" si="3"/>
        <v>0.23198233717079325</v>
      </c>
      <c r="P20" s="8">
        <f t="shared" si="4"/>
        <v>-0.38261648745519711</v>
      </c>
      <c r="Q20" s="8">
        <f t="shared" si="5"/>
        <v>-0.58677171884719059</v>
      </c>
      <c r="R20" s="8">
        <f t="shared" si="6"/>
        <v>1.684395383843452</v>
      </c>
      <c r="S20" s="8">
        <f t="shared" si="7"/>
        <v>8.4859813084112154E-2</v>
      </c>
      <c r="T20" s="8">
        <f t="shared" si="8"/>
        <v>0.12250172294968988</v>
      </c>
      <c r="U20" s="8">
        <f t="shared" si="9"/>
        <v>-0.29961627014581732</v>
      </c>
      <c r="V20" s="8">
        <f t="shared" si="10"/>
        <v>0.54481700635546793</v>
      </c>
      <c r="W20" s="8">
        <f t="shared" si="11"/>
        <v>-0.19832600368846645</v>
      </c>
    </row>
    <row r="21" spans="1:23" ht="15.75" thickBot="1" x14ac:dyDescent="0.3">
      <c r="A21" s="2" t="s">
        <v>1</v>
      </c>
      <c r="B21" s="7">
        <v>4319</v>
      </c>
      <c r="C21" s="7">
        <v>3982</v>
      </c>
      <c r="D21" s="7">
        <v>4963</v>
      </c>
      <c r="E21" s="7">
        <v>4026</v>
      </c>
      <c r="F21" s="7">
        <v>6319</v>
      </c>
      <c r="G21" s="7">
        <v>4472</v>
      </c>
      <c r="H21" s="7">
        <v>5524</v>
      </c>
      <c r="I21" s="7">
        <v>8820</v>
      </c>
      <c r="J21" s="7">
        <v>5594</v>
      </c>
      <c r="K21" s="7">
        <v>5562</v>
      </c>
      <c r="L21" s="7">
        <v>4038</v>
      </c>
      <c r="M21" s="7">
        <v>57619</v>
      </c>
      <c r="N21" s="8">
        <f t="shared" si="2"/>
        <v>-7.8027321139152575E-2</v>
      </c>
      <c r="O21" s="8">
        <f t="shared" si="3"/>
        <v>0.24635861376192869</v>
      </c>
      <c r="P21" s="8">
        <f t="shared" si="4"/>
        <v>-0.18879709852911544</v>
      </c>
      <c r="Q21" s="8">
        <f t="shared" si="5"/>
        <v>0.56954793840039741</v>
      </c>
      <c r="R21" s="8">
        <f t="shared" si="6"/>
        <v>-0.29229308434878937</v>
      </c>
      <c r="S21" s="8">
        <f t="shared" si="7"/>
        <v>0.23524150268336314</v>
      </c>
      <c r="T21" s="8">
        <f t="shared" si="8"/>
        <v>0.59666908037653876</v>
      </c>
      <c r="U21" s="8">
        <f t="shared" si="9"/>
        <v>-0.36575963718820864</v>
      </c>
      <c r="V21" s="8">
        <f t="shared" si="10"/>
        <v>-5.7204147300679298E-3</v>
      </c>
      <c r="W21" s="8">
        <f t="shared" si="11"/>
        <v>-0.27400215749730311</v>
      </c>
    </row>
    <row r="22" spans="1:23" ht="15.75" thickBot="1" x14ac:dyDescent="0.3">
      <c r="A22" s="2" t="s">
        <v>11</v>
      </c>
      <c r="B22" s="7">
        <v>54462</v>
      </c>
      <c r="C22" s="7">
        <v>56427</v>
      </c>
      <c r="D22" s="7">
        <v>60940</v>
      </c>
      <c r="E22" s="7">
        <v>57707</v>
      </c>
      <c r="F22" s="7">
        <v>58696</v>
      </c>
      <c r="G22" s="7">
        <v>62498</v>
      </c>
      <c r="H22" s="7">
        <v>63441</v>
      </c>
      <c r="I22" s="7">
        <v>65563</v>
      </c>
      <c r="J22" s="7">
        <v>64404</v>
      </c>
      <c r="K22" s="7">
        <v>66371</v>
      </c>
      <c r="L22" s="7">
        <v>59309</v>
      </c>
      <c r="M22" s="7">
        <v>669818</v>
      </c>
      <c r="N22" s="11">
        <f t="shared" si="2"/>
        <v>3.6080202710146524E-2</v>
      </c>
      <c r="O22" s="12">
        <f t="shared" si="3"/>
        <v>7.9979442465486383E-2</v>
      </c>
      <c r="P22" s="12">
        <f t="shared" si="4"/>
        <v>-5.3052182474565147E-2</v>
      </c>
      <c r="Q22" s="12">
        <f t="shared" si="5"/>
        <v>1.7138302112395375E-2</v>
      </c>
      <c r="R22" s="12">
        <f t="shared" si="6"/>
        <v>6.477443096633502E-2</v>
      </c>
      <c r="S22" s="12">
        <f t="shared" si="7"/>
        <v>1.5088482831450607E-2</v>
      </c>
      <c r="T22" s="12">
        <f t="shared" si="8"/>
        <v>3.3448400876404848E-2</v>
      </c>
      <c r="U22" s="12">
        <f t="shared" si="9"/>
        <v>-1.7677653554596343E-2</v>
      </c>
      <c r="V22" s="12">
        <f t="shared" si="10"/>
        <v>3.054158126824421E-2</v>
      </c>
      <c r="W22" s="13">
        <f t="shared" si="11"/>
        <v>-0.1064018923927619</v>
      </c>
    </row>
    <row r="26" spans="1:23" ht="15.75" thickBot="1" x14ac:dyDescent="0.3"/>
    <row r="27" spans="1:23" ht="15.75" thickBot="1" x14ac:dyDescent="0.3">
      <c r="A27" s="1" t="s">
        <v>14</v>
      </c>
      <c r="B27" s="1" t="s">
        <v>13</v>
      </c>
      <c r="N27" s="39" t="s">
        <v>15</v>
      </c>
      <c r="O27" s="40"/>
      <c r="P27" s="40"/>
      <c r="Q27" s="40"/>
      <c r="R27" s="40"/>
      <c r="S27" s="40"/>
      <c r="T27" s="40"/>
      <c r="U27" s="40"/>
      <c r="V27" s="40"/>
      <c r="W27" s="41"/>
    </row>
    <row r="28" spans="1:23" ht="15.75" thickBot="1" x14ac:dyDescent="0.3">
      <c r="A28" s="1" t="s">
        <v>0</v>
      </c>
      <c r="B28" s="6">
        <v>2015</v>
      </c>
      <c r="C28" s="6">
        <v>2016</v>
      </c>
      <c r="D28" s="6">
        <v>2017</v>
      </c>
      <c r="E28" s="6">
        <v>2018</v>
      </c>
      <c r="F28" s="6">
        <v>2019</v>
      </c>
      <c r="G28" s="6">
        <v>2020</v>
      </c>
      <c r="H28" s="6">
        <v>2021</v>
      </c>
      <c r="I28" s="6">
        <v>2022</v>
      </c>
      <c r="J28" s="6">
        <v>2023</v>
      </c>
      <c r="K28" s="6">
        <v>2024</v>
      </c>
      <c r="L28" s="6">
        <v>2025</v>
      </c>
      <c r="M28" s="6" t="s">
        <v>11</v>
      </c>
      <c r="N28" s="18" t="s">
        <v>16</v>
      </c>
      <c r="O28" s="19" t="s">
        <v>17</v>
      </c>
      <c r="P28" s="19" t="s">
        <v>18</v>
      </c>
      <c r="Q28" s="19" t="s">
        <v>19</v>
      </c>
      <c r="R28" s="19" t="s">
        <v>20</v>
      </c>
      <c r="S28" s="19" t="s">
        <v>21</v>
      </c>
      <c r="T28" s="19" t="s">
        <v>22</v>
      </c>
      <c r="U28" s="19" t="s">
        <v>23</v>
      </c>
      <c r="V28" s="19" t="s">
        <v>24</v>
      </c>
      <c r="W28" s="20" t="s">
        <v>25</v>
      </c>
    </row>
    <row r="29" spans="1:23" x14ac:dyDescent="0.25">
      <c r="A29" s="2" t="s">
        <v>9</v>
      </c>
      <c r="B29" s="9">
        <v>13039.533571206219</v>
      </c>
      <c r="C29" s="9">
        <v>14346.863810169874</v>
      </c>
      <c r="D29" s="9">
        <v>12341.284495153606</v>
      </c>
      <c r="E29" s="9">
        <v>17946.247525011113</v>
      </c>
      <c r="F29" s="9">
        <v>8477.6858690813078</v>
      </c>
      <c r="G29" s="9">
        <v>12722.533154854942</v>
      </c>
      <c r="H29" s="9">
        <v>17303.392661272646</v>
      </c>
      <c r="I29" s="9">
        <v>15115.365659367259</v>
      </c>
      <c r="J29" s="9">
        <v>22054.387854793087</v>
      </c>
      <c r="K29" s="9">
        <v>11078.582599535865</v>
      </c>
      <c r="L29" s="9">
        <v>9169.2133345292077</v>
      </c>
      <c r="M29" s="9">
        <v>153595.0905349752</v>
      </c>
      <c r="N29" s="8">
        <f>(C29-B29)/B29</f>
        <v>0.10025897259473227</v>
      </c>
      <c r="O29" s="8">
        <f>(D29-C29)/C29</f>
        <v>-0.13979217629392976</v>
      </c>
      <c r="P29" s="8">
        <f t="shared" ref="P29:P39" si="12">(E29-D29)/D29</f>
        <v>0.4541636676521445</v>
      </c>
      <c r="Q29" s="8">
        <f t="shared" ref="Q29:Q39" si="13">(F29-E29)/E29</f>
        <v>-0.52760676808529317</v>
      </c>
      <c r="R29" s="8">
        <f t="shared" ref="R29:R39" si="14">(G29-F29)/F29</f>
        <v>0.50070825356420423</v>
      </c>
      <c r="S29" s="8">
        <f>(H29-G29)/G29</f>
        <v>0.36005875957726546</v>
      </c>
      <c r="T29" s="8">
        <f t="shared" ref="T29:T39" si="15">(I29-H29)/H29</f>
        <v>-0.12645075129124769</v>
      </c>
      <c r="U29" s="8">
        <f t="shared" ref="U29:U39" si="16">(J29-I29)/I29</f>
        <v>0.45907074640470863</v>
      </c>
      <c r="V29" s="8">
        <f>(K29-J29)/J29</f>
        <v>-0.49766991165306124</v>
      </c>
      <c r="W29" s="8">
        <f>(L29-K29)/K29</f>
        <v>-0.17234779339792525</v>
      </c>
    </row>
    <row r="30" spans="1:23" x14ac:dyDescent="0.25">
      <c r="A30" s="2" t="s">
        <v>2</v>
      </c>
      <c r="B30" s="9">
        <v>9486.6404784744755</v>
      </c>
      <c r="C30" s="9">
        <v>12457.335630800293</v>
      </c>
      <c r="D30" s="9">
        <v>14767.845238190261</v>
      </c>
      <c r="E30" s="9">
        <v>12828.862447094467</v>
      </c>
      <c r="F30" s="9">
        <v>18954.887497146039</v>
      </c>
      <c r="G30" s="9">
        <v>9111.4242547892864</v>
      </c>
      <c r="H30" s="9">
        <v>17186.294990796723</v>
      </c>
      <c r="I30" s="9">
        <v>13661.851978898903</v>
      </c>
      <c r="J30" s="9">
        <v>17502.235950998871</v>
      </c>
      <c r="K30" s="9">
        <v>8925.2268792406867</v>
      </c>
      <c r="L30" s="9">
        <v>16584.917090758623</v>
      </c>
      <c r="M30" s="9">
        <v>151467.52243718866</v>
      </c>
      <c r="N30" s="8">
        <f t="shared" ref="N30:N39" si="17">(C30-B30)/B30</f>
        <v>0.31314511802849815</v>
      </c>
      <c r="O30" s="8">
        <f t="shared" ref="O30:O39" si="18">(D30-C30)/C30</f>
        <v>0.18547381846863945</v>
      </c>
      <c r="P30" s="8">
        <f t="shared" si="12"/>
        <v>-0.13129761043821775</v>
      </c>
      <c r="Q30" s="8">
        <f t="shared" si="13"/>
        <v>0.47751895971407965</v>
      </c>
      <c r="R30" s="8">
        <f t="shared" si="14"/>
        <v>-0.51931003250949626</v>
      </c>
      <c r="S30" s="8">
        <f t="shared" ref="S30:S39" si="19">(H30-G30)/G30</f>
        <v>0.88623584087449336</v>
      </c>
      <c r="T30" s="8">
        <f t="shared" si="15"/>
        <v>-0.20507288009342109</v>
      </c>
      <c r="U30" s="8">
        <f t="shared" si="16"/>
        <v>0.28110273614672032</v>
      </c>
      <c r="V30" s="8">
        <f t="shared" ref="V30:V39" si="20">(K30-J30)/J30</f>
        <v>-0.4900521908041518</v>
      </c>
      <c r="W30" s="8">
        <f t="shared" ref="W30:W39" si="21">(L30-K30)/K30</f>
        <v>0.85820677895972819</v>
      </c>
    </row>
    <row r="31" spans="1:23" x14ac:dyDescent="0.25">
      <c r="A31" s="2" t="s">
        <v>10</v>
      </c>
      <c r="B31" s="9">
        <v>20191.951593091348</v>
      </c>
      <c r="C31" s="9">
        <v>14100.226299390941</v>
      </c>
      <c r="D31" s="9">
        <v>7563.8343786249297</v>
      </c>
      <c r="E31" s="9">
        <v>9057.014019968954</v>
      </c>
      <c r="F31" s="9">
        <v>10039.952760820666</v>
      </c>
      <c r="G31" s="9">
        <v>15683.329877790929</v>
      </c>
      <c r="H31" s="9">
        <v>11018.809014072383</v>
      </c>
      <c r="I31" s="9">
        <v>18142.915282973318</v>
      </c>
      <c r="J31" s="9">
        <v>14752.042856110073</v>
      </c>
      <c r="K31" s="9">
        <v>16398.929176231926</v>
      </c>
      <c r="L31" s="9">
        <v>12546.522378008629</v>
      </c>
      <c r="M31" s="9">
        <v>149495.52763708413</v>
      </c>
      <c r="N31" s="8">
        <f t="shared" si="17"/>
        <v>-0.30169076355079433</v>
      </c>
      <c r="O31" s="8">
        <f t="shared" si="18"/>
        <v>-0.46356645503259408</v>
      </c>
      <c r="P31" s="8">
        <f t="shared" si="12"/>
        <v>0.19741040940342186</v>
      </c>
      <c r="Q31" s="8">
        <f t="shared" si="13"/>
        <v>0.10852790320126739</v>
      </c>
      <c r="R31" s="8">
        <f t="shared" si="14"/>
        <v>0.5620919989775901</v>
      </c>
      <c r="S31" s="8">
        <f t="shared" si="19"/>
        <v>-0.2974190366501151</v>
      </c>
      <c r="T31" s="8">
        <f t="shared" si="15"/>
        <v>0.64654049814299974</v>
      </c>
      <c r="U31" s="8">
        <f t="shared" si="16"/>
        <v>-0.18689788129284249</v>
      </c>
      <c r="V31" s="8">
        <f t="shared" si="20"/>
        <v>0.11163784813977397</v>
      </c>
      <c r="W31" s="8">
        <f t="shared" si="21"/>
        <v>-0.23491819232970712</v>
      </c>
    </row>
    <row r="32" spans="1:23" x14ac:dyDescent="0.25">
      <c r="A32" s="2" t="s">
        <v>5</v>
      </c>
      <c r="B32" s="9">
        <v>7347.758823445728</v>
      </c>
      <c r="C32" s="9">
        <v>3549.5970468724686</v>
      </c>
      <c r="D32" s="9">
        <v>11204.060944336672</v>
      </c>
      <c r="E32" s="9">
        <v>13624.900984548131</v>
      </c>
      <c r="F32" s="9">
        <v>20095.265034360331</v>
      </c>
      <c r="G32" s="9">
        <v>16039.073815069014</v>
      </c>
      <c r="H32" s="9">
        <v>17244.000392206362</v>
      </c>
      <c r="I32" s="9">
        <v>6893.08301807314</v>
      </c>
      <c r="J32" s="9">
        <v>15542.888049544901</v>
      </c>
      <c r="K32" s="9">
        <v>20064.333513124009</v>
      </c>
      <c r="L32" s="9">
        <v>11949.142339371363</v>
      </c>
      <c r="M32" s="9">
        <v>143554.10396095211</v>
      </c>
      <c r="N32" s="8">
        <f t="shared" si="17"/>
        <v>-0.51691432283458005</v>
      </c>
      <c r="O32" s="8">
        <f t="shared" si="18"/>
        <v>2.1564317854637927</v>
      </c>
      <c r="P32" s="8">
        <f t="shared" si="12"/>
        <v>0.21606808926143184</v>
      </c>
      <c r="Q32" s="8">
        <f t="shared" si="13"/>
        <v>0.47489255570739031</v>
      </c>
      <c r="R32" s="8">
        <f t="shared" si="14"/>
        <v>-0.20184810761917044</v>
      </c>
      <c r="S32" s="8">
        <f t="shared" si="19"/>
        <v>7.5124448645238914E-2</v>
      </c>
      <c r="T32" s="8">
        <f t="shared" si="15"/>
        <v>-0.60026195422794393</v>
      </c>
      <c r="U32" s="8">
        <f t="shared" si="16"/>
        <v>1.2548528733503761</v>
      </c>
      <c r="V32" s="8">
        <f t="shared" si="20"/>
        <v>0.29090124365345971</v>
      </c>
      <c r="W32" s="8">
        <f t="shared" si="21"/>
        <v>-0.40445854672643516</v>
      </c>
    </row>
    <row r="33" spans="1:23" x14ac:dyDescent="0.25">
      <c r="A33" s="2" t="s">
        <v>3</v>
      </c>
      <c r="B33" s="9">
        <v>13630.67974194512</v>
      </c>
      <c r="C33" s="9">
        <v>14173.198088821728</v>
      </c>
      <c r="D33" s="9">
        <v>15522.954386996025</v>
      </c>
      <c r="E33" s="9">
        <v>11780.255676050832</v>
      </c>
      <c r="F33" s="9">
        <v>11731.803879066125</v>
      </c>
      <c r="G33" s="9">
        <v>15876.925358219514</v>
      </c>
      <c r="H33" s="9">
        <v>16144.55530343676</v>
      </c>
      <c r="I33" s="9">
        <v>10715.488764607493</v>
      </c>
      <c r="J33" s="9">
        <v>5690.7234095812819</v>
      </c>
      <c r="K33" s="9">
        <v>16813.514012944554</v>
      </c>
      <c r="L33" s="9">
        <v>9404.7980456352343</v>
      </c>
      <c r="M33" s="9">
        <v>141484.89666730468</v>
      </c>
      <c r="N33" s="8">
        <f t="shared" si="17"/>
        <v>3.9801268692942669E-2</v>
      </c>
      <c r="O33" s="8">
        <f t="shared" si="18"/>
        <v>9.5233008789938386E-2</v>
      </c>
      <c r="P33" s="8">
        <f t="shared" si="12"/>
        <v>-0.24110737026197457</v>
      </c>
      <c r="Q33" s="8">
        <f t="shared" si="13"/>
        <v>-4.1129665023493158E-3</v>
      </c>
      <c r="R33" s="8">
        <f t="shared" si="14"/>
        <v>0.35332345493345813</v>
      </c>
      <c r="S33" s="8">
        <f t="shared" si="19"/>
        <v>1.6856534825157039E-2</v>
      </c>
      <c r="T33" s="8">
        <f t="shared" si="15"/>
        <v>-0.33627848130778548</v>
      </c>
      <c r="U33" s="8">
        <f t="shared" si="16"/>
        <v>-0.46892544665089458</v>
      </c>
      <c r="V33" s="8">
        <f t="shared" si="20"/>
        <v>1.9545477442527253</v>
      </c>
      <c r="W33" s="8">
        <f t="shared" si="21"/>
        <v>-0.4406405443624351</v>
      </c>
    </row>
    <row r="34" spans="1:23" x14ac:dyDescent="0.25">
      <c r="A34" s="2" t="s">
        <v>8</v>
      </c>
      <c r="B34" s="9">
        <v>12413.952533830279</v>
      </c>
      <c r="C34" s="9">
        <v>15630.836038236193</v>
      </c>
      <c r="D34" s="9">
        <v>6298.8892240072364</v>
      </c>
      <c r="E34" s="9">
        <v>13419.670929500337</v>
      </c>
      <c r="F34" s="9">
        <v>6033.2858765931478</v>
      </c>
      <c r="G34" s="9">
        <v>17434.006921470354</v>
      </c>
      <c r="H34" s="9">
        <v>13253.703527872503</v>
      </c>
      <c r="I34" s="9">
        <v>23127.759544738816</v>
      </c>
      <c r="J34" s="9">
        <v>17372.279338277986</v>
      </c>
      <c r="K34" s="9">
        <v>8050.9027433189785</v>
      </c>
      <c r="L34" s="9">
        <v>7822.1519111743874</v>
      </c>
      <c r="M34" s="9">
        <v>140857.43858902025</v>
      </c>
      <c r="N34" s="8">
        <f t="shared" si="17"/>
        <v>0.25913450978963559</v>
      </c>
      <c r="O34" s="8">
        <f t="shared" si="18"/>
        <v>-0.59702160469223298</v>
      </c>
      <c r="P34" s="8">
        <f t="shared" si="12"/>
        <v>1.1304821298258982</v>
      </c>
      <c r="Q34" s="8">
        <f t="shared" si="13"/>
        <v>-0.55041476737479222</v>
      </c>
      <c r="R34" s="8">
        <f t="shared" si="14"/>
        <v>1.8896371360600801</v>
      </c>
      <c r="S34" s="8">
        <f t="shared" si="19"/>
        <v>-0.23977869301231708</v>
      </c>
      <c r="T34" s="8">
        <f t="shared" si="15"/>
        <v>0.74500353777351358</v>
      </c>
      <c r="U34" s="8">
        <f t="shared" si="16"/>
        <v>-0.24885593415684346</v>
      </c>
      <c r="V34" s="8">
        <f t="shared" si="20"/>
        <v>-0.53656612430933781</v>
      </c>
      <c r="W34" s="8">
        <f t="shared" si="21"/>
        <v>-2.8413066141485747E-2</v>
      </c>
    </row>
    <row r="35" spans="1:23" x14ac:dyDescent="0.25">
      <c r="A35" s="2" t="s">
        <v>6</v>
      </c>
      <c r="B35" s="9">
        <v>14870.978058201934</v>
      </c>
      <c r="C35" s="9">
        <v>12645.553523570808</v>
      </c>
      <c r="D35" s="9">
        <v>17703.998975412829</v>
      </c>
      <c r="E35" s="9">
        <v>8767.2615805669739</v>
      </c>
      <c r="F35" s="9">
        <v>3421.7227494190706</v>
      </c>
      <c r="G35" s="9">
        <v>12386.538159298467</v>
      </c>
      <c r="H35" s="9">
        <v>6685.386731540103</v>
      </c>
      <c r="I35" s="9">
        <v>7465.7640354644464</v>
      </c>
      <c r="J35" s="9">
        <v>11906.145501967234</v>
      </c>
      <c r="K35" s="9">
        <v>15053.730726078171</v>
      </c>
      <c r="L35" s="9">
        <v>12774.1631492856</v>
      </c>
      <c r="M35" s="9">
        <v>123681.24319080562</v>
      </c>
      <c r="N35" s="8">
        <f t="shared" si="17"/>
        <v>-0.14964883452327574</v>
      </c>
      <c r="O35" s="8">
        <f t="shared" si="18"/>
        <v>0.40001771709030209</v>
      </c>
      <c r="P35" s="8">
        <f t="shared" si="12"/>
        <v>-0.50478637099206369</v>
      </c>
      <c r="Q35" s="8">
        <f t="shared" si="13"/>
        <v>-0.60971590524874142</v>
      </c>
      <c r="R35" s="8">
        <f t="shared" si="14"/>
        <v>2.6199713028770129</v>
      </c>
      <c r="S35" s="8">
        <f t="shared" si="19"/>
        <v>-0.46026996037456669</v>
      </c>
      <c r="T35" s="8">
        <f t="shared" si="15"/>
        <v>0.1167288199264082</v>
      </c>
      <c r="U35" s="8">
        <f t="shared" si="16"/>
        <v>0.59476584652417974</v>
      </c>
      <c r="V35" s="8">
        <f t="shared" si="20"/>
        <v>0.26436643358598855</v>
      </c>
      <c r="W35" s="8">
        <f t="shared" si="21"/>
        <v>-0.15142874668560311</v>
      </c>
    </row>
    <row r="36" spans="1:23" x14ac:dyDescent="0.25">
      <c r="A36" s="2" t="s">
        <v>4</v>
      </c>
      <c r="B36" s="9">
        <v>9745.0253068024376</v>
      </c>
      <c r="C36" s="9">
        <v>6744.1441320685099</v>
      </c>
      <c r="D36" s="9">
        <v>19242.418044267495</v>
      </c>
      <c r="E36" s="9">
        <v>14766.954986016894</v>
      </c>
      <c r="F36" s="9">
        <v>13963.71183569711</v>
      </c>
      <c r="G36" s="9">
        <v>7465.7176973483911</v>
      </c>
      <c r="H36" s="9">
        <v>3632.0108892412391</v>
      </c>
      <c r="I36" s="9">
        <v>8952.1817265676418</v>
      </c>
      <c r="J36" s="9">
        <v>15504.153058109019</v>
      </c>
      <c r="K36" s="9">
        <v>13119.239268570758</v>
      </c>
      <c r="L36" s="9">
        <v>10444.491028562472</v>
      </c>
      <c r="M36" s="9">
        <v>123580.04797325197</v>
      </c>
      <c r="N36" s="8">
        <f t="shared" si="17"/>
        <v>-0.30793980315671282</v>
      </c>
      <c r="O36" s="8">
        <f t="shared" si="18"/>
        <v>1.8532038561823581</v>
      </c>
      <c r="P36" s="8">
        <f t="shared" si="12"/>
        <v>-0.23258319447975437</v>
      </c>
      <c r="Q36" s="8">
        <f t="shared" si="13"/>
        <v>-5.4394636611297995E-2</v>
      </c>
      <c r="R36" s="8">
        <f t="shared" si="14"/>
        <v>-0.4653486275574033</v>
      </c>
      <c r="S36" s="8">
        <f t="shared" si="19"/>
        <v>-0.51350813994330036</v>
      </c>
      <c r="T36" s="8">
        <f t="shared" si="15"/>
        <v>1.4648003542846855</v>
      </c>
      <c r="U36" s="8">
        <f t="shared" si="16"/>
        <v>0.73188542543734425</v>
      </c>
      <c r="V36" s="8">
        <f t="shared" si="20"/>
        <v>-0.15382419024113655</v>
      </c>
      <c r="W36" s="8">
        <f t="shared" si="21"/>
        <v>-0.20387982757628903</v>
      </c>
    </row>
    <row r="37" spans="1:23" x14ac:dyDescent="0.25">
      <c r="A37" s="2" t="s">
        <v>7</v>
      </c>
      <c r="B37" s="9">
        <v>7051.6182519111526</v>
      </c>
      <c r="C37" s="9">
        <v>11214.487834292504</v>
      </c>
      <c r="D37" s="9">
        <v>10276.749781087103</v>
      </c>
      <c r="E37" s="9">
        <v>13253.272121552443</v>
      </c>
      <c r="F37" s="9">
        <v>10117.603506730818</v>
      </c>
      <c r="G37" s="9">
        <v>8125.7624369887171</v>
      </c>
      <c r="H37" s="9">
        <v>19366.542771675027</v>
      </c>
      <c r="I37" s="9">
        <v>5999.9093348193583</v>
      </c>
      <c r="J37" s="9">
        <v>11574.037424165281</v>
      </c>
      <c r="K37" s="9">
        <v>17328.529322805014</v>
      </c>
      <c r="L37" s="9">
        <v>8488.0650646804788</v>
      </c>
      <c r="M37" s="9">
        <v>122796.57785070794</v>
      </c>
      <c r="N37" s="8">
        <f t="shared" si="17"/>
        <v>0.59034244816827919</v>
      </c>
      <c r="O37" s="8">
        <f t="shared" si="18"/>
        <v>-8.3618446696951718E-2</v>
      </c>
      <c r="P37" s="8">
        <f t="shared" si="12"/>
        <v>0.28963654889634532</v>
      </c>
      <c r="Q37" s="8">
        <f t="shared" si="13"/>
        <v>-0.23659580713825434</v>
      </c>
      <c r="R37" s="8">
        <f t="shared" si="14"/>
        <v>-0.19686886014232646</v>
      </c>
      <c r="S37" s="8">
        <f t="shared" si="19"/>
        <v>1.3833508451487504</v>
      </c>
      <c r="T37" s="8">
        <f t="shared" si="15"/>
        <v>-0.69019202830591631</v>
      </c>
      <c r="U37" s="8">
        <f t="shared" si="16"/>
        <v>0.9290353867511808</v>
      </c>
      <c r="V37" s="8">
        <f t="shared" si="20"/>
        <v>0.49718967441949041</v>
      </c>
      <c r="W37" s="8">
        <f t="shared" si="21"/>
        <v>-0.51016817950558235</v>
      </c>
    </row>
    <row r="38" spans="1:23" ht="15.75" thickBot="1" x14ac:dyDescent="0.3">
      <c r="A38" s="2" t="s">
        <v>1</v>
      </c>
      <c r="B38" s="9">
        <v>4337.9028642032026</v>
      </c>
      <c r="C38" s="9">
        <v>6636.5344346354786</v>
      </c>
      <c r="D38" s="9">
        <v>6730.6103045048067</v>
      </c>
      <c r="E38" s="9">
        <v>4538.3872570232688</v>
      </c>
      <c r="F38" s="9">
        <v>11502.916050718515</v>
      </c>
      <c r="G38" s="9">
        <v>9585.2157256521787</v>
      </c>
      <c r="H38" s="9">
        <v>10297.708276016978</v>
      </c>
      <c r="I38" s="9">
        <v>21984.12177493659</v>
      </c>
      <c r="J38" s="9">
        <v>7079.6941906188613</v>
      </c>
      <c r="K38" s="9">
        <v>12021.7821020793</v>
      </c>
      <c r="L38" s="9">
        <v>7830.1136867399946</v>
      </c>
      <c r="M38" s="9">
        <v>102544.9866671292</v>
      </c>
      <c r="N38" s="8">
        <f t="shared" si="17"/>
        <v>0.52989466163495913</v>
      </c>
      <c r="O38" s="8">
        <f t="shared" si="18"/>
        <v>1.4175451178005569E-2</v>
      </c>
      <c r="P38" s="8">
        <f t="shared" si="12"/>
        <v>-0.32570940053003516</v>
      </c>
      <c r="Q38" s="8">
        <f t="shared" si="13"/>
        <v>1.5345823084879904</v>
      </c>
      <c r="R38" s="8">
        <f t="shared" si="14"/>
        <v>-0.16671427632878794</v>
      </c>
      <c r="S38" s="8">
        <f t="shared" si="19"/>
        <v>7.433244809065799E-2</v>
      </c>
      <c r="T38" s="8">
        <f t="shared" si="15"/>
        <v>1.1348557548611939</v>
      </c>
      <c r="U38" s="8">
        <f t="shared" si="16"/>
        <v>-0.6779632926392265</v>
      </c>
      <c r="V38" s="8">
        <f t="shared" si="20"/>
        <v>0.69806516756176906</v>
      </c>
      <c r="W38" s="8">
        <f t="shared" si="21"/>
        <v>-0.34867279906980764</v>
      </c>
    </row>
    <row r="39" spans="1:23" ht="15.75" thickBot="1" x14ac:dyDescent="0.3">
      <c r="A39" s="2" t="s">
        <v>11</v>
      </c>
      <c r="B39" s="10">
        <v>112116.04122311193</v>
      </c>
      <c r="C39" s="10">
        <v>111498.77683885882</v>
      </c>
      <c r="D39" s="10">
        <v>121652.64577258099</v>
      </c>
      <c r="E39" s="10">
        <v>119982.82752733343</v>
      </c>
      <c r="F39" s="10">
        <v>114338.83505963313</v>
      </c>
      <c r="G39" s="10">
        <v>124430.52740148183</v>
      </c>
      <c r="H39" s="10">
        <v>132132.40455813071</v>
      </c>
      <c r="I39" s="10">
        <v>132058.44112044695</v>
      </c>
      <c r="J39" s="10">
        <v>138978.58763416659</v>
      </c>
      <c r="K39" s="10">
        <v>138854.7703439293</v>
      </c>
      <c r="L39" s="10">
        <v>107013.57802874599</v>
      </c>
      <c r="M39" s="10">
        <v>1353057.4355084195</v>
      </c>
      <c r="N39" s="11">
        <f t="shared" si="17"/>
        <v>-5.5055849057740894E-3</v>
      </c>
      <c r="O39" s="12">
        <f t="shared" si="18"/>
        <v>9.1067088102650948E-2</v>
      </c>
      <c r="P39" s="12">
        <f t="shared" si="12"/>
        <v>-1.3726115323205867E-2</v>
      </c>
      <c r="Q39" s="12">
        <f t="shared" si="13"/>
        <v>-4.7040002173765534E-2</v>
      </c>
      <c r="R39" s="12">
        <f t="shared" si="14"/>
        <v>8.8261283548895716E-2</v>
      </c>
      <c r="S39" s="12">
        <f t="shared" si="19"/>
        <v>6.1897006446001497E-2</v>
      </c>
      <c r="T39" s="12">
        <f t="shared" si="15"/>
        <v>-5.597675901767475E-4</v>
      </c>
      <c r="U39" s="12">
        <f t="shared" si="16"/>
        <v>5.2402152069991166E-2</v>
      </c>
      <c r="V39" s="12">
        <f t="shared" si="20"/>
        <v>-8.9090911301541057E-4</v>
      </c>
      <c r="W39" s="13">
        <f t="shared" si="21"/>
        <v>-0.22931291619521513</v>
      </c>
    </row>
    <row r="40" spans="1:23" ht="15.75" thickBot="1" x14ac:dyDescent="0.3"/>
    <row r="41" spans="1:23" ht="15.75" thickBot="1" x14ac:dyDescent="0.3">
      <c r="A41" s="1" t="s">
        <v>12</v>
      </c>
      <c r="B41" s="1" t="s">
        <v>13</v>
      </c>
      <c r="N41" s="39" t="s">
        <v>15</v>
      </c>
      <c r="O41" s="40"/>
      <c r="P41" s="40"/>
      <c r="Q41" s="40"/>
      <c r="R41" s="40"/>
      <c r="S41" s="40"/>
      <c r="T41" s="40"/>
      <c r="U41" s="40"/>
      <c r="V41" s="40"/>
      <c r="W41" s="41"/>
    </row>
    <row r="42" spans="1:23" ht="15.75" thickBot="1" x14ac:dyDescent="0.3">
      <c r="A42" s="1" t="s">
        <v>0</v>
      </c>
      <c r="B42" s="6">
        <v>2015</v>
      </c>
      <c r="C42" s="6">
        <v>2016</v>
      </c>
      <c r="D42" s="6">
        <v>2017</v>
      </c>
      <c r="E42" s="6">
        <v>2018</v>
      </c>
      <c r="F42" s="6">
        <v>2019</v>
      </c>
      <c r="G42" s="6">
        <v>2020</v>
      </c>
      <c r="H42" s="6">
        <v>2021</v>
      </c>
      <c r="I42" s="6">
        <v>2022</v>
      </c>
      <c r="J42" s="6">
        <v>2023</v>
      </c>
      <c r="K42" s="6">
        <v>2024</v>
      </c>
      <c r="L42" s="6">
        <v>2025</v>
      </c>
      <c r="M42" s="6" t="s">
        <v>11</v>
      </c>
      <c r="N42" s="30" t="s">
        <v>16</v>
      </c>
      <c r="O42" s="31" t="s">
        <v>17</v>
      </c>
      <c r="P42" s="31" t="s">
        <v>18</v>
      </c>
      <c r="Q42" s="31" t="s">
        <v>19</v>
      </c>
      <c r="R42" s="31" t="s">
        <v>20</v>
      </c>
      <c r="S42" s="31" t="s">
        <v>21</v>
      </c>
      <c r="T42" s="31" t="s">
        <v>22</v>
      </c>
      <c r="U42" s="31" t="s">
        <v>23</v>
      </c>
      <c r="V42" s="31" t="s">
        <v>24</v>
      </c>
      <c r="W42" s="32" t="s">
        <v>25</v>
      </c>
    </row>
    <row r="43" spans="1:23" x14ac:dyDescent="0.25">
      <c r="A43" s="2" t="s">
        <v>42</v>
      </c>
      <c r="B43" s="7">
        <v>8886</v>
      </c>
      <c r="C43" s="7">
        <v>19889</v>
      </c>
      <c r="D43" s="7">
        <v>9607</v>
      </c>
      <c r="E43" s="7">
        <v>28892</v>
      </c>
      <c r="F43" s="7">
        <v>14099</v>
      </c>
      <c r="G43" s="7">
        <v>19116</v>
      </c>
      <c r="H43" s="7">
        <v>24694</v>
      </c>
      <c r="I43" s="7">
        <v>21365</v>
      </c>
      <c r="J43" s="7">
        <v>12928</v>
      </c>
      <c r="K43" s="7">
        <v>16390</v>
      </c>
      <c r="L43" s="7">
        <v>20948</v>
      </c>
      <c r="M43" s="7">
        <v>196814</v>
      </c>
      <c r="N43" s="33">
        <f>(C43-B43)/B43</f>
        <v>1.2382399279765923</v>
      </c>
      <c r="O43" s="34">
        <f>(D43-C43)/C43</f>
        <v>-0.51696917894313443</v>
      </c>
      <c r="P43" s="34">
        <f t="shared" ref="P43" si="22">(E43-D43)/D43</f>
        <v>2.0073904444675756</v>
      </c>
      <c r="Q43" s="34">
        <f t="shared" ref="Q43" si="23">(F43-E43)/E43</f>
        <v>-0.51201024505053305</v>
      </c>
      <c r="R43" s="34">
        <f t="shared" ref="R43" si="24">(G43-F43)/F43</f>
        <v>0.35584083977587061</v>
      </c>
      <c r="S43" s="34">
        <f>(H43-G43)/G43</f>
        <v>0.29179744716467881</v>
      </c>
      <c r="T43" s="34">
        <f t="shared" ref="T43" si="25">(I43-H43)/H43</f>
        <v>-0.13481007532194056</v>
      </c>
      <c r="U43" s="34">
        <f t="shared" ref="U43" si="26">(J43-I43)/I43</f>
        <v>-0.39489819798736253</v>
      </c>
      <c r="V43" s="34">
        <f>(K43-J43)/J43</f>
        <v>0.26779084158415839</v>
      </c>
      <c r="W43" s="35">
        <f>(L43-K43)/K43</f>
        <v>0.27809640024405125</v>
      </c>
    </row>
    <row r="44" spans="1:23" x14ac:dyDescent="0.25">
      <c r="A44" s="2" t="s">
        <v>201</v>
      </c>
      <c r="B44" s="7">
        <v>20426</v>
      </c>
      <c r="C44" s="7">
        <v>12820</v>
      </c>
      <c r="D44" s="7">
        <v>19530</v>
      </c>
      <c r="E44" s="7">
        <v>10276</v>
      </c>
      <c r="F44" s="7">
        <v>19053</v>
      </c>
      <c r="G44" s="7">
        <v>15431</v>
      </c>
      <c r="H44" s="7">
        <v>11088</v>
      </c>
      <c r="I44" s="7">
        <v>15823</v>
      </c>
      <c r="J44" s="7">
        <v>17627</v>
      </c>
      <c r="K44" s="7">
        <v>13680</v>
      </c>
      <c r="L44" s="7">
        <v>15099</v>
      </c>
      <c r="M44" s="7">
        <v>170853</v>
      </c>
      <c r="N44" s="33">
        <f t="shared" ref="N44:N47" si="27">(C44-B44)/B44</f>
        <v>-0.37236854988739843</v>
      </c>
      <c r="O44" s="34">
        <f t="shared" ref="O44:O47" si="28">(D44-C44)/C44</f>
        <v>0.52340093603744153</v>
      </c>
      <c r="P44" s="34">
        <f t="shared" ref="P44:P47" si="29">(E44-D44)/D44</f>
        <v>-0.47383512544802869</v>
      </c>
      <c r="Q44" s="34">
        <f t="shared" ref="Q44:Q47" si="30">(F44-E44)/E44</f>
        <v>0.85412611911249514</v>
      </c>
      <c r="R44" s="34">
        <f t="shared" ref="R44:R47" si="31">(G44-F44)/F44</f>
        <v>-0.19010129638377157</v>
      </c>
      <c r="S44" s="34">
        <f t="shared" ref="S44:S47" si="32">(H44-G44)/G44</f>
        <v>-0.28144643898645583</v>
      </c>
      <c r="T44" s="34">
        <f t="shared" ref="T44:T47" si="33">(I44-H44)/H44</f>
        <v>0.42703823953823955</v>
      </c>
      <c r="U44" s="34">
        <f t="shared" ref="U44:U47" si="34">(J44-I44)/I44</f>
        <v>0.11401124944700752</v>
      </c>
      <c r="V44" s="34">
        <f t="shared" ref="V44:V47" si="35">(K44-J44)/J44</f>
        <v>-0.22391785329324332</v>
      </c>
      <c r="W44" s="35">
        <f t="shared" ref="W44:W47" si="36">(L44-K44)/K44</f>
        <v>0.1037280701754386</v>
      </c>
    </row>
    <row r="45" spans="1:23" x14ac:dyDescent="0.25">
      <c r="A45" s="2" t="s">
        <v>323</v>
      </c>
      <c r="B45" s="7">
        <v>7870</v>
      </c>
      <c r="C45" s="7">
        <v>17925</v>
      </c>
      <c r="D45" s="7">
        <v>11148</v>
      </c>
      <c r="E45" s="7">
        <v>9234</v>
      </c>
      <c r="F45" s="7">
        <v>14281</v>
      </c>
      <c r="G45" s="7">
        <v>16655</v>
      </c>
      <c r="H45" s="7">
        <v>13600</v>
      </c>
      <c r="I45" s="7">
        <v>15968</v>
      </c>
      <c r="J45" s="7">
        <v>17116</v>
      </c>
      <c r="K45" s="7">
        <v>19929</v>
      </c>
      <c r="L45" s="7">
        <v>13972</v>
      </c>
      <c r="M45" s="7">
        <v>157698</v>
      </c>
      <c r="N45" s="33">
        <f t="shared" si="27"/>
        <v>1.2776365946632782</v>
      </c>
      <c r="O45" s="34">
        <f t="shared" si="28"/>
        <v>-0.3780753138075314</v>
      </c>
      <c r="P45" s="34">
        <f t="shared" si="29"/>
        <v>-0.17168998923573736</v>
      </c>
      <c r="Q45" s="34">
        <f t="shared" si="30"/>
        <v>0.54656703487112845</v>
      </c>
      <c r="R45" s="34">
        <f t="shared" si="31"/>
        <v>0.16623485750297598</v>
      </c>
      <c r="S45" s="34">
        <f t="shared" si="32"/>
        <v>-0.18342839987991594</v>
      </c>
      <c r="T45" s="34">
        <f t="shared" si="33"/>
        <v>0.17411764705882352</v>
      </c>
      <c r="U45" s="34">
        <f t="shared" si="34"/>
        <v>7.1893787575150303E-2</v>
      </c>
      <c r="V45" s="34">
        <f t="shared" si="35"/>
        <v>0.1643491469969619</v>
      </c>
      <c r="W45" s="35">
        <f t="shared" si="36"/>
        <v>-0.2989111345275729</v>
      </c>
    </row>
    <row r="46" spans="1:23" ht="15.75" thickBot="1" x14ac:dyDescent="0.3">
      <c r="A46" s="2" t="s">
        <v>425</v>
      </c>
      <c r="B46" s="7">
        <v>17280</v>
      </c>
      <c r="C46" s="7">
        <v>5793</v>
      </c>
      <c r="D46" s="7">
        <v>20655</v>
      </c>
      <c r="E46" s="7">
        <v>9305</v>
      </c>
      <c r="F46" s="7">
        <v>11263</v>
      </c>
      <c r="G46" s="7">
        <v>11296</v>
      </c>
      <c r="H46" s="7">
        <v>14059</v>
      </c>
      <c r="I46" s="7">
        <v>12407</v>
      </c>
      <c r="J46" s="7">
        <v>16733</v>
      </c>
      <c r="K46" s="7">
        <v>16372</v>
      </c>
      <c r="L46" s="7">
        <v>9290</v>
      </c>
      <c r="M46" s="7">
        <v>144453</v>
      </c>
      <c r="N46" s="33">
        <f t="shared" si="27"/>
        <v>-0.66475694444444444</v>
      </c>
      <c r="O46" s="34">
        <f t="shared" si="28"/>
        <v>2.565510098394614</v>
      </c>
      <c r="P46" s="34">
        <f t="shared" si="29"/>
        <v>-0.54950375211813118</v>
      </c>
      <c r="Q46" s="34">
        <f t="shared" si="30"/>
        <v>0.21042450295540033</v>
      </c>
      <c r="R46" s="34">
        <f t="shared" si="31"/>
        <v>2.929947616088076E-3</v>
      </c>
      <c r="S46" s="34">
        <f t="shared" si="32"/>
        <v>0.24459985835694051</v>
      </c>
      <c r="T46" s="34">
        <f t="shared" si="33"/>
        <v>-0.11750480119496408</v>
      </c>
      <c r="U46" s="34">
        <f t="shared" si="34"/>
        <v>0.34867413556863064</v>
      </c>
      <c r="V46" s="34">
        <f t="shared" si="35"/>
        <v>-2.1574134942927151E-2</v>
      </c>
      <c r="W46" s="35">
        <f t="shared" si="36"/>
        <v>-0.4325677986806743</v>
      </c>
    </row>
    <row r="47" spans="1:23" ht="15.75" thickBot="1" x14ac:dyDescent="0.3">
      <c r="A47" s="2" t="s">
        <v>11</v>
      </c>
      <c r="B47" s="7">
        <v>54462</v>
      </c>
      <c r="C47" s="7">
        <v>56427</v>
      </c>
      <c r="D47" s="7">
        <v>60940</v>
      </c>
      <c r="E47" s="7">
        <v>57707</v>
      </c>
      <c r="F47" s="7">
        <v>58696</v>
      </c>
      <c r="G47" s="7">
        <v>62498</v>
      </c>
      <c r="H47" s="7">
        <v>63441</v>
      </c>
      <c r="I47" s="7">
        <v>65563</v>
      </c>
      <c r="J47" s="7">
        <v>64404</v>
      </c>
      <c r="K47" s="7">
        <v>66371</v>
      </c>
      <c r="L47" s="7">
        <v>59309</v>
      </c>
      <c r="M47" s="7">
        <v>669818</v>
      </c>
      <c r="N47" s="36">
        <f t="shared" si="27"/>
        <v>3.6080202710146524E-2</v>
      </c>
      <c r="O47" s="37">
        <f t="shared" si="28"/>
        <v>7.9979442465486383E-2</v>
      </c>
      <c r="P47" s="37">
        <f t="shared" si="29"/>
        <v>-5.3052182474565147E-2</v>
      </c>
      <c r="Q47" s="37">
        <f t="shared" si="30"/>
        <v>1.7138302112395375E-2</v>
      </c>
      <c r="R47" s="37">
        <f t="shared" si="31"/>
        <v>6.477443096633502E-2</v>
      </c>
      <c r="S47" s="37">
        <f t="shared" si="32"/>
        <v>1.5088482831450607E-2</v>
      </c>
      <c r="T47" s="37">
        <f t="shared" si="33"/>
        <v>3.3448400876404848E-2</v>
      </c>
      <c r="U47" s="37">
        <f t="shared" si="34"/>
        <v>-1.7677653554596343E-2</v>
      </c>
      <c r="V47" s="37">
        <f t="shared" si="35"/>
        <v>3.054158126824421E-2</v>
      </c>
      <c r="W47" s="38">
        <f t="shared" si="36"/>
        <v>-0.1064018923927619</v>
      </c>
    </row>
    <row r="49" spans="1:23" ht="15.75" thickBot="1" x14ac:dyDescent="0.3"/>
    <row r="50" spans="1:23" ht="15.75" thickBot="1" x14ac:dyDescent="0.3">
      <c r="A50" s="1" t="s">
        <v>12</v>
      </c>
      <c r="B50" s="1" t="s">
        <v>13</v>
      </c>
      <c r="N50" s="39" t="s">
        <v>15</v>
      </c>
      <c r="O50" s="40"/>
      <c r="P50" s="40"/>
      <c r="Q50" s="40"/>
      <c r="R50" s="40"/>
      <c r="S50" s="40"/>
      <c r="T50" s="40"/>
      <c r="U50" s="40"/>
      <c r="V50" s="40"/>
      <c r="W50" s="41"/>
    </row>
    <row r="51" spans="1:23" ht="15.75" thickBot="1" x14ac:dyDescent="0.3">
      <c r="A51" s="1" t="s">
        <v>0</v>
      </c>
      <c r="B51" s="6">
        <v>2015</v>
      </c>
      <c r="C51" s="6">
        <v>2016</v>
      </c>
      <c r="D51" s="6">
        <v>2017</v>
      </c>
      <c r="E51" s="6">
        <v>2018</v>
      </c>
      <c r="F51" s="6">
        <v>2019</v>
      </c>
      <c r="G51" s="6">
        <v>2020</v>
      </c>
      <c r="H51" s="6">
        <v>2021</v>
      </c>
      <c r="I51" s="6">
        <v>2022</v>
      </c>
      <c r="J51" s="6">
        <v>2023</v>
      </c>
      <c r="K51" s="6">
        <v>2024</v>
      </c>
      <c r="L51" s="6">
        <v>2025</v>
      </c>
      <c r="M51" s="6" t="s">
        <v>11</v>
      </c>
      <c r="N51" s="18" t="s">
        <v>16</v>
      </c>
      <c r="O51" s="19" t="s">
        <v>17</v>
      </c>
      <c r="P51" s="19" t="s">
        <v>18</v>
      </c>
      <c r="Q51" s="19" t="s">
        <v>19</v>
      </c>
      <c r="R51" s="19" t="s">
        <v>20</v>
      </c>
      <c r="S51" s="19" t="s">
        <v>21</v>
      </c>
      <c r="T51" s="19" t="s">
        <v>22</v>
      </c>
      <c r="U51" s="19" t="s">
        <v>23</v>
      </c>
      <c r="V51" s="19" t="s">
        <v>24</v>
      </c>
      <c r="W51" s="20" t="s">
        <v>25</v>
      </c>
    </row>
    <row r="52" spans="1:23" x14ac:dyDescent="0.25">
      <c r="A52" s="2" t="s">
        <v>42</v>
      </c>
      <c r="B52" s="7">
        <v>8886</v>
      </c>
      <c r="C52" s="7">
        <v>19889</v>
      </c>
      <c r="D52" s="7">
        <v>9607</v>
      </c>
      <c r="E52" s="7">
        <v>28892</v>
      </c>
      <c r="F52" s="7">
        <v>14099</v>
      </c>
      <c r="G52" s="7">
        <v>19116</v>
      </c>
      <c r="H52" s="7">
        <v>24694</v>
      </c>
      <c r="I52" s="7">
        <v>21365</v>
      </c>
      <c r="J52" s="7">
        <v>12928</v>
      </c>
      <c r="K52" s="7">
        <v>16390</v>
      </c>
      <c r="L52" s="7">
        <v>20948</v>
      </c>
      <c r="M52" s="7">
        <v>196814</v>
      </c>
      <c r="N52" s="8">
        <f>(C52-B52)/B52</f>
        <v>1.2382399279765923</v>
      </c>
      <c r="O52" s="8">
        <f>(D52-C52)/C52</f>
        <v>-0.51696917894313443</v>
      </c>
      <c r="P52" s="8">
        <f t="shared" ref="P52" si="37">(E52-D52)/D52</f>
        <v>2.0073904444675756</v>
      </c>
      <c r="Q52" s="8">
        <f t="shared" ref="Q52" si="38">(F52-E52)/E52</f>
        <v>-0.51201024505053305</v>
      </c>
      <c r="R52" s="8">
        <f t="shared" ref="R52" si="39">(G52-F52)/F52</f>
        <v>0.35584083977587061</v>
      </c>
      <c r="S52" s="8">
        <f>(H52-G52)/G52</f>
        <v>0.29179744716467881</v>
      </c>
      <c r="T52" s="8">
        <f t="shared" ref="T52" si="40">(I52-H52)/H52</f>
        <v>-0.13481007532194056</v>
      </c>
      <c r="U52" s="8">
        <f t="shared" ref="U52" si="41">(J52-I52)/I52</f>
        <v>-0.39489819798736253</v>
      </c>
      <c r="V52" s="8">
        <f>(K52-J52)/J52</f>
        <v>0.26779084158415839</v>
      </c>
      <c r="W52" s="8">
        <f>(L52-K52)/K52</f>
        <v>0.27809640024405125</v>
      </c>
    </row>
    <row r="53" spans="1:23" x14ac:dyDescent="0.25">
      <c r="A53" s="2" t="s">
        <v>201</v>
      </c>
      <c r="B53" s="7">
        <v>20426</v>
      </c>
      <c r="C53" s="7">
        <v>12820</v>
      </c>
      <c r="D53" s="7">
        <v>19530</v>
      </c>
      <c r="E53" s="7">
        <v>10276</v>
      </c>
      <c r="F53" s="7">
        <v>19053</v>
      </c>
      <c r="G53" s="7">
        <v>15431</v>
      </c>
      <c r="H53" s="7">
        <v>11088</v>
      </c>
      <c r="I53" s="7">
        <v>15823</v>
      </c>
      <c r="J53" s="7">
        <v>17627</v>
      </c>
      <c r="K53" s="7">
        <v>13680</v>
      </c>
      <c r="L53" s="7">
        <v>15099</v>
      </c>
      <c r="M53" s="7">
        <v>170853</v>
      </c>
      <c r="N53" s="8">
        <f t="shared" ref="N53:N56" si="42">(C53-B53)/B53</f>
        <v>-0.37236854988739843</v>
      </c>
      <c r="O53" s="8">
        <f t="shared" ref="O53:O56" si="43">(D53-C53)/C53</f>
        <v>0.52340093603744153</v>
      </c>
      <c r="P53" s="8">
        <f t="shared" ref="P53:P56" si="44">(E53-D53)/D53</f>
        <v>-0.47383512544802869</v>
      </c>
      <c r="Q53" s="8">
        <f t="shared" ref="Q53:Q56" si="45">(F53-E53)/E53</f>
        <v>0.85412611911249514</v>
      </c>
      <c r="R53" s="8">
        <f t="shared" ref="R53:R56" si="46">(G53-F53)/F53</f>
        <v>-0.19010129638377157</v>
      </c>
      <c r="S53" s="8">
        <f t="shared" ref="S53:S56" si="47">(H53-G53)/G53</f>
        <v>-0.28144643898645583</v>
      </c>
      <c r="T53" s="8">
        <f t="shared" ref="T53:T56" si="48">(I53-H53)/H53</f>
        <v>0.42703823953823955</v>
      </c>
      <c r="U53" s="8">
        <f t="shared" ref="U53:U56" si="49">(J53-I53)/I53</f>
        <v>0.11401124944700752</v>
      </c>
      <c r="V53" s="8">
        <f t="shared" ref="V53:V56" si="50">(K53-J53)/J53</f>
        <v>-0.22391785329324332</v>
      </c>
      <c r="W53" s="8">
        <f t="shared" ref="W53:W56" si="51">(L53-K53)/K53</f>
        <v>0.1037280701754386</v>
      </c>
    </row>
    <row r="54" spans="1:23" x14ac:dyDescent="0.25">
      <c r="A54" s="2" t="s">
        <v>323</v>
      </c>
      <c r="B54" s="7">
        <v>7870</v>
      </c>
      <c r="C54" s="7">
        <v>17925</v>
      </c>
      <c r="D54" s="7">
        <v>11148</v>
      </c>
      <c r="E54" s="7">
        <v>9234</v>
      </c>
      <c r="F54" s="7">
        <v>14281</v>
      </c>
      <c r="G54" s="7">
        <v>16655</v>
      </c>
      <c r="H54" s="7">
        <v>13600</v>
      </c>
      <c r="I54" s="7">
        <v>15968</v>
      </c>
      <c r="J54" s="7">
        <v>17116</v>
      </c>
      <c r="K54" s="7">
        <v>19929</v>
      </c>
      <c r="L54" s="7">
        <v>13972</v>
      </c>
      <c r="M54" s="7">
        <v>157698</v>
      </c>
      <c r="N54" s="8">
        <f t="shared" si="42"/>
        <v>1.2776365946632782</v>
      </c>
      <c r="O54" s="8">
        <f t="shared" si="43"/>
        <v>-0.3780753138075314</v>
      </c>
      <c r="P54" s="8">
        <f t="shared" si="44"/>
        <v>-0.17168998923573736</v>
      </c>
      <c r="Q54" s="8">
        <f t="shared" si="45"/>
        <v>0.54656703487112845</v>
      </c>
      <c r="R54" s="8">
        <f t="shared" si="46"/>
        <v>0.16623485750297598</v>
      </c>
      <c r="S54" s="8">
        <f t="shared" si="47"/>
        <v>-0.18342839987991594</v>
      </c>
      <c r="T54" s="8">
        <f t="shared" si="48"/>
        <v>0.17411764705882352</v>
      </c>
      <c r="U54" s="8">
        <f t="shared" si="49"/>
        <v>7.1893787575150303E-2</v>
      </c>
      <c r="V54" s="8">
        <f t="shared" si="50"/>
        <v>0.1643491469969619</v>
      </c>
      <c r="W54" s="8">
        <f t="shared" si="51"/>
        <v>-0.2989111345275729</v>
      </c>
    </row>
    <row r="55" spans="1:23" ht="15.75" thickBot="1" x14ac:dyDescent="0.3">
      <c r="A55" s="2" t="s">
        <v>425</v>
      </c>
      <c r="B55" s="7">
        <v>17280</v>
      </c>
      <c r="C55" s="7">
        <v>5793</v>
      </c>
      <c r="D55" s="7">
        <v>20655</v>
      </c>
      <c r="E55" s="7">
        <v>9305</v>
      </c>
      <c r="F55" s="7">
        <v>11263</v>
      </c>
      <c r="G55" s="7">
        <v>11296</v>
      </c>
      <c r="H55" s="7">
        <v>14059</v>
      </c>
      <c r="I55" s="7">
        <v>12407</v>
      </c>
      <c r="J55" s="7">
        <v>16733</v>
      </c>
      <c r="K55" s="7">
        <v>16372</v>
      </c>
      <c r="L55" s="7">
        <v>9290</v>
      </c>
      <c r="M55" s="7">
        <v>144453</v>
      </c>
      <c r="N55" s="8">
        <f t="shared" si="42"/>
        <v>-0.66475694444444444</v>
      </c>
      <c r="O55" s="8">
        <f t="shared" si="43"/>
        <v>2.565510098394614</v>
      </c>
      <c r="P55" s="8">
        <f t="shared" si="44"/>
        <v>-0.54950375211813118</v>
      </c>
      <c r="Q55" s="8">
        <f t="shared" si="45"/>
        <v>0.21042450295540033</v>
      </c>
      <c r="R55" s="8">
        <f t="shared" si="46"/>
        <v>2.929947616088076E-3</v>
      </c>
      <c r="S55" s="8">
        <f t="shared" si="47"/>
        <v>0.24459985835694051</v>
      </c>
      <c r="T55" s="8">
        <f t="shared" si="48"/>
        <v>-0.11750480119496408</v>
      </c>
      <c r="U55" s="8">
        <f t="shared" si="49"/>
        <v>0.34867413556863064</v>
      </c>
      <c r="V55" s="8">
        <f t="shared" si="50"/>
        <v>-2.1574134942927151E-2</v>
      </c>
      <c r="W55" s="8">
        <f t="shared" si="51"/>
        <v>-0.4325677986806743</v>
      </c>
    </row>
    <row r="56" spans="1:23" ht="15.75" thickBot="1" x14ac:dyDescent="0.3">
      <c r="A56" s="2" t="s">
        <v>11</v>
      </c>
      <c r="B56" s="7">
        <v>54462</v>
      </c>
      <c r="C56" s="7">
        <v>56427</v>
      </c>
      <c r="D56" s="7">
        <v>60940</v>
      </c>
      <c r="E56" s="7">
        <v>57707</v>
      </c>
      <c r="F56" s="7">
        <v>58696</v>
      </c>
      <c r="G56" s="7">
        <v>62498</v>
      </c>
      <c r="H56" s="7">
        <v>63441</v>
      </c>
      <c r="I56" s="7">
        <v>65563</v>
      </c>
      <c r="J56" s="7">
        <v>64404</v>
      </c>
      <c r="K56" s="7">
        <v>66371</v>
      </c>
      <c r="L56" s="7">
        <v>59309</v>
      </c>
      <c r="M56" s="7">
        <v>669818</v>
      </c>
      <c r="N56" s="36">
        <f t="shared" si="42"/>
        <v>3.6080202710146524E-2</v>
      </c>
      <c r="O56" s="37">
        <f t="shared" si="43"/>
        <v>7.9979442465486383E-2</v>
      </c>
      <c r="P56" s="37">
        <f t="shared" si="44"/>
        <v>-5.3052182474565147E-2</v>
      </c>
      <c r="Q56" s="37">
        <f t="shared" si="45"/>
        <v>1.7138302112395375E-2</v>
      </c>
      <c r="R56" s="37">
        <f t="shared" si="46"/>
        <v>6.477443096633502E-2</v>
      </c>
      <c r="S56" s="37">
        <f t="shared" si="47"/>
        <v>1.5088482831450607E-2</v>
      </c>
      <c r="T56" s="37">
        <f t="shared" si="48"/>
        <v>3.3448400876404848E-2</v>
      </c>
      <c r="U56" s="37">
        <f t="shared" si="49"/>
        <v>-1.7677653554596343E-2</v>
      </c>
      <c r="V56" s="37">
        <f t="shared" si="50"/>
        <v>3.054158126824421E-2</v>
      </c>
      <c r="W56" s="38">
        <f t="shared" si="51"/>
        <v>-0.1064018923927619</v>
      </c>
    </row>
  </sheetData>
  <mergeCells count="4">
    <mergeCell ref="N10:W10"/>
    <mergeCell ref="N27:W27"/>
    <mergeCell ref="N41:W41"/>
    <mergeCell ref="N50:W50"/>
  </mergeCells>
  <phoneticPr fontId="3" type="noConversion"/>
  <conditionalFormatting sqref="N12:W22">
    <cfRule type="colorScale" priority="3">
      <colorScale>
        <cfvo type="percent" val="0"/>
        <cfvo type="percent" val="100"/>
        <color theme="0"/>
        <color theme="3" tint="0.249977111117893"/>
      </colorScale>
    </cfRule>
  </conditionalFormatting>
  <conditionalFormatting sqref="N29:W39">
    <cfRule type="colorScale" priority="4">
      <colorScale>
        <cfvo type="percent" val="0"/>
        <cfvo type="percent" val="100"/>
        <color theme="0"/>
        <color theme="3" tint="0.249977111117893"/>
      </colorScale>
    </cfRule>
  </conditionalFormatting>
  <conditionalFormatting sqref="N43:W47">
    <cfRule type="colorScale" priority="2">
      <colorScale>
        <cfvo type="percent" val="0"/>
        <cfvo type="percent" val="100"/>
        <color theme="0"/>
        <color theme="3" tint="0.249977111117893"/>
      </colorScale>
    </cfRule>
  </conditionalFormatting>
  <conditionalFormatting sqref="N52:W56">
    <cfRule type="colorScale" priority="1">
      <colorScale>
        <cfvo type="percent" val="0"/>
        <cfvo type="percent" val="100"/>
        <color theme="0"/>
        <color theme="3" tint="0.249977111117893"/>
      </colorScale>
    </cfRule>
  </conditionalFormatting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4DD5-EA4E-4F06-80A8-2D5EC73249D3}">
  <dimension ref="A1:Q551"/>
  <sheetViews>
    <sheetView workbookViewId="0">
      <selection activeCell="D13" sqref="D13"/>
    </sheetView>
  </sheetViews>
  <sheetFormatPr defaultRowHeight="15" x14ac:dyDescent="0.25"/>
  <cols>
    <col min="1" max="1" width="7.28515625" bestFit="1" customWidth="1"/>
    <col min="2" max="2" width="11.5703125" bestFit="1" customWidth="1"/>
    <col min="3" max="3" width="26.5703125" bestFit="1" customWidth="1"/>
    <col min="4" max="4" width="30.7109375" bestFit="1" customWidth="1"/>
    <col min="5" max="5" width="25.42578125" bestFit="1" customWidth="1"/>
    <col min="6" max="6" width="24.42578125" bestFit="1" customWidth="1"/>
    <col min="7" max="7" width="28.42578125" bestFit="1" customWidth="1"/>
    <col min="8" max="8" width="30.5703125" bestFit="1" customWidth="1"/>
    <col min="9" max="9" width="37.7109375" bestFit="1" customWidth="1"/>
    <col min="10" max="10" width="30.85546875" bestFit="1" customWidth="1"/>
    <col min="11" max="11" width="18.140625" bestFit="1" customWidth="1"/>
    <col min="12" max="12" width="33.42578125" bestFit="1" customWidth="1"/>
    <col min="13" max="13" width="30.7109375" bestFit="1" customWidth="1"/>
    <col min="14" max="14" width="19.28515625" bestFit="1" customWidth="1"/>
    <col min="15" max="15" width="34" bestFit="1" customWidth="1"/>
    <col min="16" max="16" width="15.7109375" bestFit="1" customWidth="1"/>
    <col min="17" max="17" width="17.5703125" bestFit="1" customWidth="1"/>
    <col min="18" max="18" width="12.5703125" bestFit="1" customWidth="1"/>
    <col min="19" max="19" width="22.28515625" bestFit="1" customWidth="1"/>
  </cols>
  <sheetData>
    <row r="1" spans="1:17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530</v>
      </c>
      <c r="Q1" t="s">
        <v>531</v>
      </c>
    </row>
    <row r="2" spans="1:17" x14ac:dyDescent="0.25">
      <c r="A2">
        <v>2015</v>
      </c>
      <c r="B2" t="s">
        <v>9</v>
      </c>
      <c r="C2">
        <v>178</v>
      </c>
      <c r="D2">
        <v>143.43415272794402</v>
      </c>
      <c r="E2" t="s">
        <v>41</v>
      </c>
      <c r="F2">
        <v>7.28</v>
      </c>
      <c r="G2" t="s">
        <v>42</v>
      </c>
      <c r="H2">
        <v>64.44</v>
      </c>
      <c r="I2">
        <v>11.88</v>
      </c>
      <c r="J2">
        <v>78.260000000000005</v>
      </c>
      <c r="K2">
        <v>15.38</v>
      </c>
      <c r="L2">
        <v>1.62</v>
      </c>
      <c r="M2" t="s">
        <v>43</v>
      </c>
      <c r="N2" t="s">
        <v>44</v>
      </c>
      <c r="O2" t="s">
        <v>41</v>
      </c>
      <c r="P2">
        <v>42</v>
      </c>
      <c r="Q2">
        <v>21</v>
      </c>
    </row>
    <row r="3" spans="1:17" x14ac:dyDescent="0.25">
      <c r="A3">
        <v>2015</v>
      </c>
      <c r="B3" t="s">
        <v>2</v>
      </c>
      <c r="C3">
        <v>457</v>
      </c>
      <c r="D3">
        <v>271.32477279947062</v>
      </c>
      <c r="E3" t="s">
        <v>45</v>
      </c>
      <c r="F3">
        <v>8.94</v>
      </c>
      <c r="G3" t="s">
        <v>42</v>
      </c>
      <c r="H3">
        <v>49.1</v>
      </c>
      <c r="I3">
        <v>43.87</v>
      </c>
      <c r="J3">
        <v>33.76</v>
      </c>
      <c r="K3">
        <v>23.53</v>
      </c>
      <c r="L3">
        <v>2.16</v>
      </c>
      <c r="M3" t="s">
        <v>46</v>
      </c>
      <c r="N3" t="s">
        <v>47</v>
      </c>
      <c r="O3" t="s">
        <v>45</v>
      </c>
      <c r="P3">
        <v>47</v>
      </c>
      <c r="Q3">
        <v>33</v>
      </c>
    </row>
    <row r="4" spans="1:17" x14ac:dyDescent="0.25">
      <c r="A4">
        <v>2015</v>
      </c>
      <c r="B4" t="s">
        <v>5</v>
      </c>
      <c r="C4">
        <v>794</v>
      </c>
      <c r="D4">
        <v>2554.674108269799</v>
      </c>
      <c r="E4" t="s">
        <v>41</v>
      </c>
      <c r="F4">
        <v>4.17</v>
      </c>
      <c r="G4" t="s">
        <v>42</v>
      </c>
      <c r="H4">
        <v>21.29</v>
      </c>
      <c r="I4">
        <v>61.54</v>
      </c>
      <c r="J4">
        <v>31.65</v>
      </c>
      <c r="K4">
        <v>45.49</v>
      </c>
      <c r="L4">
        <v>1.4</v>
      </c>
      <c r="M4" t="s">
        <v>48</v>
      </c>
      <c r="N4" t="s">
        <v>44</v>
      </c>
      <c r="O4" t="s">
        <v>41</v>
      </c>
      <c r="P4">
        <v>80</v>
      </c>
      <c r="Q4">
        <v>54</v>
      </c>
    </row>
    <row r="5" spans="1:17" x14ac:dyDescent="0.25">
      <c r="A5">
        <v>2015</v>
      </c>
      <c r="B5" t="s">
        <v>8</v>
      </c>
      <c r="C5">
        <v>825</v>
      </c>
      <c r="D5">
        <v>2221.8411135147503</v>
      </c>
      <c r="E5" t="s">
        <v>45</v>
      </c>
      <c r="F5">
        <v>6.41</v>
      </c>
      <c r="G5" t="s">
        <v>42</v>
      </c>
      <c r="H5">
        <v>60.24</v>
      </c>
      <c r="I5">
        <v>6.25</v>
      </c>
      <c r="J5">
        <v>38.69</v>
      </c>
      <c r="K5">
        <v>43.11</v>
      </c>
      <c r="L5">
        <v>2.09</v>
      </c>
      <c r="M5" t="s">
        <v>49</v>
      </c>
      <c r="N5" t="s">
        <v>50</v>
      </c>
      <c r="O5" t="s">
        <v>41</v>
      </c>
      <c r="P5">
        <v>59</v>
      </c>
      <c r="Q5">
        <v>25</v>
      </c>
    </row>
    <row r="6" spans="1:17" x14ac:dyDescent="0.25">
      <c r="A6">
        <v>2015</v>
      </c>
      <c r="B6" t="s">
        <v>8</v>
      </c>
      <c r="C6">
        <v>1062</v>
      </c>
      <c r="D6">
        <v>2706.855334271414</v>
      </c>
      <c r="E6" t="s">
        <v>45</v>
      </c>
      <c r="F6">
        <v>7.92</v>
      </c>
      <c r="G6" t="s">
        <v>42</v>
      </c>
      <c r="H6">
        <v>81.06</v>
      </c>
      <c r="I6">
        <v>18.760000000000002</v>
      </c>
      <c r="J6">
        <v>87.03</v>
      </c>
      <c r="K6">
        <v>26.14</v>
      </c>
      <c r="L6">
        <v>1.1399999999999999</v>
      </c>
      <c r="M6" t="s">
        <v>51</v>
      </c>
      <c r="N6" t="s">
        <v>50</v>
      </c>
      <c r="O6" t="s">
        <v>41</v>
      </c>
      <c r="P6">
        <v>41</v>
      </c>
      <c r="Q6">
        <v>28</v>
      </c>
    </row>
    <row r="7" spans="1:17" x14ac:dyDescent="0.25">
      <c r="A7">
        <v>2015</v>
      </c>
      <c r="B7" t="s">
        <v>7</v>
      </c>
      <c r="C7">
        <v>1070</v>
      </c>
      <c r="D7">
        <v>1716.7753785018806</v>
      </c>
      <c r="E7" t="s">
        <v>41</v>
      </c>
      <c r="F7">
        <v>9.2799999999999994</v>
      </c>
      <c r="G7" t="s">
        <v>42</v>
      </c>
      <c r="H7">
        <v>17.14</v>
      </c>
      <c r="I7">
        <v>5.26</v>
      </c>
      <c r="J7">
        <v>97.54</v>
      </c>
      <c r="K7">
        <v>8.57</v>
      </c>
      <c r="L7">
        <v>1.95</v>
      </c>
      <c r="M7" t="s">
        <v>52</v>
      </c>
      <c r="N7" t="s">
        <v>53</v>
      </c>
      <c r="O7" t="s">
        <v>45</v>
      </c>
      <c r="P7">
        <v>60</v>
      </c>
      <c r="Q7">
        <v>26</v>
      </c>
    </row>
    <row r="8" spans="1:17" x14ac:dyDescent="0.25">
      <c r="A8">
        <v>2015</v>
      </c>
      <c r="B8" t="s">
        <v>7</v>
      </c>
      <c r="C8">
        <v>1344</v>
      </c>
      <c r="D8">
        <v>773.43328025711423</v>
      </c>
      <c r="E8" t="s">
        <v>41</v>
      </c>
      <c r="F8">
        <v>7.46</v>
      </c>
      <c r="G8" t="s">
        <v>42</v>
      </c>
      <c r="H8">
        <v>27.54</v>
      </c>
      <c r="I8">
        <v>49.66</v>
      </c>
      <c r="J8">
        <v>80.67</v>
      </c>
      <c r="K8">
        <v>33.19</v>
      </c>
      <c r="L8">
        <v>2.4</v>
      </c>
      <c r="M8" t="s">
        <v>54</v>
      </c>
      <c r="N8" t="s">
        <v>47</v>
      </c>
      <c r="O8" t="s">
        <v>45</v>
      </c>
      <c r="P8">
        <v>70</v>
      </c>
      <c r="Q8">
        <v>45</v>
      </c>
    </row>
    <row r="9" spans="1:17" x14ac:dyDescent="0.25">
      <c r="A9">
        <v>2015</v>
      </c>
      <c r="B9" t="s">
        <v>4</v>
      </c>
      <c r="C9">
        <v>602</v>
      </c>
      <c r="D9">
        <v>603.80627335378358</v>
      </c>
      <c r="E9" t="s">
        <v>45</v>
      </c>
      <c r="F9">
        <v>2.27</v>
      </c>
      <c r="G9" t="s">
        <v>42</v>
      </c>
      <c r="H9">
        <v>30.7</v>
      </c>
      <c r="I9">
        <v>66.94</v>
      </c>
      <c r="J9">
        <v>98.84</v>
      </c>
      <c r="K9">
        <v>43.58</v>
      </c>
      <c r="L9">
        <v>2.0299999999999998</v>
      </c>
      <c r="M9" t="s">
        <v>55</v>
      </c>
      <c r="N9" t="s">
        <v>44</v>
      </c>
      <c r="O9" t="s">
        <v>41</v>
      </c>
      <c r="P9">
        <v>51</v>
      </c>
      <c r="Q9">
        <v>25</v>
      </c>
    </row>
    <row r="10" spans="1:17" x14ac:dyDescent="0.25">
      <c r="A10">
        <v>2015</v>
      </c>
      <c r="B10" t="s">
        <v>4</v>
      </c>
      <c r="C10">
        <v>1229</v>
      </c>
      <c r="D10">
        <v>3579.3740927789918</v>
      </c>
      <c r="E10" t="s">
        <v>45</v>
      </c>
      <c r="F10">
        <v>2.2599999999999998</v>
      </c>
      <c r="G10" t="s">
        <v>42</v>
      </c>
      <c r="H10">
        <v>66.61</v>
      </c>
      <c r="I10">
        <v>33.4</v>
      </c>
      <c r="J10">
        <v>60.98</v>
      </c>
      <c r="K10">
        <v>60.07</v>
      </c>
      <c r="L10">
        <v>1.34</v>
      </c>
      <c r="M10" t="s">
        <v>48</v>
      </c>
      <c r="N10" t="s">
        <v>44</v>
      </c>
      <c r="O10" t="s">
        <v>45</v>
      </c>
      <c r="P10">
        <v>80</v>
      </c>
      <c r="Q10">
        <v>54</v>
      </c>
    </row>
    <row r="11" spans="1:17" x14ac:dyDescent="0.25">
      <c r="A11">
        <v>2015</v>
      </c>
      <c r="B11" t="s">
        <v>4</v>
      </c>
      <c r="C11">
        <v>663</v>
      </c>
      <c r="D11">
        <v>925.3936969392513</v>
      </c>
      <c r="E11" t="s">
        <v>41</v>
      </c>
      <c r="F11">
        <v>5.47</v>
      </c>
      <c r="G11" t="s">
        <v>42</v>
      </c>
      <c r="H11">
        <v>78.92</v>
      </c>
      <c r="I11">
        <v>67.37</v>
      </c>
      <c r="J11">
        <v>42.22</v>
      </c>
      <c r="K11">
        <v>13.98</v>
      </c>
      <c r="L11">
        <v>1.43</v>
      </c>
      <c r="M11" t="s">
        <v>56</v>
      </c>
      <c r="N11" t="s">
        <v>57</v>
      </c>
      <c r="O11" t="s">
        <v>45</v>
      </c>
      <c r="P11">
        <v>69</v>
      </c>
      <c r="Q11">
        <v>20</v>
      </c>
    </row>
    <row r="12" spans="1:17" x14ac:dyDescent="0.25">
      <c r="A12">
        <v>2015</v>
      </c>
      <c r="B12" t="s">
        <v>1</v>
      </c>
      <c r="C12">
        <v>458</v>
      </c>
      <c r="D12">
        <v>544.27866170798268</v>
      </c>
      <c r="E12" t="s">
        <v>41</v>
      </c>
      <c r="F12">
        <v>3.6</v>
      </c>
      <c r="G12" t="s">
        <v>42</v>
      </c>
      <c r="H12">
        <v>48.49</v>
      </c>
      <c r="I12">
        <v>18.940000000000001</v>
      </c>
      <c r="J12">
        <v>94.5</v>
      </c>
      <c r="K12">
        <v>28.74</v>
      </c>
      <c r="L12">
        <v>2.0699999999999998</v>
      </c>
      <c r="M12" t="s">
        <v>58</v>
      </c>
      <c r="N12" t="s">
        <v>59</v>
      </c>
      <c r="O12" t="s">
        <v>45</v>
      </c>
      <c r="P12">
        <v>64</v>
      </c>
      <c r="Q12">
        <v>42</v>
      </c>
    </row>
    <row r="13" spans="1:17" x14ac:dyDescent="0.25">
      <c r="A13">
        <v>2015</v>
      </c>
      <c r="B13" t="s">
        <v>1</v>
      </c>
      <c r="C13">
        <v>204</v>
      </c>
      <c r="D13">
        <v>315.32720348324739</v>
      </c>
      <c r="E13" t="s">
        <v>45</v>
      </c>
      <c r="F13">
        <v>2.8</v>
      </c>
      <c r="G13" t="s">
        <v>42</v>
      </c>
      <c r="H13">
        <v>59.63</v>
      </c>
      <c r="I13">
        <v>16.440000000000001</v>
      </c>
      <c r="J13">
        <v>30.6</v>
      </c>
      <c r="K13">
        <v>16.14</v>
      </c>
      <c r="L13">
        <v>0.46</v>
      </c>
      <c r="M13" t="s">
        <v>60</v>
      </c>
      <c r="N13" t="s">
        <v>53</v>
      </c>
      <c r="O13" t="s">
        <v>41</v>
      </c>
      <c r="P13">
        <v>57</v>
      </c>
      <c r="Q13">
        <v>21</v>
      </c>
    </row>
    <row r="14" spans="1:17" x14ac:dyDescent="0.25">
      <c r="A14">
        <v>2016</v>
      </c>
      <c r="B14" t="s">
        <v>10</v>
      </c>
      <c r="C14">
        <v>938</v>
      </c>
      <c r="D14">
        <v>1089.898269655843</v>
      </c>
      <c r="E14" t="s">
        <v>41</v>
      </c>
      <c r="F14">
        <v>7.19</v>
      </c>
      <c r="G14" t="s">
        <v>42</v>
      </c>
      <c r="H14">
        <v>93.3</v>
      </c>
      <c r="I14">
        <v>17.55</v>
      </c>
      <c r="J14">
        <v>76.23</v>
      </c>
      <c r="K14">
        <v>24.87</v>
      </c>
      <c r="L14">
        <v>1.34</v>
      </c>
      <c r="M14" t="s">
        <v>61</v>
      </c>
      <c r="N14" t="s">
        <v>50</v>
      </c>
      <c r="O14" t="s">
        <v>41</v>
      </c>
      <c r="P14">
        <v>64</v>
      </c>
      <c r="Q14">
        <v>23</v>
      </c>
    </row>
    <row r="15" spans="1:17" x14ac:dyDescent="0.25">
      <c r="A15">
        <v>2016</v>
      </c>
      <c r="B15" t="s">
        <v>10</v>
      </c>
      <c r="C15">
        <v>240</v>
      </c>
      <c r="D15">
        <v>494.78520137714747</v>
      </c>
      <c r="E15" t="s">
        <v>41</v>
      </c>
      <c r="F15">
        <v>9.33</v>
      </c>
      <c r="G15" t="s">
        <v>42</v>
      </c>
      <c r="H15">
        <v>59.81</v>
      </c>
      <c r="I15">
        <v>44.27</v>
      </c>
      <c r="J15">
        <v>41.98</v>
      </c>
      <c r="K15">
        <v>35.49</v>
      </c>
      <c r="L15">
        <v>0.43</v>
      </c>
      <c r="M15" t="s">
        <v>62</v>
      </c>
      <c r="N15" t="s">
        <v>63</v>
      </c>
      <c r="O15" t="s">
        <v>45</v>
      </c>
      <c r="P15">
        <v>59</v>
      </c>
      <c r="Q15">
        <v>54</v>
      </c>
    </row>
    <row r="16" spans="1:17" x14ac:dyDescent="0.25">
      <c r="A16">
        <v>2016</v>
      </c>
      <c r="B16" t="s">
        <v>2</v>
      </c>
      <c r="C16">
        <v>975</v>
      </c>
      <c r="D16">
        <v>822.65589812683879</v>
      </c>
      <c r="E16" t="s">
        <v>41</v>
      </c>
      <c r="F16">
        <v>2.33</v>
      </c>
      <c r="G16" t="s">
        <v>42</v>
      </c>
      <c r="H16">
        <v>87.67</v>
      </c>
      <c r="I16">
        <v>53.4</v>
      </c>
      <c r="J16">
        <v>64.38</v>
      </c>
      <c r="K16">
        <v>20.28</v>
      </c>
      <c r="L16">
        <v>2.2799999999999998</v>
      </c>
      <c r="M16" t="s">
        <v>64</v>
      </c>
      <c r="N16" t="s">
        <v>53</v>
      </c>
      <c r="O16" t="s">
        <v>45</v>
      </c>
      <c r="P16">
        <v>52</v>
      </c>
      <c r="Q16">
        <v>58</v>
      </c>
    </row>
    <row r="17" spans="1:17" x14ac:dyDescent="0.25">
      <c r="A17">
        <v>2016</v>
      </c>
      <c r="B17" t="s">
        <v>2</v>
      </c>
      <c r="C17">
        <v>296</v>
      </c>
      <c r="D17">
        <v>506.25761615539187</v>
      </c>
      <c r="E17" t="s">
        <v>45</v>
      </c>
      <c r="F17">
        <v>5.41</v>
      </c>
      <c r="G17" t="s">
        <v>42</v>
      </c>
      <c r="H17">
        <v>15.56</v>
      </c>
      <c r="I17">
        <v>13.45</v>
      </c>
      <c r="J17">
        <v>57.4</v>
      </c>
      <c r="K17">
        <v>17.989999999999998</v>
      </c>
      <c r="L17">
        <v>1.29</v>
      </c>
      <c r="M17" t="s">
        <v>65</v>
      </c>
      <c r="N17" t="s">
        <v>53</v>
      </c>
      <c r="O17" t="s">
        <v>45</v>
      </c>
      <c r="P17">
        <v>49</v>
      </c>
      <c r="Q17">
        <v>56</v>
      </c>
    </row>
    <row r="18" spans="1:17" x14ac:dyDescent="0.25">
      <c r="A18">
        <v>2016</v>
      </c>
      <c r="B18" t="s">
        <v>2</v>
      </c>
      <c r="C18">
        <v>1846</v>
      </c>
      <c r="D18">
        <v>6287.1177908206928</v>
      </c>
      <c r="E18" t="s">
        <v>41</v>
      </c>
      <c r="F18">
        <v>8.3699999999999992</v>
      </c>
      <c r="G18" t="s">
        <v>42</v>
      </c>
      <c r="H18">
        <v>63.73</v>
      </c>
      <c r="I18">
        <v>69.89</v>
      </c>
      <c r="J18">
        <v>82.39</v>
      </c>
      <c r="K18">
        <v>32.22</v>
      </c>
      <c r="L18">
        <v>1.44</v>
      </c>
      <c r="M18" t="s">
        <v>66</v>
      </c>
      <c r="N18" t="s">
        <v>44</v>
      </c>
      <c r="O18" t="s">
        <v>41</v>
      </c>
      <c r="P18">
        <v>80</v>
      </c>
      <c r="Q18">
        <v>36</v>
      </c>
    </row>
    <row r="19" spans="1:17" x14ac:dyDescent="0.25">
      <c r="A19">
        <v>2016</v>
      </c>
      <c r="B19" t="s">
        <v>5</v>
      </c>
      <c r="C19">
        <v>353</v>
      </c>
      <c r="D19">
        <v>920.6033026655366</v>
      </c>
      <c r="E19" t="s">
        <v>41</v>
      </c>
      <c r="F19">
        <v>2.41</v>
      </c>
      <c r="G19" t="s">
        <v>42</v>
      </c>
      <c r="H19">
        <v>58.51</v>
      </c>
      <c r="I19">
        <v>54.43</v>
      </c>
      <c r="J19">
        <v>25.27</v>
      </c>
      <c r="K19">
        <v>12.42</v>
      </c>
      <c r="L19">
        <v>2.38</v>
      </c>
      <c r="M19" t="s">
        <v>67</v>
      </c>
      <c r="N19" t="s">
        <v>47</v>
      </c>
      <c r="O19" t="s">
        <v>45</v>
      </c>
      <c r="P19">
        <v>47</v>
      </c>
      <c r="Q19">
        <v>60</v>
      </c>
    </row>
    <row r="20" spans="1:17" x14ac:dyDescent="0.25">
      <c r="A20">
        <v>2016</v>
      </c>
      <c r="B20" t="s">
        <v>8</v>
      </c>
      <c r="C20">
        <v>1276</v>
      </c>
      <c r="D20">
        <v>3210.5278667952202</v>
      </c>
      <c r="E20" t="s">
        <v>45</v>
      </c>
      <c r="F20">
        <v>9.83</v>
      </c>
      <c r="G20" t="s">
        <v>42</v>
      </c>
      <c r="H20">
        <v>46.94</v>
      </c>
      <c r="I20">
        <v>56.47</v>
      </c>
      <c r="J20">
        <v>97.45</v>
      </c>
      <c r="K20">
        <v>65.77</v>
      </c>
      <c r="L20">
        <v>0.96</v>
      </c>
      <c r="M20" t="s">
        <v>68</v>
      </c>
      <c r="N20" t="s">
        <v>63</v>
      </c>
      <c r="O20" t="s">
        <v>41</v>
      </c>
      <c r="P20">
        <v>72</v>
      </c>
      <c r="Q20">
        <v>38</v>
      </c>
    </row>
    <row r="21" spans="1:17" x14ac:dyDescent="0.25">
      <c r="A21">
        <v>2016</v>
      </c>
      <c r="B21" t="s">
        <v>8</v>
      </c>
      <c r="C21">
        <v>1231</v>
      </c>
      <c r="D21">
        <v>2287.8447812099448</v>
      </c>
      <c r="E21" t="s">
        <v>41</v>
      </c>
      <c r="F21">
        <v>2.9</v>
      </c>
      <c r="G21" t="s">
        <v>42</v>
      </c>
      <c r="H21">
        <v>67.19</v>
      </c>
      <c r="I21">
        <v>17.55</v>
      </c>
      <c r="J21">
        <v>96.69</v>
      </c>
      <c r="K21">
        <v>25.16</v>
      </c>
      <c r="L21">
        <v>1.01</v>
      </c>
      <c r="M21" t="s">
        <v>69</v>
      </c>
      <c r="N21" t="s">
        <v>57</v>
      </c>
      <c r="O21" t="s">
        <v>41</v>
      </c>
      <c r="P21">
        <v>71</v>
      </c>
      <c r="Q21">
        <v>56</v>
      </c>
    </row>
    <row r="22" spans="1:17" x14ac:dyDescent="0.25">
      <c r="A22">
        <v>2016</v>
      </c>
      <c r="B22" t="s">
        <v>8</v>
      </c>
      <c r="C22">
        <v>1674</v>
      </c>
      <c r="D22">
        <v>3737.3059073540899</v>
      </c>
      <c r="E22" t="s">
        <v>45</v>
      </c>
      <c r="F22">
        <v>9.81</v>
      </c>
      <c r="G22" t="s">
        <v>42</v>
      </c>
      <c r="H22">
        <v>45.04</v>
      </c>
      <c r="I22">
        <v>40.090000000000003</v>
      </c>
      <c r="J22">
        <v>49.13</v>
      </c>
      <c r="K22">
        <v>19.3</v>
      </c>
      <c r="L22">
        <v>0.47</v>
      </c>
      <c r="M22" t="s">
        <v>70</v>
      </c>
      <c r="N22" t="s">
        <v>63</v>
      </c>
      <c r="O22" t="s">
        <v>41</v>
      </c>
      <c r="P22">
        <v>65</v>
      </c>
      <c r="Q22">
        <v>32</v>
      </c>
    </row>
    <row r="23" spans="1:17" x14ac:dyDescent="0.25">
      <c r="A23">
        <v>2016</v>
      </c>
      <c r="B23" t="s">
        <v>8</v>
      </c>
      <c r="C23">
        <v>1534</v>
      </c>
      <c r="D23">
        <v>4951.7033669514449</v>
      </c>
      <c r="E23" t="s">
        <v>45</v>
      </c>
      <c r="F23">
        <v>5.99</v>
      </c>
      <c r="G23" t="s">
        <v>42</v>
      </c>
      <c r="H23">
        <v>76.83</v>
      </c>
      <c r="I23">
        <v>46.09</v>
      </c>
      <c r="J23">
        <v>64.760000000000005</v>
      </c>
      <c r="K23">
        <v>31.55</v>
      </c>
      <c r="L23">
        <v>0.81</v>
      </c>
      <c r="M23" t="s">
        <v>71</v>
      </c>
      <c r="N23" t="s">
        <v>47</v>
      </c>
      <c r="O23" t="s">
        <v>45</v>
      </c>
      <c r="P23">
        <v>45</v>
      </c>
      <c r="Q23">
        <v>50</v>
      </c>
    </row>
    <row r="24" spans="1:17" x14ac:dyDescent="0.25">
      <c r="A24">
        <v>2016</v>
      </c>
      <c r="B24" t="s">
        <v>3</v>
      </c>
      <c r="C24">
        <v>1064</v>
      </c>
      <c r="D24">
        <v>3540.9694462463121</v>
      </c>
      <c r="E24" t="s">
        <v>41</v>
      </c>
      <c r="F24">
        <v>2.94</v>
      </c>
      <c r="G24" t="s">
        <v>42</v>
      </c>
      <c r="H24">
        <v>64.42</v>
      </c>
      <c r="I24">
        <v>43.21</v>
      </c>
      <c r="J24">
        <v>65.760000000000005</v>
      </c>
      <c r="K24">
        <v>19.11</v>
      </c>
      <c r="L24">
        <v>0.55000000000000004</v>
      </c>
      <c r="M24" t="s">
        <v>72</v>
      </c>
      <c r="N24" t="s">
        <v>50</v>
      </c>
      <c r="O24" t="s">
        <v>41</v>
      </c>
      <c r="P24">
        <v>57</v>
      </c>
      <c r="Q24">
        <v>52</v>
      </c>
    </row>
    <row r="25" spans="1:17" x14ac:dyDescent="0.25">
      <c r="A25">
        <v>2016</v>
      </c>
      <c r="B25" t="s">
        <v>3</v>
      </c>
      <c r="C25">
        <v>2136</v>
      </c>
      <c r="D25">
        <v>4213.0201940488359</v>
      </c>
      <c r="E25" t="s">
        <v>45</v>
      </c>
      <c r="F25">
        <v>8.7799999999999994</v>
      </c>
      <c r="G25" t="s">
        <v>42</v>
      </c>
      <c r="H25">
        <v>45.94</v>
      </c>
      <c r="I25">
        <v>11.39</v>
      </c>
      <c r="J25">
        <v>48.35</v>
      </c>
      <c r="K25">
        <v>67.48</v>
      </c>
      <c r="L25">
        <v>0.26</v>
      </c>
      <c r="M25" t="s">
        <v>73</v>
      </c>
      <c r="N25" t="s">
        <v>47</v>
      </c>
      <c r="O25" t="s">
        <v>45</v>
      </c>
      <c r="P25">
        <v>66</v>
      </c>
      <c r="Q25">
        <v>32</v>
      </c>
    </row>
    <row r="26" spans="1:17" x14ac:dyDescent="0.25">
      <c r="A26">
        <v>2016</v>
      </c>
      <c r="B26" t="s">
        <v>7</v>
      </c>
      <c r="C26">
        <v>2120</v>
      </c>
      <c r="D26">
        <v>5642.5004775775706</v>
      </c>
      <c r="E26" t="s">
        <v>45</v>
      </c>
      <c r="F26">
        <v>2.06</v>
      </c>
      <c r="G26" t="s">
        <v>42</v>
      </c>
      <c r="H26">
        <v>73.84</v>
      </c>
      <c r="I26">
        <v>14.69</v>
      </c>
      <c r="J26">
        <v>54.13</v>
      </c>
      <c r="K26">
        <v>11.55</v>
      </c>
      <c r="L26">
        <v>2.4900000000000002</v>
      </c>
      <c r="M26" t="s">
        <v>74</v>
      </c>
      <c r="N26" t="s">
        <v>53</v>
      </c>
      <c r="O26" t="s">
        <v>41</v>
      </c>
      <c r="P26">
        <v>47</v>
      </c>
      <c r="Q26">
        <v>21</v>
      </c>
    </row>
    <row r="27" spans="1:17" x14ac:dyDescent="0.25">
      <c r="A27">
        <v>2016</v>
      </c>
      <c r="B27" t="s">
        <v>7</v>
      </c>
      <c r="C27">
        <v>252</v>
      </c>
      <c r="D27">
        <v>617.24785397634457</v>
      </c>
      <c r="E27" t="s">
        <v>45</v>
      </c>
      <c r="F27">
        <v>2.46</v>
      </c>
      <c r="G27" t="s">
        <v>42</v>
      </c>
      <c r="H27">
        <v>48.12</v>
      </c>
      <c r="I27">
        <v>47.53</v>
      </c>
      <c r="J27">
        <v>66.989999999999995</v>
      </c>
      <c r="K27">
        <v>52.85</v>
      </c>
      <c r="L27">
        <v>1.38</v>
      </c>
      <c r="M27" t="s">
        <v>75</v>
      </c>
      <c r="N27" t="s">
        <v>44</v>
      </c>
      <c r="O27" t="s">
        <v>41</v>
      </c>
      <c r="P27">
        <v>72</v>
      </c>
      <c r="Q27">
        <v>25</v>
      </c>
    </row>
    <row r="28" spans="1:17" x14ac:dyDescent="0.25">
      <c r="A28">
        <v>2016</v>
      </c>
      <c r="B28" t="s">
        <v>4</v>
      </c>
      <c r="C28">
        <v>58</v>
      </c>
      <c r="D28">
        <v>100.79157675617299</v>
      </c>
      <c r="E28" t="s">
        <v>41</v>
      </c>
      <c r="F28">
        <v>3.49</v>
      </c>
      <c r="G28" t="s">
        <v>42</v>
      </c>
      <c r="H28">
        <v>33.18</v>
      </c>
      <c r="I28">
        <v>21.72</v>
      </c>
      <c r="J28">
        <v>54.03</v>
      </c>
      <c r="K28">
        <v>37.380000000000003</v>
      </c>
      <c r="L28">
        <v>0.94</v>
      </c>
      <c r="M28" t="s">
        <v>76</v>
      </c>
      <c r="N28" t="s">
        <v>50</v>
      </c>
      <c r="O28" t="s">
        <v>41</v>
      </c>
      <c r="P28">
        <v>74</v>
      </c>
      <c r="Q28">
        <v>59</v>
      </c>
    </row>
    <row r="29" spans="1:17" x14ac:dyDescent="0.25">
      <c r="A29">
        <v>2016</v>
      </c>
      <c r="B29" t="s">
        <v>4</v>
      </c>
      <c r="C29">
        <v>829</v>
      </c>
      <c r="D29">
        <v>2559.6497621923759</v>
      </c>
      <c r="E29" t="s">
        <v>41</v>
      </c>
      <c r="F29">
        <v>6.85</v>
      </c>
      <c r="G29" t="s">
        <v>42</v>
      </c>
      <c r="H29">
        <v>46.1</v>
      </c>
      <c r="I29">
        <v>66.86</v>
      </c>
      <c r="J29">
        <v>64.650000000000006</v>
      </c>
      <c r="K29">
        <v>63.18</v>
      </c>
      <c r="L29">
        <v>2.04</v>
      </c>
      <c r="M29" t="s">
        <v>77</v>
      </c>
      <c r="N29" t="s">
        <v>50</v>
      </c>
      <c r="O29" t="s">
        <v>41</v>
      </c>
      <c r="P29">
        <v>69</v>
      </c>
      <c r="Q29">
        <v>36</v>
      </c>
    </row>
    <row r="30" spans="1:17" x14ac:dyDescent="0.25">
      <c r="A30">
        <v>2016</v>
      </c>
      <c r="B30" t="s">
        <v>4</v>
      </c>
      <c r="C30">
        <v>1745</v>
      </c>
      <c r="D30">
        <v>2872.3897947396558</v>
      </c>
      <c r="E30" t="s">
        <v>41</v>
      </c>
      <c r="F30">
        <v>7.26</v>
      </c>
      <c r="G30" t="s">
        <v>42</v>
      </c>
      <c r="H30">
        <v>16.399999999999999</v>
      </c>
      <c r="I30">
        <v>5.36</v>
      </c>
      <c r="J30">
        <v>79.900000000000006</v>
      </c>
      <c r="K30">
        <v>23.68</v>
      </c>
      <c r="L30">
        <v>2.2599999999999998</v>
      </c>
      <c r="M30" t="s">
        <v>78</v>
      </c>
      <c r="N30" t="s">
        <v>53</v>
      </c>
      <c r="O30" t="s">
        <v>41</v>
      </c>
      <c r="P30">
        <v>70</v>
      </c>
      <c r="Q30">
        <v>39</v>
      </c>
    </row>
    <row r="31" spans="1:17" x14ac:dyDescent="0.25">
      <c r="A31">
        <v>2016</v>
      </c>
      <c r="B31" t="s">
        <v>1</v>
      </c>
      <c r="C31">
        <v>1322</v>
      </c>
      <c r="D31">
        <v>2322.258577738342</v>
      </c>
      <c r="E31" t="s">
        <v>41</v>
      </c>
      <c r="F31">
        <v>7.97</v>
      </c>
      <c r="G31" t="s">
        <v>42</v>
      </c>
      <c r="H31">
        <v>19.739999999999998</v>
      </c>
      <c r="I31">
        <v>46.95</v>
      </c>
      <c r="J31">
        <v>42.66</v>
      </c>
      <c r="K31">
        <v>56.4</v>
      </c>
      <c r="L31">
        <v>0.49</v>
      </c>
      <c r="M31" t="s">
        <v>79</v>
      </c>
      <c r="N31" t="s">
        <v>57</v>
      </c>
      <c r="O31" t="s">
        <v>45</v>
      </c>
      <c r="P31">
        <v>56</v>
      </c>
      <c r="Q31">
        <v>43</v>
      </c>
    </row>
    <row r="32" spans="1:17" x14ac:dyDescent="0.25">
      <c r="A32">
        <v>2017</v>
      </c>
      <c r="B32" t="s">
        <v>10</v>
      </c>
      <c r="C32">
        <v>1694</v>
      </c>
      <c r="D32">
        <v>3742.2208242397132</v>
      </c>
      <c r="E32" t="s">
        <v>41</v>
      </c>
      <c r="F32">
        <v>5.16</v>
      </c>
      <c r="G32" t="s">
        <v>42</v>
      </c>
      <c r="H32">
        <v>20.32</v>
      </c>
      <c r="I32">
        <v>24.8</v>
      </c>
      <c r="J32">
        <v>92.9</v>
      </c>
      <c r="K32">
        <v>55.63</v>
      </c>
      <c r="L32">
        <v>1.27</v>
      </c>
      <c r="M32" t="s">
        <v>80</v>
      </c>
      <c r="N32" t="s">
        <v>50</v>
      </c>
      <c r="O32" t="s">
        <v>41</v>
      </c>
      <c r="P32">
        <v>53</v>
      </c>
      <c r="Q32">
        <v>45</v>
      </c>
    </row>
    <row r="33" spans="1:17" x14ac:dyDescent="0.25">
      <c r="A33">
        <v>2017</v>
      </c>
      <c r="B33" t="s">
        <v>6</v>
      </c>
      <c r="C33">
        <v>539</v>
      </c>
      <c r="D33">
        <v>1324.5936871628608</v>
      </c>
      <c r="E33" t="s">
        <v>45</v>
      </c>
      <c r="F33">
        <v>7.11</v>
      </c>
      <c r="G33" t="s">
        <v>42</v>
      </c>
      <c r="H33">
        <v>21.38</v>
      </c>
      <c r="I33">
        <v>38.24</v>
      </c>
      <c r="J33">
        <v>72.84</v>
      </c>
      <c r="K33">
        <v>47.47</v>
      </c>
      <c r="L33">
        <v>0.77</v>
      </c>
      <c r="M33" t="s">
        <v>81</v>
      </c>
      <c r="N33" t="s">
        <v>53</v>
      </c>
      <c r="O33" t="s">
        <v>41</v>
      </c>
      <c r="P33">
        <v>72</v>
      </c>
      <c r="Q33">
        <v>39</v>
      </c>
    </row>
    <row r="34" spans="1:17" x14ac:dyDescent="0.25">
      <c r="A34">
        <v>2017</v>
      </c>
      <c r="B34" t="s">
        <v>2</v>
      </c>
      <c r="C34">
        <v>1929</v>
      </c>
      <c r="D34">
        <v>1589.4481077703433</v>
      </c>
      <c r="E34" t="s">
        <v>45</v>
      </c>
      <c r="F34">
        <v>9.5299999999999994</v>
      </c>
      <c r="G34" t="s">
        <v>42</v>
      </c>
      <c r="H34">
        <v>70.09</v>
      </c>
      <c r="I34">
        <v>25.48</v>
      </c>
      <c r="J34">
        <v>81.11</v>
      </c>
      <c r="K34">
        <v>65.92</v>
      </c>
      <c r="L34">
        <v>1.88</v>
      </c>
      <c r="M34" t="s">
        <v>82</v>
      </c>
      <c r="N34" t="s">
        <v>53</v>
      </c>
      <c r="O34" t="s">
        <v>41</v>
      </c>
      <c r="P34">
        <v>63</v>
      </c>
      <c r="Q34">
        <v>29</v>
      </c>
    </row>
    <row r="35" spans="1:17" x14ac:dyDescent="0.25">
      <c r="A35">
        <v>2017</v>
      </c>
      <c r="B35" t="s">
        <v>2</v>
      </c>
      <c r="C35">
        <v>1676</v>
      </c>
      <c r="D35">
        <v>5503.9189816618909</v>
      </c>
      <c r="E35" t="s">
        <v>45</v>
      </c>
      <c r="F35">
        <v>8.08</v>
      </c>
      <c r="G35" t="s">
        <v>42</v>
      </c>
      <c r="H35">
        <v>83.59</v>
      </c>
      <c r="I35">
        <v>11.37</v>
      </c>
      <c r="J35">
        <v>45.08</v>
      </c>
      <c r="K35">
        <v>29.28</v>
      </c>
      <c r="L35">
        <v>1.1499999999999999</v>
      </c>
      <c r="M35" t="s">
        <v>83</v>
      </c>
      <c r="N35" t="s">
        <v>53</v>
      </c>
      <c r="O35" t="s">
        <v>45</v>
      </c>
      <c r="P35">
        <v>59</v>
      </c>
      <c r="Q35">
        <v>53</v>
      </c>
    </row>
    <row r="36" spans="1:17" x14ac:dyDescent="0.25">
      <c r="A36">
        <v>2017</v>
      </c>
      <c r="B36" t="s">
        <v>8</v>
      </c>
      <c r="C36">
        <v>1148</v>
      </c>
      <c r="D36">
        <v>998.26829375743466</v>
      </c>
      <c r="E36" t="s">
        <v>41</v>
      </c>
      <c r="F36">
        <v>5.74</v>
      </c>
      <c r="G36" t="s">
        <v>42</v>
      </c>
      <c r="H36">
        <v>72.010000000000005</v>
      </c>
      <c r="I36">
        <v>52.45</v>
      </c>
      <c r="J36">
        <v>68.5</v>
      </c>
      <c r="K36">
        <v>23.8</v>
      </c>
      <c r="L36">
        <v>1.72</v>
      </c>
      <c r="M36" t="s">
        <v>84</v>
      </c>
      <c r="N36" t="s">
        <v>44</v>
      </c>
      <c r="O36" t="s">
        <v>41</v>
      </c>
      <c r="P36">
        <v>59</v>
      </c>
      <c r="Q36">
        <v>41</v>
      </c>
    </row>
    <row r="37" spans="1:17" x14ac:dyDescent="0.25">
      <c r="A37">
        <v>2017</v>
      </c>
      <c r="B37" t="s">
        <v>7</v>
      </c>
      <c r="C37">
        <v>1626</v>
      </c>
      <c r="D37">
        <v>4670.8631576581829</v>
      </c>
      <c r="E37" t="s">
        <v>45</v>
      </c>
      <c r="F37">
        <v>9.74</v>
      </c>
      <c r="G37" t="s">
        <v>42</v>
      </c>
      <c r="H37">
        <v>82.11</v>
      </c>
      <c r="I37">
        <v>56.1</v>
      </c>
      <c r="J37">
        <v>44.7</v>
      </c>
      <c r="K37">
        <v>41.11</v>
      </c>
      <c r="L37">
        <v>2.2999999999999998</v>
      </c>
      <c r="M37" t="s">
        <v>85</v>
      </c>
      <c r="N37" t="s">
        <v>47</v>
      </c>
      <c r="O37" t="s">
        <v>41</v>
      </c>
      <c r="P37">
        <v>62</v>
      </c>
      <c r="Q37">
        <v>23</v>
      </c>
    </row>
    <row r="38" spans="1:17" x14ac:dyDescent="0.25">
      <c r="A38">
        <v>2017</v>
      </c>
      <c r="B38" t="s">
        <v>4</v>
      </c>
      <c r="C38">
        <v>870</v>
      </c>
      <c r="D38">
        <v>2917.9635667943744</v>
      </c>
      <c r="E38" t="s">
        <v>45</v>
      </c>
      <c r="F38">
        <v>8.7100000000000009</v>
      </c>
      <c r="G38" t="s">
        <v>42</v>
      </c>
      <c r="H38">
        <v>37.68</v>
      </c>
      <c r="I38">
        <v>50.2</v>
      </c>
      <c r="J38">
        <v>26.11</v>
      </c>
      <c r="K38">
        <v>18.32</v>
      </c>
      <c r="L38">
        <v>1.63</v>
      </c>
      <c r="M38" t="s">
        <v>86</v>
      </c>
      <c r="N38" t="s">
        <v>59</v>
      </c>
      <c r="O38" t="s">
        <v>41</v>
      </c>
      <c r="P38">
        <v>43</v>
      </c>
      <c r="Q38">
        <v>35</v>
      </c>
    </row>
    <row r="39" spans="1:17" x14ac:dyDescent="0.25">
      <c r="A39">
        <v>2017</v>
      </c>
      <c r="B39" t="s">
        <v>1</v>
      </c>
      <c r="C39">
        <v>125</v>
      </c>
      <c r="D39">
        <v>309.35062468464889</v>
      </c>
      <c r="E39" t="s">
        <v>41</v>
      </c>
      <c r="F39">
        <v>5.18</v>
      </c>
      <c r="G39" t="s">
        <v>42</v>
      </c>
      <c r="H39">
        <v>31.78</v>
      </c>
      <c r="I39">
        <v>31.17</v>
      </c>
      <c r="J39">
        <v>65.95</v>
      </c>
      <c r="K39">
        <v>30.59</v>
      </c>
      <c r="L39">
        <v>1.86</v>
      </c>
      <c r="M39" t="s">
        <v>87</v>
      </c>
      <c r="N39" t="s">
        <v>50</v>
      </c>
      <c r="O39" t="s">
        <v>41</v>
      </c>
      <c r="P39">
        <v>55</v>
      </c>
      <c r="Q39">
        <v>23</v>
      </c>
    </row>
    <row r="40" spans="1:17" x14ac:dyDescent="0.25">
      <c r="A40">
        <v>2018</v>
      </c>
      <c r="B40" t="s">
        <v>10</v>
      </c>
      <c r="C40">
        <v>462</v>
      </c>
      <c r="D40">
        <v>751.71110415581336</v>
      </c>
      <c r="E40" t="s">
        <v>41</v>
      </c>
      <c r="F40">
        <v>9.8800000000000008</v>
      </c>
      <c r="G40" t="s">
        <v>42</v>
      </c>
      <c r="H40">
        <v>28.59</v>
      </c>
      <c r="I40">
        <v>65.16</v>
      </c>
      <c r="J40">
        <v>28.04</v>
      </c>
      <c r="K40">
        <v>10.88</v>
      </c>
      <c r="L40">
        <v>1.1200000000000001</v>
      </c>
      <c r="M40" t="s">
        <v>88</v>
      </c>
      <c r="N40" t="s">
        <v>59</v>
      </c>
      <c r="O40" t="s">
        <v>45</v>
      </c>
      <c r="P40">
        <v>48</v>
      </c>
      <c r="Q40">
        <v>37</v>
      </c>
    </row>
    <row r="41" spans="1:17" x14ac:dyDescent="0.25">
      <c r="A41">
        <v>2018</v>
      </c>
      <c r="B41" t="s">
        <v>10</v>
      </c>
      <c r="C41">
        <v>1873</v>
      </c>
      <c r="D41">
        <v>3065.6405144740406</v>
      </c>
      <c r="E41" t="s">
        <v>41</v>
      </c>
      <c r="F41">
        <v>6.57</v>
      </c>
      <c r="G41" t="s">
        <v>42</v>
      </c>
      <c r="H41">
        <v>35.67</v>
      </c>
      <c r="I41">
        <v>38.79</v>
      </c>
      <c r="J41">
        <v>28.9</v>
      </c>
      <c r="K41">
        <v>8.02</v>
      </c>
      <c r="L41">
        <v>1.95</v>
      </c>
      <c r="M41" t="s">
        <v>89</v>
      </c>
      <c r="N41" t="s">
        <v>47</v>
      </c>
      <c r="O41" t="s">
        <v>45</v>
      </c>
      <c r="P41">
        <v>76</v>
      </c>
      <c r="Q41">
        <v>42</v>
      </c>
    </row>
    <row r="42" spans="1:17" x14ac:dyDescent="0.25">
      <c r="A42">
        <v>2018</v>
      </c>
      <c r="B42" t="s">
        <v>6</v>
      </c>
      <c r="C42">
        <v>2210</v>
      </c>
      <c r="D42">
        <v>2464.4445805581713</v>
      </c>
      <c r="E42" t="s">
        <v>45</v>
      </c>
      <c r="F42">
        <v>9.6</v>
      </c>
      <c r="G42" t="s">
        <v>42</v>
      </c>
      <c r="H42">
        <v>66.31</v>
      </c>
      <c r="I42">
        <v>44.28</v>
      </c>
      <c r="J42">
        <v>30.63</v>
      </c>
      <c r="K42">
        <v>15.08</v>
      </c>
      <c r="L42">
        <v>1.37</v>
      </c>
      <c r="M42" t="s">
        <v>90</v>
      </c>
      <c r="N42" t="s">
        <v>50</v>
      </c>
      <c r="O42" t="s">
        <v>45</v>
      </c>
      <c r="P42">
        <v>78</v>
      </c>
      <c r="Q42">
        <v>56</v>
      </c>
    </row>
    <row r="43" spans="1:17" x14ac:dyDescent="0.25">
      <c r="A43">
        <v>2018</v>
      </c>
      <c r="B43" t="s">
        <v>6</v>
      </c>
      <c r="C43">
        <v>1514</v>
      </c>
      <c r="D43">
        <v>4223.9005332172837</v>
      </c>
      <c r="E43" t="s">
        <v>41</v>
      </c>
      <c r="F43">
        <v>7.1</v>
      </c>
      <c r="G43" t="s">
        <v>42</v>
      </c>
      <c r="H43">
        <v>26.95</v>
      </c>
      <c r="I43">
        <v>22.73</v>
      </c>
      <c r="J43">
        <v>63.15</v>
      </c>
      <c r="K43">
        <v>27.24</v>
      </c>
      <c r="L43">
        <v>2.1</v>
      </c>
      <c r="M43" t="s">
        <v>91</v>
      </c>
      <c r="N43" t="s">
        <v>59</v>
      </c>
      <c r="O43" t="s">
        <v>45</v>
      </c>
      <c r="P43">
        <v>63</v>
      </c>
      <c r="Q43">
        <v>55</v>
      </c>
    </row>
    <row r="44" spans="1:17" x14ac:dyDescent="0.25">
      <c r="A44">
        <v>2018</v>
      </c>
      <c r="B44" t="s">
        <v>9</v>
      </c>
      <c r="C44">
        <v>1877</v>
      </c>
      <c r="D44">
        <v>3640.8206436376881</v>
      </c>
      <c r="E44" t="s">
        <v>45</v>
      </c>
      <c r="F44">
        <v>8.25</v>
      </c>
      <c r="G44" t="s">
        <v>42</v>
      </c>
      <c r="H44">
        <v>57.86</v>
      </c>
      <c r="I44">
        <v>35.51</v>
      </c>
      <c r="J44">
        <v>66.53</v>
      </c>
      <c r="K44">
        <v>9.6999999999999993</v>
      </c>
      <c r="L44">
        <v>1.82</v>
      </c>
      <c r="M44" t="s">
        <v>92</v>
      </c>
      <c r="N44" t="s">
        <v>63</v>
      </c>
      <c r="O44" t="s">
        <v>41</v>
      </c>
      <c r="P44">
        <v>76</v>
      </c>
      <c r="Q44">
        <v>36</v>
      </c>
    </row>
    <row r="45" spans="1:17" x14ac:dyDescent="0.25">
      <c r="A45">
        <v>2018</v>
      </c>
      <c r="B45" t="s">
        <v>9</v>
      </c>
      <c r="C45">
        <v>484</v>
      </c>
      <c r="D45">
        <v>1639.1849818639594</v>
      </c>
      <c r="E45" t="s">
        <v>41</v>
      </c>
      <c r="F45">
        <v>6.53</v>
      </c>
      <c r="G45" t="s">
        <v>42</v>
      </c>
      <c r="H45">
        <v>54.36</v>
      </c>
      <c r="I45">
        <v>36.590000000000003</v>
      </c>
      <c r="J45">
        <v>50.2</v>
      </c>
      <c r="K45">
        <v>24.05</v>
      </c>
      <c r="L45">
        <v>0.87</v>
      </c>
      <c r="M45" t="s">
        <v>93</v>
      </c>
      <c r="N45" t="s">
        <v>57</v>
      </c>
      <c r="O45" t="s">
        <v>45</v>
      </c>
      <c r="P45">
        <v>59</v>
      </c>
      <c r="Q45">
        <v>21</v>
      </c>
    </row>
    <row r="46" spans="1:17" x14ac:dyDescent="0.25">
      <c r="A46">
        <v>2018</v>
      </c>
      <c r="B46" t="s">
        <v>9</v>
      </c>
      <c r="C46">
        <v>2415</v>
      </c>
      <c r="D46">
        <v>4191.9868726766545</v>
      </c>
      <c r="E46" t="s">
        <v>45</v>
      </c>
      <c r="F46">
        <v>2.34</v>
      </c>
      <c r="G46" t="s">
        <v>42</v>
      </c>
      <c r="H46">
        <v>69.41</v>
      </c>
      <c r="I46">
        <v>25</v>
      </c>
      <c r="J46">
        <v>49.11</v>
      </c>
      <c r="K46">
        <v>19.29</v>
      </c>
      <c r="L46">
        <v>0.51</v>
      </c>
      <c r="M46" t="s">
        <v>94</v>
      </c>
      <c r="N46" t="s">
        <v>59</v>
      </c>
      <c r="O46" t="s">
        <v>41</v>
      </c>
      <c r="P46">
        <v>42</v>
      </c>
      <c r="Q46">
        <v>49</v>
      </c>
    </row>
    <row r="47" spans="1:17" x14ac:dyDescent="0.25">
      <c r="A47">
        <v>2018</v>
      </c>
      <c r="B47" t="s">
        <v>5</v>
      </c>
      <c r="C47">
        <v>1404</v>
      </c>
      <c r="D47">
        <v>4736.7696528112101</v>
      </c>
      <c r="E47" t="s">
        <v>41</v>
      </c>
      <c r="F47">
        <v>2.04</v>
      </c>
      <c r="G47" t="s">
        <v>42</v>
      </c>
      <c r="H47">
        <v>60.98</v>
      </c>
      <c r="I47">
        <v>14.61</v>
      </c>
      <c r="J47">
        <v>60.64</v>
      </c>
      <c r="K47">
        <v>66.42</v>
      </c>
      <c r="L47">
        <v>1.56</v>
      </c>
      <c r="M47" t="s">
        <v>95</v>
      </c>
      <c r="N47" t="s">
        <v>50</v>
      </c>
      <c r="O47" t="s">
        <v>45</v>
      </c>
      <c r="P47">
        <v>58</v>
      </c>
      <c r="Q47">
        <v>30</v>
      </c>
    </row>
    <row r="48" spans="1:17" x14ac:dyDescent="0.25">
      <c r="A48">
        <v>2018</v>
      </c>
      <c r="B48" t="s">
        <v>8</v>
      </c>
      <c r="C48">
        <v>148</v>
      </c>
      <c r="D48">
        <v>116.68559923233134</v>
      </c>
      <c r="E48" t="s">
        <v>41</v>
      </c>
      <c r="F48">
        <v>7.65</v>
      </c>
      <c r="G48" t="s">
        <v>42</v>
      </c>
      <c r="H48">
        <v>15.44</v>
      </c>
      <c r="I48">
        <v>37.68</v>
      </c>
      <c r="J48">
        <v>55.08</v>
      </c>
      <c r="K48">
        <v>12.64</v>
      </c>
      <c r="L48">
        <v>1.39</v>
      </c>
      <c r="M48" t="s">
        <v>94</v>
      </c>
      <c r="N48" t="s">
        <v>50</v>
      </c>
      <c r="O48" t="s">
        <v>45</v>
      </c>
      <c r="P48">
        <v>42</v>
      </c>
      <c r="Q48">
        <v>49</v>
      </c>
    </row>
    <row r="49" spans="1:17" x14ac:dyDescent="0.25">
      <c r="A49">
        <v>2018</v>
      </c>
      <c r="B49" t="s">
        <v>8</v>
      </c>
      <c r="C49">
        <v>1889</v>
      </c>
      <c r="D49">
        <v>6458.9113739864915</v>
      </c>
      <c r="E49" t="s">
        <v>41</v>
      </c>
      <c r="F49">
        <v>9.3000000000000007</v>
      </c>
      <c r="G49" t="s">
        <v>42</v>
      </c>
      <c r="H49">
        <v>61.15</v>
      </c>
      <c r="I49">
        <v>60.92</v>
      </c>
      <c r="J49">
        <v>57.83</v>
      </c>
      <c r="K49">
        <v>15.69</v>
      </c>
      <c r="L49">
        <v>0.42</v>
      </c>
      <c r="M49" t="s">
        <v>96</v>
      </c>
      <c r="N49" t="s">
        <v>53</v>
      </c>
      <c r="O49" t="s">
        <v>41</v>
      </c>
      <c r="P49">
        <v>44</v>
      </c>
      <c r="Q49">
        <v>27</v>
      </c>
    </row>
    <row r="50" spans="1:17" x14ac:dyDescent="0.25">
      <c r="A50">
        <v>2018</v>
      </c>
      <c r="B50" t="s">
        <v>8</v>
      </c>
      <c r="C50">
        <v>1837</v>
      </c>
      <c r="D50">
        <v>2524.4849123073463</v>
      </c>
      <c r="E50" t="s">
        <v>41</v>
      </c>
      <c r="F50">
        <v>2.17</v>
      </c>
      <c r="G50" t="s">
        <v>42</v>
      </c>
      <c r="H50">
        <v>77.86</v>
      </c>
      <c r="I50">
        <v>46.28</v>
      </c>
      <c r="J50">
        <v>57.4</v>
      </c>
      <c r="K50">
        <v>33.99</v>
      </c>
      <c r="L50">
        <v>1.47</v>
      </c>
      <c r="M50" t="s">
        <v>97</v>
      </c>
      <c r="N50" t="s">
        <v>53</v>
      </c>
      <c r="O50" t="s">
        <v>41</v>
      </c>
      <c r="P50">
        <v>69</v>
      </c>
      <c r="Q50">
        <v>60</v>
      </c>
    </row>
    <row r="51" spans="1:17" x14ac:dyDescent="0.25">
      <c r="A51">
        <v>2018</v>
      </c>
      <c r="B51" t="s">
        <v>3</v>
      </c>
      <c r="C51">
        <v>755</v>
      </c>
      <c r="D51">
        <v>2012.024819874481</v>
      </c>
      <c r="E51" t="s">
        <v>45</v>
      </c>
      <c r="F51">
        <v>5.79</v>
      </c>
      <c r="G51" t="s">
        <v>42</v>
      </c>
      <c r="H51">
        <v>61.25</v>
      </c>
      <c r="I51">
        <v>55.44</v>
      </c>
      <c r="J51">
        <v>94.98</v>
      </c>
      <c r="K51">
        <v>11.91</v>
      </c>
      <c r="L51">
        <v>1.56</v>
      </c>
      <c r="M51" t="s">
        <v>98</v>
      </c>
      <c r="N51" t="s">
        <v>57</v>
      </c>
      <c r="O51" t="s">
        <v>45</v>
      </c>
      <c r="P51">
        <v>71</v>
      </c>
      <c r="Q51">
        <v>25</v>
      </c>
    </row>
    <row r="52" spans="1:17" x14ac:dyDescent="0.25">
      <c r="A52">
        <v>2018</v>
      </c>
      <c r="B52" t="s">
        <v>3</v>
      </c>
      <c r="C52">
        <v>2015</v>
      </c>
      <c r="D52">
        <v>2058.2837570728439</v>
      </c>
      <c r="E52" t="s">
        <v>45</v>
      </c>
      <c r="F52">
        <v>5.0999999999999996</v>
      </c>
      <c r="G52" t="s">
        <v>42</v>
      </c>
      <c r="H52">
        <v>29.58</v>
      </c>
      <c r="I52">
        <v>63.36</v>
      </c>
      <c r="J52">
        <v>81.61</v>
      </c>
      <c r="K52">
        <v>44.7</v>
      </c>
      <c r="L52">
        <v>1.48</v>
      </c>
      <c r="M52" t="s">
        <v>99</v>
      </c>
      <c r="N52" t="s">
        <v>63</v>
      </c>
      <c r="O52" t="s">
        <v>45</v>
      </c>
      <c r="P52">
        <v>67</v>
      </c>
      <c r="Q52">
        <v>56</v>
      </c>
    </row>
    <row r="53" spans="1:17" x14ac:dyDescent="0.25">
      <c r="A53">
        <v>2018</v>
      </c>
      <c r="B53" t="s">
        <v>3</v>
      </c>
      <c r="C53">
        <v>1534</v>
      </c>
      <c r="D53">
        <v>4130.3307542916491</v>
      </c>
      <c r="E53" t="s">
        <v>41</v>
      </c>
      <c r="F53">
        <v>6.76</v>
      </c>
      <c r="G53" t="s">
        <v>42</v>
      </c>
      <c r="H53">
        <v>92.53</v>
      </c>
      <c r="I53">
        <v>46.95</v>
      </c>
      <c r="J53">
        <v>51.09</v>
      </c>
      <c r="K53">
        <v>18.37</v>
      </c>
      <c r="L53">
        <v>1.26</v>
      </c>
      <c r="M53" t="s">
        <v>100</v>
      </c>
      <c r="N53" t="s">
        <v>63</v>
      </c>
      <c r="O53" t="s">
        <v>41</v>
      </c>
      <c r="P53">
        <v>43</v>
      </c>
      <c r="Q53">
        <v>54</v>
      </c>
    </row>
    <row r="54" spans="1:17" x14ac:dyDescent="0.25">
      <c r="A54">
        <v>2018</v>
      </c>
      <c r="B54" t="s">
        <v>7</v>
      </c>
      <c r="C54">
        <v>2167</v>
      </c>
      <c r="D54">
        <v>6153.0200274381577</v>
      </c>
      <c r="E54" t="s">
        <v>45</v>
      </c>
      <c r="F54">
        <v>8.73</v>
      </c>
      <c r="G54" t="s">
        <v>42</v>
      </c>
      <c r="H54">
        <v>62.7</v>
      </c>
      <c r="I54">
        <v>48.78</v>
      </c>
      <c r="J54">
        <v>71.16</v>
      </c>
      <c r="K54">
        <v>69.02</v>
      </c>
      <c r="L54">
        <v>0.72</v>
      </c>
      <c r="M54" t="s">
        <v>101</v>
      </c>
      <c r="N54" t="s">
        <v>47</v>
      </c>
      <c r="O54" t="s">
        <v>41</v>
      </c>
      <c r="P54">
        <v>49</v>
      </c>
      <c r="Q54">
        <v>59</v>
      </c>
    </row>
    <row r="55" spans="1:17" x14ac:dyDescent="0.25">
      <c r="A55">
        <v>2018</v>
      </c>
      <c r="B55" t="s">
        <v>7</v>
      </c>
      <c r="C55">
        <v>1118</v>
      </c>
      <c r="D55">
        <v>2565.4330917968678</v>
      </c>
      <c r="E55" t="s">
        <v>45</v>
      </c>
      <c r="F55">
        <v>6.3</v>
      </c>
      <c r="G55" t="s">
        <v>42</v>
      </c>
      <c r="H55">
        <v>37.090000000000003</v>
      </c>
      <c r="I55">
        <v>35.78</v>
      </c>
      <c r="J55">
        <v>25.97</v>
      </c>
      <c r="K55">
        <v>52.17</v>
      </c>
      <c r="L55">
        <v>0.69</v>
      </c>
      <c r="M55" t="s">
        <v>102</v>
      </c>
      <c r="N55" t="s">
        <v>57</v>
      </c>
      <c r="O55" t="s">
        <v>41</v>
      </c>
      <c r="P55">
        <v>62</v>
      </c>
      <c r="Q55">
        <v>52</v>
      </c>
    </row>
    <row r="56" spans="1:17" x14ac:dyDescent="0.25">
      <c r="A56">
        <v>2018</v>
      </c>
      <c r="B56" t="s">
        <v>7</v>
      </c>
      <c r="C56">
        <v>1803</v>
      </c>
      <c r="D56">
        <v>3351.2044639527849</v>
      </c>
      <c r="E56" t="s">
        <v>41</v>
      </c>
      <c r="F56">
        <v>5.59</v>
      </c>
      <c r="G56" t="s">
        <v>42</v>
      </c>
      <c r="H56">
        <v>45.37</v>
      </c>
      <c r="I56">
        <v>27.94</v>
      </c>
      <c r="J56">
        <v>88.75</v>
      </c>
      <c r="K56">
        <v>58.88</v>
      </c>
      <c r="L56">
        <v>0.42</v>
      </c>
      <c r="M56" t="s">
        <v>103</v>
      </c>
      <c r="N56" t="s">
        <v>50</v>
      </c>
      <c r="O56" t="s">
        <v>41</v>
      </c>
      <c r="P56">
        <v>67</v>
      </c>
      <c r="Q56">
        <v>44</v>
      </c>
    </row>
    <row r="57" spans="1:17" x14ac:dyDescent="0.25">
      <c r="A57">
        <v>2018</v>
      </c>
      <c r="B57" t="s">
        <v>4</v>
      </c>
      <c r="C57">
        <v>2234</v>
      </c>
      <c r="D57">
        <v>5706.8685999628142</v>
      </c>
      <c r="E57" t="s">
        <v>45</v>
      </c>
      <c r="F57">
        <v>3.32</v>
      </c>
      <c r="G57" t="s">
        <v>42</v>
      </c>
      <c r="H57">
        <v>81.47</v>
      </c>
      <c r="I57">
        <v>3.2</v>
      </c>
      <c r="J57">
        <v>58.42</v>
      </c>
      <c r="K57">
        <v>46.94</v>
      </c>
      <c r="L57">
        <v>1.49</v>
      </c>
      <c r="M57" t="s">
        <v>104</v>
      </c>
      <c r="N57" t="s">
        <v>63</v>
      </c>
      <c r="O57" t="s">
        <v>45</v>
      </c>
      <c r="P57">
        <v>71</v>
      </c>
      <c r="Q57">
        <v>30</v>
      </c>
    </row>
    <row r="58" spans="1:17" x14ac:dyDescent="0.25">
      <c r="A58">
        <v>2018</v>
      </c>
      <c r="B58" t="s">
        <v>4</v>
      </c>
      <c r="C58">
        <v>1153</v>
      </c>
      <c r="D58">
        <v>1766.5293895972511</v>
      </c>
      <c r="E58" t="s">
        <v>45</v>
      </c>
      <c r="F58">
        <v>8.89</v>
      </c>
      <c r="G58" t="s">
        <v>42</v>
      </c>
      <c r="H58">
        <v>73.58</v>
      </c>
      <c r="I58">
        <v>31.76</v>
      </c>
      <c r="J58">
        <v>60.67</v>
      </c>
      <c r="K58">
        <v>52.02</v>
      </c>
      <c r="L58">
        <v>2.0499999999999998</v>
      </c>
      <c r="M58" t="s">
        <v>105</v>
      </c>
      <c r="N58" t="s">
        <v>53</v>
      </c>
      <c r="O58" t="s">
        <v>41</v>
      </c>
      <c r="P58">
        <v>42</v>
      </c>
      <c r="Q58">
        <v>34</v>
      </c>
    </row>
    <row r="59" spans="1:17" x14ac:dyDescent="0.25">
      <c r="A59">
        <v>2019</v>
      </c>
      <c r="B59" t="s">
        <v>10</v>
      </c>
      <c r="C59">
        <v>312</v>
      </c>
      <c r="D59">
        <v>859.97576097572801</v>
      </c>
      <c r="E59" t="s">
        <v>45</v>
      </c>
      <c r="F59">
        <v>5.63</v>
      </c>
      <c r="G59" t="s">
        <v>42</v>
      </c>
      <c r="H59">
        <v>67.36</v>
      </c>
      <c r="I59">
        <v>16.239999999999998</v>
      </c>
      <c r="J59">
        <v>54.99</v>
      </c>
      <c r="K59">
        <v>38.049999999999997</v>
      </c>
      <c r="L59">
        <v>0.3</v>
      </c>
      <c r="M59" t="s">
        <v>106</v>
      </c>
      <c r="N59" t="s">
        <v>59</v>
      </c>
      <c r="O59" t="s">
        <v>41</v>
      </c>
      <c r="P59">
        <v>70</v>
      </c>
      <c r="Q59">
        <v>55</v>
      </c>
    </row>
    <row r="60" spans="1:17" x14ac:dyDescent="0.25">
      <c r="A60">
        <v>2019</v>
      </c>
      <c r="B60" t="s">
        <v>10</v>
      </c>
      <c r="C60">
        <v>2113</v>
      </c>
      <c r="D60">
        <v>4453.5586942880345</v>
      </c>
      <c r="E60" t="s">
        <v>45</v>
      </c>
      <c r="F60">
        <v>8.0500000000000007</v>
      </c>
      <c r="G60" t="s">
        <v>42</v>
      </c>
      <c r="H60">
        <v>34.42</v>
      </c>
      <c r="I60">
        <v>23.77</v>
      </c>
      <c r="J60">
        <v>79.06</v>
      </c>
      <c r="K60">
        <v>13.87</v>
      </c>
      <c r="L60">
        <v>1.63</v>
      </c>
      <c r="M60" t="s">
        <v>107</v>
      </c>
      <c r="N60" t="s">
        <v>53</v>
      </c>
      <c r="O60" t="s">
        <v>41</v>
      </c>
      <c r="P60">
        <v>52</v>
      </c>
      <c r="Q60">
        <v>22</v>
      </c>
    </row>
    <row r="61" spans="1:17" x14ac:dyDescent="0.25">
      <c r="A61">
        <v>2019</v>
      </c>
      <c r="B61" t="s">
        <v>6</v>
      </c>
      <c r="C61">
        <v>259</v>
      </c>
      <c r="D61">
        <v>219.8723676804016</v>
      </c>
      <c r="E61" t="s">
        <v>41</v>
      </c>
      <c r="F61">
        <v>7.45</v>
      </c>
      <c r="G61" t="s">
        <v>42</v>
      </c>
      <c r="H61">
        <v>63.75</v>
      </c>
      <c r="I61">
        <v>67.22</v>
      </c>
      <c r="J61">
        <v>62.64</v>
      </c>
      <c r="K61">
        <v>26.43</v>
      </c>
      <c r="L61">
        <v>0.96</v>
      </c>
      <c r="M61" t="s">
        <v>108</v>
      </c>
      <c r="N61" t="s">
        <v>57</v>
      </c>
      <c r="O61" t="s">
        <v>45</v>
      </c>
      <c r="P61">
        <v>68</v>
      </c>
      <c r="Q61">
        <v>43</v>
      </c>
    </row>
    <row r="62" spans="1:17" x14ac:dyDescent="0.25">
      <c r="A62">
        <v>2019</v>
      </c>
      <c r="B62" t="s">
        <v>9</v>
      </c>
      <c r="C62">
        <v>835</v>
      </c>
      <c r="D62">
        <v>2608.2414613146425</v>
      </c>
      <c r="E62" t="s">
        <v>45</v>
      </c>
      <c r="F62">
        <v>2.38</v>
      </c>
      <c r="G62" t="s">
        <v>42</v>
      </c>
      <c r="H62">
        <v>87.96</v>
      </c>
      <c r="I62">
        <v>47.61</v>
      </c>
      <c r="J62">
        <v>83.01</v>
      </c>
      <c r="K62">
        <v>51.05</v>
      </c>
      <c r="L62">
        <v>1.1200000000000001</v>
      </c>
      <c r="M62" t="s">
        <v>109</v>
      </c>
      <c r="N62" t="s">
        <v>47</v>
      </c>
      <c r="O62" t="s">
        <v>41</v>
      </c>
      <c r="P62">
        <v>76</v>
      </c>
      <c r="Q62">
        <v>51</v>
      </c>
    </row>
    <row r="63" spans="1:17" x14ac:dyDescent="0.25">
      <c r="A63">
        <v>2019</v>
      </c>
      <c r="B63" t="s">
        <v>2</v>
      </c>
      <c r="C63">
        <v>2500</v>
      </c>
      <c r="D63">
        <v>5044.3458840201947</v>
      </c>
      <c r="E63" t="s">
        <v>41</v>
      </c>
      <c r="F63">
        <v>4.0599999999999996</v>
      </c>
      <c r="G63" t="s">
        <v>42</v>
      </c>
      <c r="H63">
        <v>82.99</v>
      </c>
      <c r="I63">
        <v>27.34</v>
      </c>
      <c r="J63">
        <v>40.18</v>
      </c>
      <c r="K63">
        <v>32.25</v>
      </c>
      <c r="L63">
        <v>0.8</v>
      </c>
      <c r="M63" t="s">
        <v>110</v>
      </c>
      <c r="N63" t="s">
        <v>44</v>
      </c>
      <c r="O63" t="s">
        <v>41</v>
      </c>
      <c r="P63">
        <v>63</v>
      </c>
      <c r="Q63">
        <v>38</v>
      </c>
    </row>
    <row r="64" spans="1:17" x14ac:dyDescent="0.25">
      <c r="A64">
        <v>2019</v>
      </c>
      <c r="B64" t="s">
        <v>5</v>
      </c>
      <c r="C64">
        <v>2412</v>
      </c>
      <c r="D64">
        <v>5618.8093237253051</v>
      </c>
      <c r="E64" t="s">
        <v>45</v>
      </c>
      <c r="F64">
        <v>5.32</v>
      </c>
      <c r="G64" t="s">
        <v>42</v>
      </c>
      <c r="H64">
        <v>65.23</v>
      </c>
      <c r="I64">
        <v>44.45</v>
      </c>
      <c r="J64">
        <v>57.29</v>
      </c>
      <c r="K64">
        <v>57.99</v>
      </c>
      <c r="L64">
        <v>1.3</v>
      </c>
      <c r="M64" t="s">
        <v>111</v>
      </c>
      <c r="N64" t="s">
        <v>44</v>
      </c>
      <c r="O64" t="s">
        <v>41</v>
      </c>
      <c r="P64">
        <v>69</v>
      </c>
      <c r="Q64">
        <v>23</v>
      </c>
    </row>
    <row r="65" spans="1:17" x14ac:dyDescent="0.25">
      <c r="A65">
        <v>2019</v>
      </c>
      <c r="B65" t="s">
        <v>8</v>
      </c>
      <c r="C65">
        <v>880</v>
      </c>
      <c r="D65">
        <v>732.23203709431698</v>
      </c>
      <c r="E65" t="s">
        <v>41</v>
      </c>
      <c r="F65">
        <v>8.94</v>
      </c>
      <c r="G65" t="s">
        <v>42</v>
      </c>
      <c r="H65">
        <v>25.88</v>
      </c>
      <c r="I65">
        <v>23.93</v>
      </c>
      <c r="J65">
        <v>91.41</v>
      </c>
      <c r="K65">
        <v>50.34</v>
      </c>
      <c r="L65">
        <v>0.68</v>
      </c>
      <c r="M65" t="s">
        <v>112</v>
      </c>
      <c r="N65" t="s">
        <v>44</v>
      </c>
      <c r="O65" t="s">
        <v>45</v>
      </c>
      <c r="P65">
        <v>80</v>
      </c>
      <c r="Q65">
        <v>32</v>
      </c>
    </row>
    <row r="66" spans="1:17" x14ac:dyDescent="0.25">
      <c r="A66">
        <v>2019</v>
      </c>
      <c r="B66" t="s">
        <v>8</v>
      </c>
      <c r="C66">
        <v>831</v>
      </c>
      <c r="D66">
        <v>2334.2538248140745</v>
      </c>
      <c r="E66" t="s">
        <v>45</v>
      </c>
      <c r="F66">
        <v>8.82</v>
      </c>
      <c r="G66" t="s">
        <v>42</v>
      </c>
      <c r="H66">
        <v>86.55</v>
      </c>
      <c r="I66">
        <v>3.07</v>
      </c>
      <c r="J66">
        <v>95.43</v>
      </c>
      <c r="K66">
        <v>13.16</v>
      </c>
      <c r="L66">
        <v>1.75</v>
      </c>
      <c r="M66" t="s">
        <v>113</v>
      </c>
      <c r="N66" t="s">
        <v>50</v>
      </c>
      <c r="O66" t="s">
        <v>41</v>
      </c>
      <c r="P66">
        <v>53</v>
      </c>
      <c r="Q66">
        <v>25</v>
      </c>
    </row>
    <row r="67" spans="1:17" x14ac:dyDescent="0.25">
      <c r="A67">
        <v>2019</v>
      </c>
      <c r="B67" t="s">
        <v>7</v>
      </c>
      <c r="C67">
        <v>979</v>
      </c>
      <c r="D67">
        <v>3176.8458502329299</v>
      </c>
      <c r="E67" t="s">
        <v>41</v>
      </c>
      <c r="F67">
        <v>8.6300000000000008</v>
      </c>
      <c r="G67" t="s">
        <v>42</v>
      </c>
      <c r="H67">
        <v>82.39</v>
      </c>
      <c r="I67">
        <v>7.82</v>
      </c>
      <c r="J67">
        <v>76.430000000000007</v>
      </c>
      <c r="K67">
        <v>64.86</v>
      </c>
      <c r="L67">
        <v>1.48</v>
      </c>
      <c r="M67" t="s">
        <v>114</v>
      </c>
      <c r="N67" t="s">
        <v>44</v>
      </c>
      <c r="O67" t="s">
        <v>45</v>
      </c>
      <c r="P67">
        <v>71</v>
      </c>
      <c r="Q67">
        <v>51</v>
      </c>
    </row>
    <row r="68" spans="1:17" x14ac:dyDescent="0.25">
      <c r="A68">
        <v>2019</v>
      </c>
      <c r="B68" t="s">
        <v>7</v>
      </c>
      <c r="C68">
        <v>1818</v>
      </c>
      <c r="D68">
        <v>1013.8547250606192</v>
      </c>
      <c r="E68" t="s">
        <v>41</v>
      </c>
      <c r="F68">
        <v>4.37</v>
      </c>
      <c r="G68" t="s">
        <v>42</v>
      </c>
      <c r="H68">
        <v>70.39</v>
      </c>
      <c r="I68">
        <v>21.6</v>
      </c>
      <c r="J68">
        <v>55.57</v>
      </c>
      <c r="K68">
        <v>34.67</v>
      </c>
      <c r="L68">
        <v>1.76</v>
      </c>
      <c r="M68" t="s">
        <v>115</v>
      </c>
      <c r="N68" t="s">
        <v>63</v>
      </c>
      <c r="O68" t="s">
        <v>45</v>
      </c>
      <c r="P68">
        <v>48</v>
      </c>
      <c r="Q68">
        <v>28</v>
      </c>
    </row>
    <row r="69" spans="1:17" x14ac:dyDescent="0.25">
      <c r="A69">
        <v>2019</v>
      </c>
      <c r="B69" t="s">
        <v>1</v>
      </c>
      <c r="C69">
        <v>1160</v>
      </c>
      <c r="D69">
        <v>1260.2400525838559</v>
      </c>
      <c r="E69" t="s">
        <v>45</v>
      </c>
      <c r="F69">
        <v>9.4700000000000006</v>
      </c>
      <c r="G69" t="s">
        <v>42</v>
      </c>
      <c r="H69">
        <v>59.27</v>
      </c>
      <c r="I69">
        <v>31.11</v>
      </c>
      <c r="J69">
        <v>78.239999999999995</v>
      </c>
      <c r="K69">
        <v>32.229999999999997</v>
      </c>
      <c r="L69">
        <v>1.87</v>
      </c>
      <c r="M69" t="s">
        <v>116</v>
      </c>
      <c r="N69" t="s">
        <v>59</v>
      </c>
      <c r="O69" t="s">
        <v>41</v>
      </c>
      <c r="P69">
        <v>42</v>
      </c>
      <c r="Q69">
        <v>44</v>
      </c>
    </row>
    <row r="70" spans="1:17" x14ac:dyDescent="0.25">
      <c r="A70">
        <v>2020</v>
      </c>
      <c r="B70" t="s">
        <v>10</v>
      </c>
      <c r="C70">
        <v>1994</v>
      </c>
      <c r="D70">
        <v>2226.0408217030604</v>
      </c>
      <c r="E70" t="s">
        <v>41</v>
      </c>
      <c r="F70">
        <v>7.35</v>
      </c>
      <c r="G70" t="s">
        <v>42</v>
      </c>
      <c r="H70">
        <v>23.24</v>
      </c>
      <c r="I70">
        <v>60.51</v>
      </c>
      <c r="J70">
        <v>93.97</v>
      </c>
      <c r="K70">
        <v>69.959999999999994</v>
      </c>
      <c r="L70">
        <v>0.86</v>
      </c>
      <c r="M70" t="s">
        <v>117</v>
      </c>
      <c r="N70" t="s">
        <v>50</v>
      </c>
      <c r="O70" t="s">
        <v>41</v>
      </c>
      <c r="P70">
        <v>58</v>
      </c>
      <c r="Q70">
        <v>50</v>
      </c>
    </row>
    <row r="71" spans="1:17" x14ac:dyDescent="0.25">
      <c r="A71">
        <v>2020</v>
      </c>
      <c r="B71" t="s">
        <v>6</v>
      </c>
      <c r="C71">
        <v>1085</v>
      </c>
      <c r="D71">
        <v>2130.4518239669655</v>
      </c>
      <c r="E71" t="s">
        <v>45</v>
      </c>
      <c r="F71">
        <v>3.15</v>
      </c>
      <c r="G71" t="s">
        <v>42</v>
      </c>
      <c r="H71">
        <v>32.159999999999997</v>
      </c>
      <c r="I71">
        <v>34.520000000000003</v>
      </c>
      <c r="J71">
        <v>73.7</v>
      </c>
      <c r="K71">
        <v>62.77</v>
      </c>
      <c r="L71">
        <v>0.97</v>
      </c>
      <c r="M71" t="s">
        <v>118</v>
      </c>
      <c r="N71" t="s">
        <v>63</v>
      </c>
      <c r="O71" t="s">
        <v>45</v>
      </c>
      <c r="P71">
        <v>66</v>
      </c>
      <c r="Q71">
        <v>51</v>
      </c>
    </row>
    <row r="72" spans="1:17" x14ac:dyDescent="0.25">
      <c r="A72">
        <v>2020</v>
      </c>
      <c r="B72" t="s">
        <v>9</v>
      </c>
      <c r="C72">
        <v>1873</v>
      </c>
      <c r="D72">
        <v>4245.5439916322339</v>
      </c>
      <c r="E72" t="s">
        <v>41</v>
      </c>
      <c r="F72">
        <v>2.21</v>
      </c>
      <c r="G72" t="s">
        <v>42</v>
      </c>
      <c r="H72">
        <v>50.81</v>
      </c>
      <c r="I72">
        <v>2.39</v>
      </c>
      <c r="J72">
        <v>96.73</v>
      </c>
      <c r="K72">
        <v>53.25</v>
      </c>
      <c r="L72">
        <v>0.52</v>
      </c>
      <c r="M72" t="s">
        <v>119</v>
      </c>
      <c r="N72" t="s">
        <v>59</v>
      </c>
      <c r="O72" t="s">
        <v>41</v>
      </c>
      <c r="P72">
        <v>79</v>
      </c>
      <c r="Q72">
        <v>42</v>
      </c>
    </row>
    <row r="73" spans="1:17" x14ac:dyDescent="0.25">
      <c r="A73">
        <v>2020</v>
      </c>
      <c r="B73" t="s">
        <v>2</v>
      </c>
      <c r="C73">
        <v>1846</v>
      </c>
      <c r="D73">
        <v>2848.8841900881098</v>
      </c>
      <c r="E73" t="s">
        <v>41</v>
      </c>
      <c r="F73">
        <v>3.66</v>
      </c>
      <c r="G73" t="s">
        <v>42</v>
      </c>
      <c r="H73">
        <v>88.75</v>
      </c>
      <c r="I73">
        <v>2.63</v>
      </c>
      <c r="J73">
        <v>72</v>
      </c>
      <c r="K73">
        <v>12.08</v>
      </c>
      <c r="L73">
        <v>0.74</v>
      </c>
      <c r="M73" t="s">
        <v>120</v>
      </c>
      <c r="N73" t="s">
        <v>47</v>
      </c>
      <c r="O73" t="s">
        <v>45</v>
      </c>
      <c r="P73">
        <v>44</v>
      </c>
      <c r="Q73">
        <v>59</v>
      </c>
    </row>
    <row r="74" spans="1:17" x14ac:dyDescent="0.25">
      <c r="A74">
        <v>2020</v>
      </c>
      <c r="B74" t="s">
        <v>2</v>
      </c>
      <c r="C74">
        <v>1772</v>
      </c>
      <c r="D74">
        <v>1503.6092182926745</v>
      </c>
      <c r="E74" t="s">
        <v>41</v>
      </c>
      <c r="F74">
        <v>6.07</v>
      </c>
      <c r="G74" t="s">
        <v>42</v>
      </c>
      <c r="H74">
        <v>47.49</v>
      </c>
      <c r="I74">
        <v>27.79</v>
      </c>
      <c r="J74">
        <v>57.12</v>
      </c>
      <c r="K74">
        <v>19.190000000000001</v>
      </c>
      <c r="L74">
        <v>0.66</v>
      </c>
      <c r="M74" t="s">
        <v>61</v>
      </c>
      <c r="N74" t="s">
        <v>47</v>
      </c>
      <c r="O74" t="s">
        <v>41</v>
      </c>
      <c r="P74">
        <v>64</v>
      </c>
      <c r="Q74">
        <v>23</v>
      </c>
    </row>
    <row r="75" spans="1:17" x14ac:dyDescent="0.25">
      <c r="A75">
        <v>2020</v>
      </c>
      <c r="B75" t="s">
        <v>5</v>
      </c>
      <c r="C75">
        <v>765</v>
      </c>
      <c r="D75">
        <v>2328.6338848750097</v>
      </c>
      <c r="E75" t="s">
        <v>41</v>
      </c>
      <c r="F75">
        <v>5.89</v>
      </c>
      <c r="G75" t="s">
        <v>42</v>
      </c>
      <c r="H75">
        <v>54.2</v>
      </c>
      <c r="I75">
        <v>51.5</v>
      </c>
      <c r="J75">
        <v>80.02</v>
      </c>
      <c r="K75">
        <v>52.47</v>
      </c>
      <c r="L75">
        <v>1.0900000000000001</v>
      </c>
      <c r="M75" t="s">
        <v>121</v>
      </c>
      <c r="N75" t="s">
        <v>63</v>
      </c>
      <c r="O75" t="s">
        <v>41</v>
      </c>
      <c r="P75">
        <v>49</v>
      </c>
      <c r="Q75">
        <v>29</v>
      </c>
    </row>
    <row r="76" spans="1:17" x14ac:dyDescent="0.25">
      <c r="A76">
        <v>2020</v>
      </c>
      <c r="B76" t="s">
        <v>5</v>
      </c>
      <c r="C76">
        <v>1698</v>
      </c>
      <c r="D76">
        <v>4877.1584981609958</v>
      </c>
      <c r="E76" t="s">
        <v>41</v>
      </c>
      <c r="F76">
        <v>9.3800000000000008</v>
      </c>
      <c r="G76" t="s">
        <v>42</v>
      </c>
      <c r="H76">
        <v>79.42</v>
      </c>
      <c r="I76">
        <v>28.82</v>
      </c>
      <c r="J76">
        <v>68.27</v>
      </c>
      <c r="K76">
        <v>54.16</v>
      </c>
      <c r="L76">
        <v>0.39</v>
      </c>
      <c r="M76" t="s">
        <v>122</v>
      </c>
      <c r="N76" t="s">
        <v>50</v>
      </c>
      <c r="O76" t="s">
        <v>45</v>
      </c>
      <c r="P76">
        <v>46</v>
      </c>
      <c r="Q76">
        <v>27</v>
      </c>
    </row>
    <row r="77" spans="1:17" x14ac:dyDescent="0.25">
      <c r="A77">
        <v>2020</v>
      </c>
      <c r="B77" t="s">
        <v>5</v>
      </c>
      <c r="C77">
        <v>1160</v>
      </c>
      <c r="D77">
        <v>1994.4495487450392</v>
      </c>
      <c r="E77" t="s">
        <v>45</v>
      </c>
      <c r="F77">
        <v>9.08</v>
      </c>
      <c r="G77" t="s">
        <v>42</v>
      </c>
      <c r="H77">
        <v>30.11</v>
      </c>
      <c r="I77">
        <v>34.94</v>
      </c>
      <c r="J77">
        <v>53.15</v>
      </c>
      <c r="K77">
        <v>11.2</v>
      </c>
      <c r="L77">
        <v>1.02</v>
      </c>
      <c r="M77" t="s">
        <v>58</v>
      </c>
      <c r="N77" t="s">
        <v>57</v>
      </c>
      <c r="O77" t="s">
        <v>45</v>
      </c>
      <c r="P77">
        <v>64</v>
      </c>
      <c r="Q77">
        <v>42</v>
      </c>
    </row>
    <row r="78" spans="1:17" x14ac:dyDescent="0.25">
      <c r="A78">
        <v>2020</v>
      </c>
      <c r="B78" t="s">
        <v>3</v>
      </c>
      <c r="C78">
        <v>2473</v>
      </c>
      <c r="D78">
        <v>2036.798725760078</v>
      </c>
      <c r="E78" t="s">
        <v>45</v>
      </c>
      <c r="F78">
        <v>2.02</v>
      </c>
      <c r="G78" t="s">
        <v>42</v>
      </c>
      <c r="H78">
        <v>86.49</v>
      </c>
      <c r="I78">
        <v>27.33</v>
      </c>
      <c r="J78">
        <v>75.099999999999994</v>
      </c>
      <c r="K78">
        <v>58.46</v>
      </c>
      <c r="L78">
        <v>1.03</v>
      </c>
      <c r="M78" t="s">
        <v>123</v>
      </c>
      <c r="N78" t="s">
        <v>63</v>
      </c>
      <c r="O78" t="s">
        <v>41</v>
      </c>
      <c r="P78">
        <v>47</v>
      </c>
      <c r="Q78">
        <v>40</v>
      </c>
    </row>
    <row r="79" spans="1:17" x14ac:dyDescent="0.25">
      <c r="A79">
        <v>2020</v>
      </c>
      <c r="B79" t="s">
        <v>7</v>
      </c>
      <c r="C79">
        <v>1935</v>
      </c>
      <c r="D79">
        <v>4656.3771756108417</v>
      </c>
      <c r="E79" t="s">
        <v>41</v>
      </c>
      <c r="F79">
        <v>5.8</v>
      </c>
      <c r="G79" t="s">
        <v>42</v>
      </c>
      <c r="H79">
        <v>31.25</v>
      </c>
      <c r="I79">
        <v>22.69</v>
      </c>
      <c r="J79">
        <v>75.52</v>
      </c>
      <c r="K79">
        <v>17.18</v>
      </c>
      <c r="L79">
        <v>0.99</v>
      </c>
      <c r="M79" t="s">
        <v>124</v>
      </c>
      <c r="N79" t="s">
        <v>44</v>
      </c>
      <c r="O79" t="s">
        <v>45</v>
      </c>
      <c r="P79">
        <v>49</v>
      </c>
      <c r="Q79">
        <v>20</v>
      </c>
    </row>
    <row r="80" spans="1:17" x14ac:dyDescent="0.25">
      <c r="A80">
        <v>2020</v>
      </c>
      <c r="B80" t="s">
        <v>4</v>
      </c>
      <c r="C80">
        <v>662</v>
      </c>
      <c r="D80">
        <v>1838.5012340776805</v>
      </c>
      <c r="E80" t="s">
        <v>45</v>
      </c>
      <c r="F80">
        <v>9.65</v>
      </c>
      <c r="G80" t="s">
        <v>42</v>
      </c>
      <c r="H80">
        <v>37.840000000000003</v>
      </c>
      <c r="I80">
        <v>27.33</v>
      </c>
      <c r="J80">
        <v>65.069999999999993</v>
      </c>
      <c r="K80">
        <v>52.39</v>
      </c>
      <c r="L80">
        <v>1.17</v>
      </c>
      <c r="M80" t="s">
        <v>125</v>
      </c>
      <c r="N80" t="s">
        <v>44</v>
      </c>
      <c r="O80" t="s">
        <v>41</v>
      </c>
      <c r="P80">
        <v>47</v>
      </c>
      <c r="Q80">
        <v>54</v>
      </c>
    </row>
    <row r="81" spans="1:17" x14ac:dyDescent="0.25">
      <c r="A81">
        <v>2020</v>
      </c>
      <c r="B81" t="s">
        <v>4</v>
      </c>
      <c r="C81">
        <v>388</v>
      </c>
      <c r="D81">
        <v>1322.8255255030367</v>
      </c>
      <c r="E81" t="s">
        <v>45</v>
      </c>
      <c r="F81">
        <v>8.92</v>
      </c>
      <c r="G81" t="s">
        <v>42</v>
      </c>
      <c r="H81">
        <v>85.06</v>
      </c>
      <c r="I81">
        <v>55</v>
      </c>
      <c r="J81">
        <v>92.46</v>
      </c>
      <c r="K81">
        <v>48.81</v>
      </c>
      <c r="L81">
        <v>1.51</v>
      </c>
      <c r="M81" t="s">
        <v>126</v>
      </c>
      <c r="N81" t="s">
        <v>50</v>
      </c>
      <c r="O81" t="s">
        <v>45</v>
      </c>
      <c r="P81">
        <v>46</v>
      </c>
      <c r="Q81">
        <v>58</v>
      </c>
    </row>
    <row r="82" spans="1:17" x14ac:dyDescent="0.25">
      <c r="A82">
        <v>2020</v>
      </c>
      <c r="B82" t="s">
        <v>1</v>
      </c>
      <c r="C82">
        <v>1465</v>
      </c>
      <c r="D82">
        <v>3215.165429688223</v>
      </c>
      <c r="E82" t="s">
        <v>45</v>
      </c>
      <c r="F82">
        <v>7.32</v>
      </c>
      <c r="G82" t="s">
        <v>42</v>
      </c>
      <c r="H82">
        <v>81.239999999999995</v>
      </c>
      <c r="I82">
        <v>22.38</v>
      </c>
      <c r="J82">
        <v>84.51</v>
      </c>
      <c r="K82">
        <v>14.98</v>
      </c>
      <c r="L82">
        <v>2.36</v>
      </c>
      <c r="M82" t="s">
        <v>127</v>
      </c>
      <c r="N82" t="s">
        <v>57</v>
      </c>
      <c r="O82" t="s">
        <v>41</v>
      </c>
      <c r="P82">
        <v>75</v>
      </c>
      <c r="Q82">
        <v>52</v>
      </c>
    </row>
    <row r="83" spans="1:17" x14ac:dyDescent="0.25">
      <c r="A83">
        <v>2021</v>
      </c>
      <c r="B83" t="s">
        <v>10</v>
      </c>
      <c r="C83">
        <v>419</v>
      </c>
      <c r="D83">
        <v>495.99313839889004</v>
      </c>
      <c r="E83" t="s">
        <v>41</v>
      </c>
      <c r="F83">
        <v>9.67</v>
      </c>
      <c r="G83" t="s">
        <v>42</v>
      </c>
      <c r="H83">
        <v>87.42</v>
      </c>
      <c r="I83">
        <v>19.350000000000001</v>
      </c>
      <c r="J83">
        <v>74.55</v>
      </c>
      <c r="K83">
        <v>69.489999999999995</v>
      </c>
      <c r="L83">
        <v>2.04</v>
      </c>
      <c r="M83" t="s">
        <v>128</v>
      </c>
      <c r="N83" t="s">
        <v>53</v>
      </c>
      <c r="O83" t="s">
        <v>45</v>
      </c>
      <c r="P83">
        <v>51</v>
      </c>
      <c r="Q83">
        <v>53</v>
      </c>
    </row>
    <row r="84" spans="1:17" x14ac:dyDescent="0.25">
      <c r="A84">
        <v>2021</v>
      </c>
      <c r="B84" t="s">
        <v>6</v>
      </c>
      <c r="C84">
        <v>736</v>
      </c>
      <c r="D84">
        <v>557.6292827676524</v>
      </c>
      <c r="E84" t="s">
        <v>45</v>
      </c>
      <c r="F84">
        <v>8.1999999999999993</v>
      </c>
      <c r="G84" t="s">
        <v>42</v>
      </c>
      <c r="H84">
        <v>54.08</v>
      </c>
      <c r="I84">
        <v>4.49</v>
      </c>
      <c r="J84">
        <v>39.06</v>
      </c>
      <c r="K84">
        <v>40.17</v>
      </c>
      <c r="L84">
        <v>0.96</v>
      </c>
      <c r="M84" t="s">
        <v>129</v>
      </c>
      <c r="N84" t="s">
        <v>44</v>
      </c>
      <c r="O84" t="s">
        <v>41</v>
      </c>
      <c r="P84">
        <v>80</v>
      </c>
      <c r="Q84">
        <v>41</v>
      </c>
    </row>
    <row r="85" spans="1:17" x14ac:dyDescent="0.25">
      <c r="A85">
        <v>2021</v>
      </c>
      <c r="B85" t="s">
        <v>9</v>
      </c>
      <c r="C85">
        <v>2256</v>
      </c>
      <c r="D85">
        <v>6157.648126173146</v>
      </c>
      <c r="E85" t="s">
        <v>41</v>
      </c>
      <c r="F85">
        <v>4.6100000000000003</v>
      </c>
      <c r="G85" t="s">
        <v>42</v>
      </c>
      <c r="H85">
        <v>47.09</v>
      </c>
      <c r="I85">
        <v>32.369999999999997</v>
      </c>
      <c r="J85">
        <v>42.83</v>
      </c>
      <c r="K85">
        <v>27.97</v>
      </c>
      <c r="L85">
        <v>1.79</v>
      </c>
      <c r="M85" t="s">
        <v>130</v>
      </c>
      <c r="N85" t="s">
        <v>57</v>
      </c>
      <c r="O85" t="s">
        <v>45</v>
      </c>
      <c r="P85">
        <v>53</v>
      </c>
      <c r="Q85">
        <v>58</v>
      </c>
    </row>
    <row r="86" spans="1:17" x14ac:dyDescent="0.25">
      <c r="A86">
        <v>2021</v>
      </c>
      <c r="B86" t="s">
        <v>9</v>
      </c>
      <c r="C86">
        <v>802</v>
      </c>
      <c r="D86">
        <v>2432.1121996606835</v>
      </c>
      <c r="E86" t="s">
        <v>41</v>
      </c>
      <c r="F86">
        <v>3.47</v>
      </c>
      <c r="G86" t="s">
        <v>42</v>
      </c>
      <c r="H86">
        <v>69.66</v>
      </c>
      <c r="I86">
        <v>5.0599999999999996</v>
      </c>
      <c r="J86">
        <v>26.87</v>
      </c>
      <c r="K86">
        <v>41.79</v>
      </c>
      <c r="L86">
        <v>1.85</v>
      </c>
      <c r="M86" t="s">
        <v>131</v>
      </c>
      <c r="N86" t="s">
        <v>59</v>
      </c>
      <c r="O86" t="s">
        <v>45</v>
      </c>
      <c r="P86">
        <v>40</v>
      </c>
      <c r="Q86">
        <v>29</v>
      </c>
    </row>
    <row r="87" spans="1:17" x14ac:dyDescent="0.25">
      <c r="A87">
        <v>2021</v>
      </c>
      <c r="B87" t="s">
        <v>2</v>
      </c>
      <c r="C87">
        <v>2297</v>
      </c>
      <c r="D87">
        <v>5014.7015226394678</v>
      </c>
      <c r="E87" t="s">
        <v>45</v>
      </c>
      <c r="F87">
        <v>9.73</v>
      </c>
      <c r="G87" t="s">
        <v>42</v>
      </c>
      <c r="H87">
        <v>77.05</v>
      </c>
      <c r="I87">
        <v>50.84</v>
      </c>
      <c r="J87">
        <v>73.650000000000006</v>
      </c>
      <c r="K87">
        <v>67.44</v>
      </c>
      <c r="L87">
        <v>1.58</v>
      </c>
      <c r="M87" t="s">
        <v>132</v>
      </c>
      <c r="N87" t="s">
        <v>47</v>
      </c>
      <c r="O87" t="s">
        <v>45</v>
      </c>
      <c r="P87">
        <v>47</v>
      </c>
      <c r="Q87">
        <v>23</v>
      </c>
    </row>
    <row r="88" spans="1:17" x14ac:dyDescent="0.25">
      <c r="A88">
        <v>2021</v>
      </c>
      <c r="B88" t="s">
        <v>5</v>
      </c>
      <c r="C88">
        <v>737</v>
      </c>
      <c r="D88">
        <v>473.85214923708304</v>
      </c>
      <c r="E88" t="s">
        <v>45</v>
      </c>
      <c r="F88">
        <v>2.2799999999999998</v>
      </c>
      <c r="G88" t="s">
        <v>42</v>
      </c>
      <c r="H88">
        <v>35.340000000000003</v>
      </c>
      <c r="I88">
        <v>35.119999999999997</v>
      </c>
      <c r="J88">
        <v>44.79</v>
      </c>
      <c r="K88">
        <v>55.84</v>
      </c>
      <c r="L88">
        <v>2.0499999999999998</v>
      </c>
      <c r="M88" t="s">
        <v>133</v>
      </c>
      <c r="N88" t="s">
        <v>63</v>
      </c>
      <c r="O88" t="s">
        <v>45</v>
      </c>
      <c r="P88">
        <v>78</v>
      </c>
      <c r="Q88">
        <v>47</v>
      </c>
    </row>
    <row r="89" spans="1:17" x14ac:dyDescent="0.25">
      <c r="A89">
        <v>2021</v>
      </c>
      <c r="B89" t="s">
        <v>5</v>
      </c>
      <c r="C89">
        <v>563</v>
      </c>
      <c r="D89">
        <v>747.22648743276011</v>
      </c>
      <c r="E89" t="s">
        <v>41</v>
      </c>
      <c r="F89">
        <v>5.0999999999999996</v>
      </c>
      <c r="G89" t="s">
        <v>42</v>
      </c>
      <c r="H89">
        <v>56.77</v>
      </c>
      <c r="I89">
        <v>2.96</v>
      </c>
      <c r="J89">
        <v>50.42</v>
      </c>
      <c r="K89">
        <v>47.39</v>
      </c>
      <c r="L89">
        <v>2.46</v>
      </c>
      <c r="M89" t="s">
        <v>134</v>
      </c>
      <c r="N89" t="s">
        <v>50</v>
      </c>
      <c r="O89" t="s">
        <v>45</v>
      </c>
      <c r="P89">
        <v>46</v>
      </c>
      <c r="Q89">
        <v>37</v>
      </c>
    </row>
    <row r="90" spans="1:17" x14ac:dyDescent="0.25">
      <c r="A90">
        <v>2021</v>
      </c>
      <c r="B90" t="s">
        <v>5</v>
      </c>
      <c r="C90">
        <v>2063</v>
      </c>
      <c r="D90">
        <v>6161.9821785683698</v>
      </c>
      <c r="E90" t="s">
        <v>45</v>
      </c>
      <c r="F90">
        <v>3.63</v>
      </c>
      <c r="G90" t="s">
        <v>42</v>
      </c>
      <c r="H90">
        <v>39.1</v>
      </c>
      <c r="I90">
        <v>37.4</v>
      </c>
      <c r="J90">
        <v>76.12</v>
      </c>
      <c r="K90">
        <v>21.68</v>
      </c>
      <c r="L90">
        <v>2.2400000000000002</v>
      </c>
      <c r="M90" t="s">
        <v>135</v>
      </c>
      <c r="N90" t="s">
        <v>63</v>
      </c>
      <c r="O90" t="s">
        <v>41</v>
      </c>
      <c r="P90">
        <v>79</v>
      </c>
      <c r="Q90">
        <v>45</v>
      </c>
    </row>
    <row r="91" spans="1:17" x14ac:dyDescent="0.25">
      <c r="A91">
        <v>2021</v>
      </c>
      <c r="B91" t="s">
        <v>8</v>
      </c>
      <c r="C91">
        <v>383</v>
      </c>
      <c r="D91">
        <v>331.79517075765096</v>
      </c>
      <c r="E91" t="s">
        <v>41</v>
      </c>
      <c r="F91">
        <v>9.68</v>
      </c>
      <c r="G91" t="s">
        <v>42</v>
      </c>
      <c r="H91">
        <v>21.31</v>
      </c>
      <c r="I91">
        <v>51.52</v>
      </c>
      <c r="J91">
        <v>83.07</v>
      </c>
      <c r="K91">
        <v>48.81</v>
      </c>
      <c r="L91">
        <v>2.2599999999999998</v>
      </c>
      <c r="M91" t="s">
        <v>136</v>
      </c>
      <c r="N91" t="s">
        <v>63</v>
      </c>
      <c r="O91" t="s">
        <v>41</v>
      </c>
      <c r="P91">
        <v>42</v>
      </c>
      <c r="Q91">
        <v>42</v>
      </c>
    </row>
    <row r="92" spans="1:17" x14ac:dyDescent="0.25">
      <c r="A92">
        <v>2021</v>
      </c>
      <c r="B92" t="s">
        <v>8</v>
      </c>
      <c r="C92">
        <v>1168</v>
      </c>
      <c r="D92">
        <v>3369.9879365464594</v>
      </c>
      <c r="E92" t="s">
        <v>45</v>
      </c>
      <c r="F92">
        <v>9.51</v>
      </c>
      <c r="G92" t="s">
        <v>42</v>
      </c>
      <c r="H92">
        <v>74.91</v>
      </c>
      <c r="I92">
        <v>12.53</v>
      </c>
      <c r="J92">
        <v>77.569999999999993</v>
      </c>
      <c r="K92">
        <v>34.18</v>
      </c>
      <c r="L92">
        <v>1.87</v>
      </c>
      <c r="M92" t="s">
        <v>137</v>
      </c>
      <c r="N92" t="s">
        <v>57</v>
      </c>
      <c r="O92" t="s">
        <v>45</v>
      </c>
      <c r="P92">
        <v>80</v>
      </c>
      <c r="Q92">
        <v>34</v>
      </c>
    </row>
    <row r="93" spans="1:17" x14ac:dyDescent="0.25">
      <c r="A93">
        <v>2021</v>
      </c>
      <c r="B93" t="s">
        <v>8</v>
      </c>
      <c r="C93">
        <v>1898</v>
      </c>
      <c r="D93">
        <v>1675.448690390456</v>
      </c>
      <c r="E93" t="s">
        <v>45</v>
      </c>
      <c r="F93">
        <v>8.69</v>
      </c>
      <c r="G93" t="s">
        <v>42</v>
      </c>
      <c r="H93">
        <v>42.71</v>
      </c>
      <c r="I93">
        <v>69.61</v>
      </c>
      <c r="J93">
        <v>78.42</v>
      </c>
      <c r="K93">
        <v>8.9600000000000009</v>
      </c>
      <c r="L93">
        <v>1.04</v>
      </c>
      <c r="M93" t="s">
        <v>138</v>
      </c>
      <c r="N93" t="s">
        <v>57</v>
      </c>
      <c r="O93" t="s">
        <v>45</v>
      </c>
      <c r="P93">
        <v>48</v>
      </c>
      <c r="Q93">
        <v>46</v>
      </c>
    </row>
    <row r="94" spans="1:17" x14ac:dyDescent="0.25">
      <c r="A94">
        <v>2021</v>
      </c>
      <c r="B94" t="s">
        <v>3</v>
      </c>
      <c r="C94">
        <v>719</v>
      </c>
      <c r="D94">
        <v>1800.0516368243439</v>
      </c>
      <c r="E94" t="s">
        <v>41</v>
      </c>
      <c r="F94">
        <v>7.22</v>
      </c>
      <c r="G94" t="s">
        <v>42</v>
      </c>
      <c r="H94">
        <v>31.15</v>
      </c>
      <c r="I94">
        <v>26.37</v>
      </c>
      <c r="J94">
        <v>82.96</v>
      </c>
      <c r="K94">
        <v>62.62</v>
      </c>
      <c r="L94">
        <v>1.1499999999999999</v>
      </c>
      <c r="M94" t="s">
        <v>139</v>
      </c>
      <c r="N94" t="s">
        <v>50</v>
      </c>
      <c r="O94" t="s">
        <v>41</v>
      </c>
      <c r="P94">
        <v>52</v>
      </c>
      <c r="Q94">
        <v>51</v>
      </c>
    </row>
    <row r="95" spans="1:17" x14ac:dyDescent="0.25">
      <c r="A95">
        <v>2021</v>
      </c>
      <c r="B95" t="s">
        <v>3</v>
      </c>
      <c r="C95">
        <v>972</v>
      </c>
      <c r="D95">
        <v>1063.9888590074909</v>
      </c>
      <c r="E95" t="s">
        <v>41</v>
      </c>
      <c r="F95">
        <v>2.69</v>
      </c>
      <c r="G95" t="s">
        <v>42</v>
      </c>
      <c r="H95">
        <v>53.82</v>
      </c>
      <c r="I95">
        <v>44.51</v>
      </c>
      <c r="J95">
        <v>78.08</v>
      </c>
      <c r="K95">
        <v>8.58</v>
      </c>
      <c r="L95">
        <v>1.9</v>
      </c>
      <c r="M95" t="s">
        <v>140</v>
      </c>
      <c r="N95" t="s">
        <v>47</v>
      </c>
      <c r="O95" t="s">
        <v>41</v>
      </c>
      <c r="P95">
        <v>43</v>
      </c>
      <c r="Q95">
        <v>37</v>
      </c>
    </row>
    <row r="96" spans="1:17" x14ac:dyDescent="0.25">
      <c r="A96">
        <v>2021</v>
      </c>
      <c r="B96" t="s">
        <v>7</v>
      </c>
      <c r="C96">
        <v>2151</v>
      </c>
      <c r="D96">
        <v>5603.1190452345127</v>
      </c>
      <c r="E96" t="s">
        <v>41</v>
      </c>
      <c r="F96">
        <v>6.1</v>
      </c>
      <c r="G96" t="s">
        <v>42</v>
      </c>
      <c r="H96">
        <v>89.83</v>
      </c>
      <c r="I96">
        <v>38.51</v>
      </c>
      <c r="J96">
        <v>90.79</v>
      </c>
      <c r="K96">
        <v>37.340000000000003</v>
      </c>
      <c r="L96">
        <v>2.16</v>
      </c>
      <c r="M96" t="s">
        <v>141</v>
      </c>
      <c r="N96" t="s">
        <v>47</v>
      </c>
      <c r="O96" t="s">
        <v>41</v>
      </c>
      <c r="P96">
        <v>62</v>
      </c>
      <c r="Q96">
        <v>20</v>
      </c>
    </row>
    <row r="97" spans="1:17" x14ac:dyDescent="0.25">
      <c r="A97">
        <v>2021</v>
      </c>
      <c r="B97" t="s">
        <v>7</v>
      </c>
      <c r="C97">
        <v>1049</v>
      </c>
      <c r="D97">
        <v>2161.5874340033251</v>
      </c>
      <c r="E97" t="s">
        <v>41</v>
      </c>
      <c r="F97">
        <v>9.57</v>
      </c>
      <c r="G97" t="s">
        <v>42</v>
      </c>
      <c r="H97">
        <v>40.03</v>
      </c>
      <c r="I97">
        <v>28.61</v>
      </c>
      <c r="J97">
        <v>85.42</v>
      </c>
      <c r="K97">
        <v>55.97</v>
      </c>
      <c r="L97">
        <v>1.1100000000000001</v>
      </c>
      <c r="M97" t="s">
        <v>142</v>
      </c>
      <c r="N97" t="s">
        <v>44</v>
      </c>
      <c r="O97" t="s">
        <v>45</v>
      </c>
      <c r="P97">
        <v>59</v>
      </c>
      <c r="Q97">
        <v>34</v>
      </c>
    </row>
    <row r="98" spans="1:17" x14ac:dyDescent="0.25">
      <c r="A98">
        <v>2021</v>
      </c>
      <c r="B98" t="s">
        <v>7</v>
      </c>
      <c r="C98">
        <v>2379</v>
      </c>
      <c r="D98">
        <v>7653.7375024203538</v>
      </c>
      <c r="E98" t="s">
        <v>45</v>
      </c>
      <c r="F98">
        <v>5.82</v>
      </c>
      <c r="G98" t="s">
        <v>42</v>
      </c>
      <c r="H98">
        <v>82.89</v>
      </c>
      <c r="I98">
        <v>15.9</v>
      </c>
      <c r="J98">
        <v>66</v>
      </c>
      <c r="K98">
        <v>56.94</v>
      </c>
      <c r="L98">
        <v>1.35</v>
      </c>
      <c r="M98" t="s">
        <v>143</v>
      </c>
      <c r="N98" t="s">
        <v>47</v>
      </c>
      <c r="O98" t="s">
        <v>45</v>
      </c>
      <c r="P98">
        <v>58</v>
      </c>
      <c r="Q98">
        <v>52</v>
      </c>
    </row>
    <row r="99" spans="1:17" x14ac:dyDescent="0.25">
      <c r="A99">
        <v>2021</v>
      </c>
      <c r="B99" t="s">
        <v>7</v>
      </c>
      <c r="C99">
        <v>1285</v>
      </c>
      <c r="D99">
        <v>2628.5898290632113</v>
      </c>
      <c r="E99" t="s">
        <v>41</v>
      </c>
      <c r="F99">
        <v>3.16</v>
      </c>
      <c r="G99" t="s">
        <v>42</v>
      </c>
      <c r="H99">
        <v>47.86</v>
      </c>
      <c r="I99">
        <v>44.16</v>
      </c>
      <c r="J99">
        <v>36.020000000000003</v>
      </c>
      <c r="K99">
        <v>52.35</v>
      </c>
      <c r="L99">
        <v>1.54</v>
      </c>
      <c r="M99" t="s">
        <v>144</v>
      </c>
      <c r="N99" t="s">
        <v>63</v>
      </c>
      <c r="O99" t="s">
        <v>41</v>
      </c>
      <c r="P99">
        <v>58</v>
      </c>
      <c r="Q99">
        <v>60</v>
      </c>
    </row>
    <row r="100" spans="1:17" x14ac:dyDescent="0.25">
      <c r="A100">
        <v>2021</v>
      </c>
      <c r="B100" t="s">
        <v>4</v>
      </c>
      <c r="C100">
        <v>646</v>
      </c>
      <c r="D100">
        <v>1154.2651938086442</v>
      </c>
      <c r="E100" t="s">
        <v>45</v>
      </c>
      <c r="F100">
        <v>2.42</v>
      </c>
      <c r="G100" t="s">
        <v>42</v>
      </c>
      <c r="H100">
        <v>81.44</v>
      </c>
      <c r="I100">
        <v>56.5</v>
      </c>
      <c r="J100">
        <v>63.73</v>
      </c>
      <c r="K100">
        <v>37.950000000000003</v>
      </c>
      <c r="L100">
        <v>0.28999999999999998</v>
      </c>
      <c r="M100" t="s">
        <v>145</v>
      </c>
      <c r="N100" t="s">
        <v>57</v>
      </c>
      <c r="O100" t="s">
        <v>45</v>
      </c>
      <c r="P100">
        <v>40</v>
      </c>
      <c r="Q100">
        <v>36</v>
      </c>
    </row>
    <row r="101" spans="1:17" x14ac:dyDescent="0.25">
      <c r="A101">
        <v>2021</v>
      </c>
      <c r="B101" t="s">
        <v>4</v>
      </c>
      <c r="C101">
        <v>88</v>
      </c>
      <c r="D101">
        <v>51.828897213269613</v>
      </c>
      <c r="E101" t="s">
        <v>41</v>
      </c>
      <c r="F101">
        <v>3.24</v>
      </c>
      <c r="G101" t="s">
        <v>42</v>
      </c>
      <c r="H101">
        <v>82.92</v>
      </c>
      <c r="I101">
        <v>33.840000000000003</v>
      </c>
      <c r="J101">
        <v>75.739999999999995</v>
      </c>
      <c r="K101">
        <v>12.47</v>
      </c>
      <c r="L101">
        <v>0.37</v>
      </c>
      <c r="M101" t="s">
        <v>146</v>
      </c>
      <c r="N101" t="s">
        <v>44</v>
      </c>
      <c r="O101" t="s">
        <v>45</v>
      </c>
      <c r="P101">
        <v>61</v>
      </c>
      <c r="Q101">
        <v>54</v>
      </c>
    </row>
    <row r="102" spans="1:17" x14ac:dyDescent="0.25">
      <c r="A102">
        <v>2021</v>
      </c>
      <c r="B102" t="s">
        <v>1</v>
      </c>
      <c r="C102">
        <v>2083</v>
      </c>
      <c r="D102">
        <v>3701.3630822270834</v>
      </c>
      <c r="E102" t="s">
        <v>45</v>
      </c>
      <c r="F102">
        <v>2.52</v>
      </c>
      <c r="G102" t="s">
        <v>42</v>
      </c>
      <c r="H102">
        <v>59.13</v>
      </c>
      <c r="I102">
        <v>43.59</v>
      </c>
      <c r="J102">
        <v>67.58</v>
      </c>
      <c r="K102">
        <v>57.23</v>
      </c>
      <c r="L102">
        <v>0.79</v>
      </c>
      <c r="M102" t="s">
        <v>147</v>
      </c>
      <c r="N102" t="s">
        <v>63</v>
      </c>
      <c r="O102" t="s">
        <v>45</v>
      </c>
      <c r="P102">
        <v>60</v>
      </c>
      <c r="Q102">
        <v>35</v>
      </c>
    </row>
    <row r="103" spans="1:17" x14ac:dyDescent="0.25">
      <c r="A103">
        <v>2022</v>
      </c>
      <c r="B103" t="s">
        <v>10</v>
      </c>
      <c r="C103">
        <v>593</v>
      </c>
      <c r="D103">
        <v>1846.0529201863696</v>
      </c>
      <c r="E103" t="s">
        <v>41</v>
      </c>
      <c r="F103">
        <v>8.5299999999999994</v>
      </c>
      <c r="G103" t="s">
        <v>42</v>
      </c>
      <c r="H103">
        <v>94.83</v>
      </c>
      <c r="I103">
        <v>17.88</v>
      </c>
      <c r="J103">
        <v>83.94</v>
      </c>
      <c r="K103">
        <v>28.97</v>
      </c>
      <c r="L103">
        <v>2.2999999999999998</v>
      </c>
      <c r="M103" t="s">
        <v>148</v>
      </c>
      <c r="N103" t="s">
        <v>50</v>
      </c>
      <c r="O103" t="s">
        <v>45</v>
      </c>
      <c r="P103">
        <v>54</v>
      </c>
      <c r="Q103">
        <v>55</v>
      </c>
    </row>
    <row r="104" spans="1:17" x14ac:dyDescent="0.25">
      <c r="A104">
        <v>2022</v>
      </c>
      <c r="B104" t="s">
        <v>10</v>
      </c>
      <c r="C104">
        <v>2303</v>
      </c>
      <c r="D104">
        <v>4362.6357186006917</v>
      </c>
      <c r="E104" t="s">
        <v>45</v>
      </c>
      <c r="F104">
        <v>7.72</v>
      </c>
      <c r="G104" t="s">
        <v>42</v>
      </c>
      <c r="H104">
        <v>60.4</v>
      </c>
      <c r="I104">
        <v>64.540000000000006</v>
      </c>
      <c r="J104">
        <v>87.22</v>
      </c>
      <c r="K104">
        <v>18.170000000000002</v>
      </c>
      <c r="L104">
        <v>2.15</v>
      </c>
      <c r="M104" t="s">
        <v>149</v>
      </c>
      <c r="N104" t="s">
        <v>57</v>
      </c>
      <c r="O104" t="s">
        <v>45</v>
      </c>
      <c r="P104">
        <v>53</v>
      </c>
      <c r="Q104">
        <v>28</v>
      </c>
    </row>
    <row r="105" spans="1:17" x14ac:dyDescent="0.25">
      <c r="A105">
        <v>2022</v>
      </c>
      <c r="B105" t="s">
        <v>10</v>
      </c>
      <c r="C105">
        <v>2292</v>
      </c>
      <c r="D105">
        <v>7013.4148730618708</v>
      </c>
      <c r="E105" t="s">
        <v>45</v>
      </c>
      <c r="F105">
        <v>7.08</v>
      </c>
      <c r="G105" t="s">
        <v>42</v>
      </c>
      <c r="H105">
        <v>85.49</v>
      </c>
      <c r="I105">
        <v>64.099999999999994</v>
      </c>
      <c r="J105">
        <v>74.180000000000007</v>
      </c>
      <c r="K105">
        <v>23.56</v>
      </c>
      <c r="L105">
        <v>2.2400000000000002</v>
      </c>
      <c r="M105" t="s">
        <v>150</v>
      </c>
      <c r="N105" t="s">
        <v>63</v>
      </c>
      <c r="O105" t="s">
        <v>45</v>
      </c>
      <c r="P105">
        <v>68</v>
      </c>
      <c r="Q105">
        <v>55</v>
      </c>
    </row>
    <row r="106" spans="1:17" x14ac:dyDescent="0.25">
      <c r="A106">
        <v>2022</v>
      </c>
      <c r="B106" t="s">
        <v>6</v>
      </c>
      <c r="C106">
        <v>298</v>
      </c>
      <c r="D106">
        <v>179.0432152757007</v>
      </c>
      <c r="E106" t="s">
        <v>45</v>
      </c>
      <c r="F106">
        <v>3.8</v>
      </c>
      <c r="G106" t="s">
        <v>42</v>
      </c>
      <c r="H106">
        <v>94.46</v>
      </c>
      <c r="I106">
        <v>44.19</v>
      </c>
      <c r="J106">
        <v>41.46</v>
      </c>
      <c r="K106">
        <v>66.37</v>
      </c>
      <c r="L106">
        <v>2.14</v>
      </c>
      <c r="M106" t="s">
        <v>151</v>
      </c>
      <c r="N106" t="s">
        <v>50</v>
      </c>
      <c r="O106" t="s">
        <v>45</v>
      </c>
      <c r="P106">
        <v>80</v>
      </c>
      <c r="Q106">
        <v>56</v>
      </c>
    </row>
    <row r="107" spans="1:17" x14ac:dyDescent="0.25">
      <c r="A107">
        <v>2022</v>
      </c>
      <c r="B107" t="s">
        <v>6</v>
      </c>
      <c r="C107">
        <v>1560</v>
      </c>
      <c r="D107">
        <v>1377.6426656068502</v>
      </c>
      <c r="E107" t="s">
        <v>41</v>
      </c>
      <c r="F107">
        <v>2.66</v>
      </c>
      <c r="G107" t="s">
        <v>42</v>
      </c>
      <c r="H107">
        <v>77.709999999999994</v>
      </c>
      <c r="I107">
        <v>13.69</v>
      </c>
      <c r="J107">
        <v>34.49</v>
      </c>
      <c r="K107">
        <v>6.44</v>
      </c>
      <c r="L107">
        <v>1.94</v>
      </c>
      <c r="M107" t="s">
        <v>92</v>
      </c>
      <c r="N107" t="s">
        <v>50</v>
      </c>
      <c r="O107" t="s">
        <v>45</v>
      </c>
      <c r="P107">
        <v>76</v>
      </c>
      <c r="Q107">
        <v>36</v>
      </c>
    </row>
    <row r="108" spans="1:17" x14ac:dyDescent="0.25">
      <c r="A108">
        <v>2022</v>
      </c>
      <c r="B108" t="s">
        <v>6</v>
      </c>
      <c r="C108">
        <v>1147</v>
      </c>
      <c r="D108">
        <v>2359.9423671328836</v>
      </c>
      <c r="E108" t="s">
        <v>41</v>
      </c>
      <c r="F108">
        <v>7.31</v>
      </c>
      <c r="G108" t="s">
        <v>42</v>
      </c>
      <c r="H108">
        <v>52.65</v>
      </c>
      <c r="I108">
        <v>39.57</v>
      </c>
      <c r="J108">
        <v>34.380000000000003</v>
      </c>
      <c r="K108">
        <v>20.45</v>
      </c>
      <c r="L108">
        <v>0.62</v>
      </c>
      <c r="M108" t="s">
        <v>152</v>
      </c>
      <c r="N108" t="s">
        <v>63</v>
      </c>
      <c r="O108" t="s">
        <v>41</v>
      </c>
      <c r="P108">
        <v>46</v>
      </c>
      <c r="Q108">
        <v>40</v>
      </c>
    </row>
    <row r="109" spans="1:17" x14ac:dyDescent="0.25">
      <c r="A109">
        <v>2022</v>
      </c>
      <c r="B109" t="s">
        <v>9</v>
      </c>
      <c r="C109">
        <v>2081</v>
      </c>
      <c r="D109">
        <v>6930.3209053051778</v>
      </c>
      <c r="E109" t="s">
        <v>41</v>
      </c>
      <c r="F109">
        <v>9.9600000000000009</v>
      </c>
      <c r="G109" t="s">
        <v>42</v>
      </c>
      <c r="H109">
        <v>85.82</v>
      </c>
      <c r="I109">
        <v>22.33</v>
      </c>
      <c r="J109">
        <v>28.2</v>
      </c>
      <c r="K109">
        <v>58.59</v>
      </c>
      <c r="L109">
        <v>1.68</v>
      </c>
      <c r="M109" t="s">
        <v>153</v>
      </c>
      <c r="N109" t="s">
        <v>50</v>
      </c>
      <c r="O109" t="s">
        <v>41</v>
      </c>
      <c r="P109">
        <v>67</v>
      </c>
      <c r="Q109">
        <v>49</v>
      </c>
    </row>
    <row r="110" spans="1:17" x14ac:dyDescent="0.25">
      <c r="A110">
        <v>2022</v>
      </c>
      <c r="B110" t="s">
        <v>9</v>
      </c>
      <c r="C110">
        <v>1663</v>
      </c>
      <c r="D110">
        <v>1096.7043795543348</v>
      </c>
      <c r="E110" t="s">
        <v>45</v>
      </c>
      <c r="F110">
        <v>9.11</v>
      </c>
      <c r="G110" t="s">
        <v>42</v>
      </c>
      <c r="H110">
        <v>20.54</v>
      </c>
      <c r="I110">
        <v>26.94</v>
      </c>
      <c r="J110">
        <v>26.36</v>
      </c>
      <c r="K110">
        <v>33.29</v>
      </c>
      <c r="L110">
        <v>0.69</v>
      </c>
      <c r="M110" t="s">
        <v>154</v>
      </c>
      <c r="N110" t="s">
        <v>44</v>
      </c>
      <c r="O110" t="s">
        <v>45</v>
      </c>
      <c r="P110">
        <v>52</v>
      </c>
      <c r="Q110">
        <v>24</v>
      </c>
    </row>
    <row r="111" spans="1:17" x14ac:dyDescent="0.25">
      <c r="A111">
        <v>2022</v>
      </c>
      <c r="B111" t="s">
        <v>5</v>
      </c>
      <c r="C111">
        <v>772</v>
      </c>
      <c r="D111">
        <v>2010.2989325879648</v>
      </c>
      <c r="E111" t="s">
        <v>41</v>
      </c>
      <c r="F111">
        <v>8.34</v>
      </c>
      <c r="G111" t="s">
        <v>42</v>
      </c>
      <c r="H111">
        <v>35.31</v>
      </c>
      <c r="I111">
        <v>58.71</v>
      </c>
      <c r="J111">
        <v>38.630000000000003</v>
      </c>
      <c r="K111">
        <v>33.520000000000003</v>
      </c>
      <c r="L111">
        <v>0.2</v>
      </c>
      <c r="M111" t="s">
        <v>155</v>
      </c>
      <c r="N111" t="s">
        <v>50</v>
      </c>
      <c r="O111" t="s">
        <v>45</v>
      </c>
      <c r="P111">
        <v>51</v>
      </c>
      <c r="Q111">
        <v>41</v>
      </c>
    </row>
    <row r="112" spans="1:17" x14ac:dyDescent="0.25">
      <c r="A112">
        <v>2022</v>
      </c>
      <c r="B112" t="s">
        <v>5</v>
      </c>
      <c r="C112">
        <v>312</v>
      </c>
      <c r="D112">
        <v>171.04772147020199</v>
      </c>
      <c r="E112" t="s">
        <v>45</v>
      </c>
      <c r="F112">
        <v>5.05</v>
      </c>
      <c r="G112" t="s">
        <v>42</v>
      </c>
      <c r="H112">
        <v>26.72</v>
      </c>
      <c r="I112">
        <v>52.72</v>
      </c>
      <c r="J112">
        <v>83.32</v>
      </c>
      <c r="K112">
        <v>8.19</v>
      </c>
      <c r="L112">
        <v>1.88</v>
      </c>
      <c r="M112" t="s">
        <v>156</v>
      </c>
      <c r="N112" t="s">
        <v>50</v>
      </c>
      <c r="O112" t="s">
        <v>45</v>
      </c>
      <c r="P112">
        <v>60</v>
      </c>
      <c r="Q112">
        <v>38</v>
      </c>
    </row>
    <row r="113" spans="1:17" x14ac:dyDescent="0.25">
      <c r="A113">
        <v>2022</v>
      </c>
      <c r="B113" t="s">
        <v>8</v>
      </c>
      <c r="C113">
        <v>2435</v>
      </c>
      <c r="D113">
        <v>7918.8174802613239</v>
      </c>
      <c r="E113" t="s">
        <v>45</v>
      </c>
      <c r="F113">
        <v>7.75</v>
      </c>
      <c r="G113" t="s">
        <v>42</v>
      </c>
      <c r="H113">
        <v>46.55</v>
      </c>
      <c r="I113">
        <v>51.09</v>
      </c>
      <c r="J113">
        <v>30.12</v>
      </c>
      <c r="K113">
        <v>5.5</v>
      </c>
      <c r="L113">
        <v>1.9</v>
      </c>
      <c r="M113" t="s">
        <v>157</v>
      </c>
      <c r="N113" t="s">
        <v>63</v>
      </c>
      <c r="O113" t="s">
        <v>45</v>
      </c>
      <c r="P113">
        <v>55</v>
      </c>
      <c r="Q113">
        <v>45</v>
      </c>
    </row>
    <row r="114" spans="1:17" x14ac:dyDescent="0.25">
      <c r="A114">
        <v>2022</v>
      </c>
      <c r="B114" t="s">
        <v>8</v>
      </c>
      <c r="C114">
        <v>1931</v>
      </c>
      <c r="D114">
        <v>4365.3331507690364</v>
      </c>
      <c r="E114" t="s">
        <v>45</v>
      </c>
      <c r="F114">
        <v>7.11</v>
      </c>
      <c r="G114" t="s">
        <v>42</v>
      </c>
      <c r="H114">
        <v>67.680000000000007</v>
      </c>
      <c r="I114">
        <v>38.67</v>
      </c>
      <c r="J114">
        <v>77.11</v>
      </c>
      <c r="K114">
        <v>40.68</v>
      </c>
      <c r="L114">
        <v>2.14</v>
      </c>
      <c r="M114" t="s">
        <v>158</v>
      </c>
      <c r="N114" t="s">
        <v>63</v>
      </c>
      <c r="O114" t="s">
        <v>41</v>
      </c>
      <c r="P114">
        <v>76</v>
      </c>
      <c r="Q114">
        <v>29</v>
      </c>
    </row>
    <row r="115" spans="1:17" x14ac:dyDescent="0.25">
      <c r="A115">
        <v>2022</v>
      </c>
      <c r="B115" t="s">
        <v>8</v>
      </c>
      <c r="C115">
        <v>1667</v>
      </c>
      <c r="D115">
        <v>2649.6467513933721</v>
      </c>
      <c r="E115" t="s">
        <v>41</v>
      </c>
      <c r="F115">
        <v>7.74</v>
      </c>
      <c r="G115" t="s">
        <v>42</v>
      </c>
      <c r="H115">
        <v>43.32</v>
      </c>
      <c r="I115">
        <v>14.31</v>
      </c>
      <c r="J115">
        <v>71.72</v>
      </c>
      <c r="K115">
        <v>63.01</v>
      </c>
      <c r="L115">
        <v>0.6</v>
      </c>
      <c r="M115" t="s">
        <v>135</v>
      </c>
      <c r="N115" t="s">
        <v>44</v>
      </c>
      <c r="O115" t="s">
        <v>41</v>
      </c>
      <c r="P115">
        <v>79</v>
      </c>
      <c r="Q115">
        <v>45</v>
      </c>
    </row>
    <row r="116" spans="1:17" x14ac:dyDescent="0.25">
      <c r="A116">
        <v>2022</v>
      </c>
      <c r="B116" t="s">
        <v>3</v>
      </c>
      <c r="C116">
        <v>261</v>
      </c>
      <c r="D116">
        <v>449.89024244400304</v>
      </c>
      <c r="E116" t="s">
        <v>41</v>
      </c>
      <c r="F116">
        <v>7.92</v>
      </c>
      <c r="G116" t="s">
        <v>42</v>
      </c>
      <c r="H116">
        <v>85.24</v>
      </c>
      <c r="I116">
        <v>67.55</v>
      </c>
      <c r="J116">
        <v>50.34</v>
      </c>
      <c r="K116">
        <v>31.47</v>
      </c>
      <c r="L116">
        <v>1.1100000000000001</v>
      </c>
      <c r="M116" t="s">
        <v>159</v>
      </c>
      <c r="N116" t="s">
        <v>47</v>
      </c>
      <c r="O116" t="s">
        <v>41</v>
      </c>
      <c r="P116">
        <v>43</v>
      </c>
      <c r="Q116">
        <v>43</v>
      </c>
    </row>
    <row r="117" spans="1:17" x14ac:dyDescent="0.25">
      <c r="A117">
        <v>2022</v>
      </c>
      <c r="B117" t="s">
        <v>4</v>
      </c>
      <c r="C117">
        <v>2050</v>
      </c>
      <c r="D117">
        <v>2200.5223413468289</v>
      </c>
      <c r="E117" t="s">
        <v>45</v>
      </c>
      <c r="F117">
        <v>5.65</v>
      </c>
      <c r="G117" t="s">
        <v>42</v>
      </c>
      <c r="H117">
        <v>82.14</v>
      </c>
      <c r="I117">
        <v>46.32</v>
      </c>
      <c r="J117">
        <v>95.72</v>
      </c>
      <c r="K117">
        <v>50.33</v>
      </c>
      <c r="L117">
        <v>1.04</v>
      </c>
      <c r="M117" t="s">
        <v>160</v>
      </c>
      <c r="N117" t="s">
        <v>53</v>
      </c>
      <c r="O117" t="s">
        <v>45</v>
      </c>
      <c r="P117">
        <v>57</v>
      </c>
      <c r="Q117">
        <v>51</v>
      </c>
    </row>
    <row r="118" spans="1:17" x14ac:dyDescent="0.25">
      <c r="A118">
        <v>2023</v>
      </c>
      <c r="B118" t="s">
        <v>10</v>
      </c>
      <c r="C118">
        <v>2161</v>
      </c>
      <c r="D118">
        <v>6803.9457291722683</v>
      </c>
      <c r="E118" t="s">
        <v>41</v>
      </c>
      <c r="F118">
        <v>5.5</v>
      </c>
      <c r="G118" t="s">
        <v>42</v>
      </c>
      <c r="H118">
        <v>90.88</v>
      </c>
      <c r="I118">
        <v>47.65</v>
      </c>
      <c r="J118">
        <v>59.7</v>
      </c>
      <c r="K118">
        <v>52.22</v>
      </c>
      <c r="L118">
        <v>1.77</v>
      </c>
      <c r="M118" t="s">
        <v>161</v>
      </c>
      <c r="N118" t="s">
        <v>50</v>
      </c>
      <c r="O118" t="s">
        <v>45</v>
      </c>
      <c r="P118">
        <v>79</v>
      </c>
      <c r="Q118">
        <v>44</v>
      </c>
    </row>
    <row r="119" spans="1:17" x14ac:dyDescent="0.25">
      <c r="A119">
        <v>2023</v>
      </c>
      <c r="B119" t="s">
        <v>6</v>
      </c>
      <c r="C119">
        <v>1331</v>
      </c>
      <c r="D119">
        <v>4299.655440569004</v>
      </c>
      <c r="E119" t="s">
        <v>45</v>
      </c>
      <c r="F119">
        <v>4.04</v>
      </c>
      <c r="G119" t="s">
        <v>42</v>
      </c>
      <c r="H119">
        <v>38.11</v>
      </c>
      <c r="I119">
        <v>50.52</v>
      </c>
      <c r="J119">
        <v>75.89</v>
      </c>
      <c r="K119">
        <v>69.55</v>
      </c>
      <c r="L119">
        <v>1.1100000000000001</v>
      </c>
      <c r="M119" t="s">
        <v>162</v>
      </c>
      <c r="N119" t="s">
        <v>47</v>
      </c>
      <c r="O119" t="s">
        <v>45</v>
      </c>
      <c r="P119">
        <v>74</v>
      </c>
      <c r="Q119">
        <v>36</v>
      </c>
    </row>
    <row r="120" spans="1:17" x14ac:dyDescent="0.25">
      <c r="A120">
        <v>2023</v>
      </c>
      <c r="B120" t="s">
        <v>9</v>
      </c>
      <c r="C120">
        <v>1313</v>
      </c>
      <c r="D120">
        <v>1553.2721859047915</v>
      </c>
      <c r="E120" t="s">
        <v>45</v>
      </c>
      <c r="F120">
        <v>5.98</v>
      </c>
      <c r="G120" t="s">
        <v>42</v>
      </c>
      <c r="H120">
        <v>51.69</v>
      </c>
      <c r="I120">
        <v>16.79</v>
      </c>
      <c r="J120">
        <v>31.7</v>
      </c>
      <c r="K120">
        <v>23.32</v>
      </c>
      <c r="L120">
        <v>1.24</v>
      </c>
      <c r="M120" t="s">
        <v>163</v>
      </c>
      <c r="N120" t="s">
        <v>59</v>
      </c>
      <c r="O120" t="s">
        <v>41</v>
      </c>
      <c r="P120">
        <v>50</v>
      </c>
      <c r="Q120">
        <v>35</v>
      </c>
    </row>
    <row r="121" spans="1:17" x14ac:dyDescent="0.25">
      <c r="A121">
        <v>2023</v>
      </c>
      <c r="B121" t="s">
        <v>5</v>
      </c>
      <c r="C121">
        <v>676</v>
      </c>
      <c r="D121">
        <v>1154.6928227274757</v>
      </c>
      <c r="E121" t="s">
        <v>45</v>
      </c>
      <c r="F121">
        <v>9.1300000000000008</v>
      </c>
      <c r="G121" t="s">
        <v>42</v>
      </c>
      <c r="H121">
        <v>65.23</v>
      </c>
      <c r="I121">
        <v>11.07</v>
      </c>
      <c r="J121">
        <v>53.57</v>
      </c>
      <c r="K121">
        <v>17.47</v>
      </c>
      <c r="L121">
        <v>2.36</v>
      </c>
      <c r="M121" t="s">
        <v>164</v>
      </c>
      <c r="N121" t="s">
        <v>44</v>
      </c>
      <c r="O121" t="s">
        <v>41</v>
      </c>
      <c r="P121">
        <v>60</v>
      </c>
      <c r="Q121">
        <v>28</v>
      </c>
    </row>
    <row r="122" spans="1:17" x14ac:dyDescent="0.25">
      <c r="A122">
        <v>2023</v>
      </c>
      <c r="B122" t="s">
        <v>8</v>
      </c>
      <c r="C122">
        <v>2479</v>
      </c>
      <c r="D122">
        <v>8536.1632594884413</v>
      </c>
      <c r="E122" t="s">
        <v>41</v>
      </c>
      <c r="F122">
        <v>8.09</v>
      </c>
      <c r="G122" t="s">
        <v>42</v>
      </c>
      <c r="H122">
        <v>78.25</v>
      </c>
      <c r="I122">
        <v>21.35</v>
      </c>
      <c r="J122">
        <v>75.08</v>
      </c>
      <c r="K122">
        <v>51.95</v>
      </c>
      <c r="L122">
        <v>1.99</v>
      </c>
      <c r="M122" t="s">
        <v>165</v>
      </c>
      <c r="N122" t="s">
        <v>47</v>
      </c>
      <c r="O122" t="s">
        <v>45</v>
      </c>
      <c r="P122">
        <v>45</v>
      </c>
      <c r="Q122">
        <v>51</v>
      </c>
    </row>
    <row r="123" spans="1:17" x14ac:dyDescent="0.25">
      <c r="A123">
        <v>2023</v>
      </c>
      <c r="B123" t="s">
        <v>3</v>
      </c>
      <c r="C123">
        <v>420</v>
      </c>
      <c r="D123">
        <v>438.16077451345802</v>
      </c>
      <c r="E123" t="s">
        <v>41</v>
      </c>
      <c r="F123">
        <v>9.77</v>
      </c>
      <c r="G123" t="s">
        <v>42</v>
      </c>
      <c r="H123">
        <v>63.16</v>
      </c>
      <c r="I123">
        <v>50.27</v>
      </c>
      <c r="J123">
        <v>55.48</v>
      </c>
      <c r="K123">
        <v>46.35</v>
      </c>
      <c r="L123">
        <v>2.36</v>
      </c>
      <c r="M123" t="s">
        <v>166</v>
      </c>
      <c r="N123" t="s">
        <v>63</v>
      </c>
      <c r="O123" t="s">
        <v>45</v>
      </c>
      <c r="P123">
        <v>49</v>
      </c>
      <c r="Q123">
        <v>30</v>
      </c>
    </row>
    <row r="124" spans="1:17" x14ac:dyDescent="0.25">
      <c r="A124">
        <v>2023</v>
      </c>
      <c r="B124" t="s">
        <v>4</v>
      </c>
      <c r="C124">
        <v>1429</v>
      </c>
      <c r="D124">
        <v>3644.2863982662275</v>
      </c>
      <c r="E124" t="s">
        <v>45</v>
      </c>
      <c r="F124">
        <v>9.4499999999999993</v>
      </c>
      <c r="G124" t="s">
        <v>42</v>
      </c>
      <c r="H124">
        <v>18.649999999999999</v>
      </c>
      <c r="I124">
        <v>66.489999999999995</v>
      </c>
      <c r="J124">
        <v>25.4</v>
      </c>
      <c r="K124">
        <v>45.32</v>
      </c>
      <c r="L124">
        <v>2.44</v>
      </c>
      <c r="M124" t="s">
        <v>167</v>
      </c>
      <c r="N124" t="s">
        <v>47</v>
      </c>
      <c r="O124" t="s">
        <v>41</v>
      </c>
      <c r="P124">
        <v>61</v>
      </c>
      <c r="Q124">
        <v>39</v>
      </c>
    </row>
    <row r="125" spans="1:17" x14ac:dyDescent="0.25">
      <c r="A125">
        <v>2023</v>
      </c>
      <c r="B125" t="s">
        <v>1</v>
      </c>
      <c r="C125">
        <v>669</v>
      </c>
      <c r="D125">
        <v>2031.1342676132563</v>
      </c>
      <c r="E125" t="s">
        <v>45</v>
      </c>
      <c r="F125">
        <v>8.27</v>
      </c>
      <c r="G125" t="s">
        <v>42</v>
      </c>
      <c r="H125">
        <v>36.1</v>
      </c>
      <c r="I125">
        <v>55.16</v>
      </c>
      <c r="J125">
        <v>87.67</v>
      </c>
      <c r="K125">
        <v>67.28</v>
      </c>
      <c r="L125">
        <v>0.66</v>
      </c>
      <c r="M125" t="s">
        <v>168</v>
      </c>
      <c r="N125" t="s">
        <v>50</v>
      </c>
      <c r="O125" t="s">
        <v>41</v>
      </c>
      <c r="P125">
        <v>58</v>
      </c>
      <c r="Q125">
        <v>33</v>
      </c>
    </row>
    <row r="126" spans="1:17" x14ac:dyDescent="0.25">
      <c r="A126">
        <v>2023</v>
      </c>
      <c r="B126" t="s">
        <v>1</v>
      </c>
      <c r="C126">
        <v>1111</v>
      </c>
      <c r="D126">
        <v>555.65921798036857</v>
      </c>
      <c r="E126" t="s">
        <v>41</v>
      </c>
      <c r="F126">
        <v>8.9600000000000009</v>
      </c>
      <c r="G126" t="s">
        <v>42</v>
      </c>
      <c r="H126">
        <v>31.6</v>
      </c>
      <c r="I126">
        <v>69.239999999999995</v>
      </c>
      <c r="J126">
        <v>26.16</v>
      </c>
      <c r="K126">
        <v>47.37</v>
      </c>
      <c r="L126">
        <v>1.96</v>
      </c>
      <c r="M126" t="s">
        <v>169</v>
      </c>
      <c r="N126" t="s">
        <v>53</v>
      </c>
      <c r="O126" t="s">
        <v>41</v>
      </c>
      <c r="P126">
        <v>57</v>
      </c>
      <c r="Q126">
        <v>48</v>
      </c>
    </row>
    <row r="127" spans="1:17" x14ac:dyDescent="0.25">
      <c r="A127">
        <v>2023</v>
      </c>
      <c r="B127" t="s">
        <v>1</v>
      </c>
      <c r="C127">
        <v>1339</v>
      </c>
      <c r="D127">
        <v>2728.6065361629735</v>
      </c>
      <c r="E127" t="s">
        <v>45</v>
      </c>
      <c r="F127">
        <v>2.27</v>
      </c>
      <c r="G127" t="s">
        <v>42</v>
      </c>
      <c r="H127">
        <v>35.1</v>
      </c>
      <c r="I127">
        <v>66.8</v>
      </c>
      <c r="J127">
        <v>88.61</v>
      </c>
      <c r="K127">
        <v>50.64</v>
      </c>
      <c r="L127">
        <v>1.05</v>
      </c>
      <c r="M127" t="s">
        <v>170</v>
      </c>
      <c r="N127" t="s">
        <v>44</v>
      </c>
      <c r="O127" t="s">
        <v>45</v>
      </c>
      <c r="P127">
        <v>64</v>
      </c>
      <c r="Q127">
        <v>50</v>
      </c>
    </row>
    <row r="128" spans="1:17" x14ac:dyDescent="0.25">
      <c r="A128">
        <v>2024</v>
      </c>
      <c r="B128" t="s">
        <v>10</v>
      </c>
      <c r="C128">
        <v>1783</v>
      </c>
      <c r="D128">
        <v>1692.3494443729662</v>
      </c>
      <c r="E128" t="s">
        <v>45</v>
      </c>
      <c r="F128">
        <v>5.52</v>
      </c>
      <c r="G128" t="s">
        <v>42</v>
      </c>
      <c r="H128">
        <v>24.36</v>
      </c>
      <c r="I128">
        <v>44.48</v>
      </c>
      <c r="J128">
        <v>96.88</v>
      </c>
      <c r="K128">
        <v>51.12</v>
      </c>
      <c r="L128">
        <v>2.2799999999999998</v>
      </c>
      <c r="M128" t="s">
        <v>171</v>
      </c>
      <c r="N128" t="s">
        <v>44</v>
      </c>
      <c r="O128" t="s">
        <v>41</v>
      </c>
      <c r="P128">
        <v>48</v>
      </c>
      <c r="Q128">
        <v>30</v>
      </c>
    </row>
    <row r="129" spans="1:17" x14ac:dyDescent="0.25">
      <c r="A129">
        <v>2024</v>
      </c>
      <c r="B129" t="s">
        <v>6</v>
      </c>
      <c r="C129">
        <v>1616</v>
      </c>
      <c r="D129">
        <v>2914.1420059356665</v>
      </c>
      <c r="E129" t="s">
        <v>41</v>
      </c>
      <c r="F129">
        <v>6.29</v>
      </c>
      <c r="G129" t="s">
        <v>42</v>
      </c>
      <c r="H129">
        <v>47.68</v>
      </c>
      <c r="I129">
        <v>39.57</v>
      </c>
      <c r="J129">
        <v>88.92</v>
      </c>
      <c r="K129">
        <v>27.66</v>
      </c>
      <c r="L129">
        <v>1.95</v>
      </c>
      <c r="M129" t="s">
        <v>172</v>
      </c>
      <c r="N129" t="s">
        <v>57</v>
      </c>
      <c r="O129" t="s">
        <v>45</v>
      </c>
      <c r="P129">
        <v>50</v>
      </c>
      <c r="Q129">
        <v>41</v>
      </c>
    </row>
    <row r="130" spans="1:17" x14ac:dyDescent="0.25">
      <c r="A130">
        <v>2024</v>
      </c>
      <c r="B130" t="s">
        <v>6</v>
      </c>
      <c r="C130">
        <v>1823</v>
      </c>
      <c r="D130">
        <v>5918.4528902422553</v>
      </c>
      <c r="E130" t="s">
        <v>45</v>
      </c>
      <c r="F130">
        <v>4.82</v>
      </c>
      <c r="G130" t="s">
        <v>42</v>
      </c>
      <c r="H130">
        <v>46.05</v>
      </c>
      <c r="I130">
        <v>21.69</v>
      </c>
      <c r="J130">
        <v>77.239999999999995</v>
      </c>
      <c r="K130">
        <v>16.82</v>
      </c>
      <c r="L130">
        <v>1.7</v>
      </c>
      <c r="M130" t="s">
        <v>173</v>
      </c>
      <c r="N130" t="s">
        <v>59</v>
      </c>
      <c r="O130" t="s">
        <v>41</v>
      </c>
      <c r="P130">
        <v>70</v>
      </c>
      <c r="Q130">
        <v>59</v>
      </c>
    </row>
    <row r="131" spans="1:17" x14ac:dyDescent="0.25">
      <c r="A131">
        <v>2024</v>
      </c>
      <c r="B131" t="s">
        <v>9</v>
      </c>
      <c r="C131">
        <v>1363</v>
      </c>
      <c r="D131">
        <v>2350.0719498177414</v>
      </c>
      <c r="E131" t="s">
        <v>45</v>
      </c>
      <c r="F131">
        <v>4.24</v>
      </c>
      <c r="G131" t="s">
        <v>42</v>
      </c>
      <c r="H131">
        <v>52.37</v>
      </c>
      <c r="I131">
        <v>33.26</v>
      </c>
      <c r="J131">
        <v>69.319999999999993</v>
      </c>
      <c r="K131">
        <v>47.42</v>
      </c>
      <c r="L131">
        <v>0.84</v>
      </c>
      <c r="M131" t="s">
        <v>174</v>
      </c>
      <c r="N131" t="s">
        <v>47</v>
      </c>
      <c r="O131" t="s">
        <v>45</v>
      </c>
      <c r="P131">
        <v>43</v>
      </c>
      <c r="Q131">
        <v>36</v>
      </c>
    </row>
    <row r="132" spans="1:17" x14ac:dyDescent="0.25">
      <c r="A132">
        <v>2024</v>
      </c>
      <c r="B132" t="s">
        <v>9</v>
      </c>
      <c r="C132">
        <v>1782</v>
      </c>
      <c r="D132">
        <v>4024.7131956519229</v>
      </c>
      <c r="E132" t="s">
        <v>41</v>
      </c>
      <c r="F132">
        <v>5.94</v>
      </c>
      <c r="G132" t="s">
        <v>42</v>
      </c>
      <c r="H132">
        <v>33.81</v>
      </c>
      <c r="I132">
        <v>13.59</v>
      </c>
      <c r="J132">
        <v>49.48</v>
      </c>
      <c r="K132">
        <v>22.23</v>
      </c>
      <c r="L132">
        <v>0.36</v>
      </c>
      <c r="M132" t="s">
        <v>138</v>
      </c>
      <c r="N132" t="s">
        <v>47</v>
      </c>
      <c r="O132" t="s">
        <v>41</v>
      </c>
      <c r="P132">
        <v>48</v>
      </c>
      <c r="Q132">
        <v>46</v>
      </c>
    </row>
    <row r="133" spans="1:17" x14ac:dyDescent="0.25">
      <c r="A133">
        <v>2024</v>
      </c>
      <c r="B133" t="s">
        <v>8</v>
      </c>
      <c r="C133">
        <v>920</v>
      </c>
      <c r="D133">
        <v>1613.9017770431176</v>
      </c>
      <c r="E133" t="s">
        <v>41</v>
      </c>
      <c r="F133">
        <v>7.98</v>
      </c>
      <c r="G133" t="s">
        <v>42</v>
      </c>
      <c r="H133">
        <v>61.31</v>
      </c>
      <c r="I133">
        <v>67.27</v>
      </c>
      <c r="J133">
        <v>82.85</v>
      </c>
      <c r="K133">
        <v>42.12</v>
      </c>
      <c r="L133">
        <v>1.59</v>
      </c>
      <c r="M133" t="s">
        <v>175</v>
      </c>
      <c r="N133" t="s">
        <v>50</v>
      </c>
      <c r="O133" t="s">
        <v>41</v>
      </c>
      <c r="P133">
        <v>55</v>
      </c>
      <c r="Q133">
        <v>29</v>
      </c>
    </row>
    <row r="134" spans="1:17" x14ac:dyDescent="0.25">
      <c r="A134">
        <v>2024</v>
      </c>
      <c r="B134" t="s">
        <v>8</v>
      </c>
      <c r="C134">
        <v>320</v>
      </c>
      <c r="D134">
        <v>946.45007151016034</v>
      </c>
      <c r="E134" t="s">
        <v>41</v>
      </c>
      <c r="F134">
        <v>3.74</v>
      </c>
      <c r="G134" t="s">
        <v>42</v>
      </c>
      <c r="H134">
        <v>31.31</v>
      </c>
      <c r="I134">
        <v>32.74</v>
      </c>
      <c r="J134">
        <v>92.36</v>
      </c>
      <c r="K134">
        <v>27.43</v>
      </c>
      <c r="L134">
        <v>1.01</v>
      </c>
      <c r="M134" t="s">
        <v>176</v>
      </c>
      <c r="N134" t="s">
        <v>57</v>
      </c>
      <c r="O134" t="s">
        <v>45</v>
      </c>
      <c r="P134">
        <v>55</v>
      </c>
      <c r="Q134">
        <v>58</v>
      </c>
    </row>
    <row r="135" spans="1:17" x14ac:dyDescent="0.25">
      <c r="A135">
        <v>2024</v>
      </c>
      <c r="B135" t="s">
        <v>3</v>
      </c>
      <c r="C135">
        <v>2356</v>
      </c>
      <c r="D135">
        <v>7159.4516881922973</v>
      </c>
      <c r="E135" t="s">
        <v>45</v>
      </c>
      <c r="F135">
        <v>5.89</v>
      </c>
      <c r="G135" t="s">
        <v>42</v>
      </c>
      <c r="H135">
        <v>39.799999999999997</v>
      </c>
      <c r="I135">
        <v>54.43</v>
      </c>
      <c r="J135">
        <v>32.549999999999997</v>
      </c>
      <c r="K135">
        <v>47.45</v>
      </c>
      <c r="L135">
        <v>0.76</v>
      </c>
      <c r="M135" t="s">
        <v>177</v>
      </c>
      <c r="N135" t="s">
        <v>47</v>
      </c>
      <c r="O135" t="s">
        <v>45</v>
      </c>
      <c r="P135">
        <v>54</v>
      </c>
      <c r="Q135">
        <v>44</v>
      </c>
    </row>
    <row r="136" spans="1:17" x14ac:dyDescent="0.25">
      <c r="A136">
        <v>2024</v>
      </c>
      <c r="B136" t="s">
        <v>7</v>
      </c>
      <c r="C136">
        <v>1306</v>
      </c>
      <c r="D136">
        <v>3999.2540054902811</v>
      </c>
      <c r="E136" t="s">
        <v>45</v>
      </c>
      <c r="F136">
        <v>7.74</v>
      </c>
      <c r="G136" t="s">
        <v>42</v>
      </c>
      <c r="H136">
        <v>79.94</v>
      </c>
      <c r="I136">
        <v>22.12</v>
      </c>
      <c r="J136">
        <v>63.44</v>
      </c>
      <c r="K136">
        <v>65.48</v>
      </c>
      <c r="L136">
        <v>1.33</v>
      </c>
      <c r="M136" t="s">
        <v>178</v>
      </c>
      <c r="N136" t="s">
        <v>63</v>
      </c>
      <c r="O136" t="s">
        <v>41</v>
      </c>
      <c r="P136">
        <v>54</v>
      </c>
      <c r="Q136">
        <v>52</v>
      </c>
    </row>
    <row r="137" spans="1:17" x14ac:dyDescent="0.25">
      <c r="A137">
        <v>2024</v>
      </c>
      <c r="B137" t="s">
        <v>4</v>
      </c>
      <c r="C137">
        <v>195</v>
      </c>
      <c r="D137">
        <v>361.49708436910396</v>
      </c>
      <c r="E137" t="s">
        <v>45</v>
      </c>
      <c r="F137">
        <v>5.44</v>
      </c>
      <c r="G137" t="s">
        <v>42</v>
      </c>
      <c r="H137">
        <v>68.37</v>
      </c>
      <c r="I137">
        <v>2.5499999999999998</v>
      </c>
      <c r="J137">
        <v>27.05</v>
      </c>
      <c r="K137">
        <v>49.37</v>
      </c>
      <c r="L137">
        <v>2.11</v>
      </c>
      <c r="M137" t="s">
        <v>179</v>
      </c>
      <c r="N137" t="s">
        <v>53</v>
      </c>
      <c r="O137" t="s">
        <v>41</v>
      </c>
      <c r="P137">
        <v>58</v>
      </c>
      <c r="Q137">
        <v>41</v>
      </c>
    </row>
    <row r="138" spans="1:17" x14ac:dyDescent="0.25">
      <c r="A138">
        <v>2024</v>
      </c>
      <c r="B138" t="s">
        <v>4</v>
      </c>
      <c r="C138">
        <v>2186</v>
      </c>
      <c r="D138">
        <v>6132.0999598091366</v>
      </c>
      <c r="E138" t="s">
        <v>45</v>
      </c>
      <c r="F138">
        <v>7.99</v>
      </c>
      <c r="G138" t="s">
        <v>42</v>
      </c>
      <c r="H138">
        <v>80.66</v>
      </c>
      <c r="I138">
        <v>32.53</v>
      </c>
      <c r="J138">
        <v>98.05</v>
      </c>
      <c r="K138">
        <v>51.48</v>
      </c>
      <c r="L138">
        <v>2.15</v>
      </c>
      <c r="M138" t="s">
        <v>180</v>
      </c>
      <c r="N138" t="s">
        <v>47</v>
      </c>
      <c r="O138" t="s">
        <v>41</v>
      </c>
      <c r="P138">
        <v>44</v>
      </c>
      <c r="Q138">
        <v>40</v>
      </c>
    </row>
    <row r="139" spans="1:17" x14ac:dyDescent="0.25">
      <c r="A139">
        <v>2024</v>
      </c>
      <c r="B139" t="s">
        <v>1</v>
      </c>
      <c r="C139">
        <v>740</v>
      </c>
      <c r="D139">
        <v>2308.1841115895822</v>
      </c>
      <c r="E139" t="s">
        <v>45</v>
      </c>
      <c r="F139">
        <v>2.38</v>
      </c>
      <c r="G139" t="s">
        <v>42</v>
      </c>
      <c r="H139">
        <v>42.2</v>
      </c>
      <c r="I139">
        <v>10.38</v>
      </c>
      <c r="J139">
        <v>33.07</v>
      </c>
      <c r="K139">
        <v>66.11</v>
      </c>
      <c r="L139">
        <v>0.91</v>
      </c>
      <c r="M139" t="s">
        <v>96</v>
      </c>
      <c r="N139" t="s">
        <v>44</v>
      </c>
      <c r="O139" t="s">
        <v>41</v>
      </c>
      <c r="P139">
        <v>44</v>
      </c>
      <c r="Q139">
        <v>27</v>
      </c>
    </row>
    <row r="140" spans="1:17" x14ac:dyDescent="0.25">
      <c r="A140">
        <v>2025</v>
      </c>
      <c r="B140" t="s">
        <v>10</v>
      </c>
      <c r="C140">
        <v>405</v>
      </c>
      <c r="D140">
        <v>1286.6197672992184</v>
      </c>
      <c r="E140" t="s">
        <v>45</v>
      </c>
      <c r="F140">
        <v>9.68</v>
      </c>
      <c r="G140" t="s">
        <v>42</v>
      </c>
      <c r="H140">
        <v>74.66</v>
      </c>
      <c r="I140">
        <v>16.45</v>
      </c>
      <c r="J140">
        <v>42.96</v>
      </c>
      <c r="K140">
        <v>6.19</v>
      </c>
      <c r="L140">
        <v>1.6</v>
      </c>
      <c r="M140" t="s">
        <v>181</v>
      </c>
      <c r="N140" t="s">
        <v>59</v>
      </c>
      <c r="O140" t="s">
        <v>45</v>
      </c>
      <c r="P140">
        <v>56</v>
      </c>
      <c r="Q140">
        <v>50</v>
      </c>
    </row>
    <row r="141" spans="1:17" x14ac:dyDescent="0.25">
      <c r="A141">
        <v>2025</v>
      </c>
      <c r="B141" t="s">
        <v>6</v>
      </c>
      <c r="C141">
        <v>942</v>
      </c>
      <c r="D141">
        <v>1186.1084810723605</v>
      </c>
      <c r="E141" t="s">
        <v>41</v>
      </c>
      <c r="F141">
        <v>7.61</v>
      </c>
      <c r="G141" t="s">
        <v>42</v>
      </c>
      <c r="H141">
        <v>47.07</v>
      </c>
      <c r="I141">
        <v>55.58</v>
      </c>
      <c r="J141">
        <v>71.2</v>
      </c>
      <c r="K141">
        <v>60.59</v>
      </c>
      <c r="L141">
        <v>1.47</v>
      </c>
      <c r="M141" t="s">
        <v>182</v>
      </c>
      <c r="N141" t="s">
        <v>44</v>
      </c>
      <c r="O141" t="s">
        <v>45</v>
      </c>
      <c r="P141">
        <v>67</v>
      </c>
      <c r="Q141">
        <v>51</v>
      </c>
    </row>
    <row r="142" spans="1:17" x14ac:dyDescent="0.25">
      <c r="A142">
        <v>2025</v>
      </c>
      <c r="B142" t="s">
        <v>6</v>
      </c>
      <c r="C142">
        <v>544</v>
      </c>
      <c r="D142">
        <v>1032.8545623159223</v>
      </c>
      <c r="E142" t="s">
        <v>45</v>
      </c>
      <c r="F142">
        <v>2.5499999999999998</v>
      </c>
      <c r="G142" t="s">
        <v>42</v>
      </c>
      <c r="H142">
        <v>49.34</v>
      </c>
      <c r="I142">
        <v>3.46</v>
      </c>
      <c r="J142">
        <v>37.92</v>
      </c>
      <c r="K142">
        <v>17.54</v>
      </c>
      <c r="L142">
        <v>1.18</v>
      </c>
      <c r="M142" t="s">
        <v>183</v>
      </c>
      <c r="N142" t="s">
        <v>53</v>
      </c>
      <c r="O142" t="s">
        <v>45</v>
      </c>
      <c r="P142">
        <v>50</v>
      </c>
      <c r="Q142">
        <v>25</v>
      </c>
    </row>
    <row r="143" spans="1:17" x14ac:dyDescent="0.25">
      <c r="A143">
        <v>2025</v>
      </c>
      <c r="B143" t="s">
        <v>9</v>
      </c>
      <c r="C143">
        <v>51</v>
      </c>
      <c r="D143">
        <v>98.280837784789355</v>
      </c>
      <c r="E143" t="s">
        <v>45</v>
      </c>
      <c r="F143">
        <v>7.51</v>
      </c>
      <c r="G143" t="s">
        <v>42</v>
      </c>
      <c r="H143">
        <v>70.34</v>
      </c>
      <c r="I143">
        <v>9.81</v>
      </c>
      <c r="J143">
        <v>44.56</v>
      </c>
      <c r="K143">
        <v>7.95</v>
      </c>
      <c r="L143">
        <v>0.28999999999999998</v>
      </c>
      <c r="M143" t="s">
        <v>184</v>
      </c>
      <c r="N143" t="s">
        <v>63</v>
      </c>
      <c r="O143" t="s">
        <v>41</v>
      </c>
      <c r="P143">
        <v>48</v>
      </c>
      <c r="Q143">
        <v>20</v>
      </c>
    </row>
    <row r="144" spans="1:17" x14ac:dyDescent="0.25">
      <c r="A144">
        <v>2025</v>
      </c>
      <c r="B144" t="s">
        <v>2</v>
      </c>
      <c r="C144">
        <v>2489</v>
      </c>
      <c r="D144">
        <v>4838.0436585356438</v>
      </c>
      <c r="E144" t="s">
        <v>41</v>
      </c>
      <c r="F144">
        <v>5.92</v>
      </c>
      <c r="G144" t="s">
        <v>42</v>
      </c>
      <c r="H144">
        <v>89.97</v>
      </c>
      <c r="I144">
        <v>58.88</v>
      </c>
      <c r="J144">
        <v>54.04</v>
      </c>
      <c r="K144">
        <v>51.87</v>
      </c>
      <c r="L144">
        <v>0.56999999999999995</v>
      </c>
      <c r="M144" t="s">
        <v>185</v>
      </c>
      <c r="N144" t="s">
        <v>53</v>
      </c>
      <c r="O144" t="s">
        <v>45</v>
      </c>
      <c r="P144">
        <v>49</v>
      </c>
      <c r="Q144">
        <v>22</v>
      </c>
    </row>
    <row r="145" spans="1:17" x14ac:dyDescent="0.25">
      <c r="A145">
        <v>2025</v>
      </c>
      <c r="B145" t="s">
        <v>2</v>
      </c>
      <c r="C145">
        <v>979</v>
      </c>
      <c r="D145">
        <v>1861.3738852141378</v>
      </c>
      <c r="E145" t="s">
        <v>41</v>
      </c>
      <c r="F145">
        <v>5.81</v>
      </c>
      <c r="G145" t="s">
        <v>42</v>
      </c>
      <c r="H145">
        <v>54.46</v>
      </c>
      <c r="I145">
        <v>47.31</v>
      </c>
      <c r="J145">
        <v>76.19</v>
      </c>
      <c r="K145">
        <v>37.42</v>
      </c>
      <c r="L145">
        <v>1.8</v>
      </c>
      <c r="M145" t="s">
        <v>186</v>
      </c>
      <c r="N145" t="s">
        <v>47</v>
      </c>
      <c r="O145" t="s">
        <v>41</v>
      </c>
      <c r="P145">
        <v>79</v>
      </c>
      <c r="Q145">
        <v>31</v>
      </c>
    </row>
    <row r="146" spans="1:17" x14ac:dyDescent="0.25">
      <c r="A146">
        <v>2025</v>
      </c>
      <c r="B146" t="s">
        <v>5</v>
      </c>
      <c r="C146">
        <v>1960</v>
      </c>
      <c r="D146">
        <v>1071.1560782793138</v>
      </c>
      <c r="E146" t="s">
        <v>41</v>
      </c>
      <c r="F146">
        <v>2.98</v>
      </c>
      <c r="G146" t="s">
        <v>42</v>
      </c>
      <c r="H146">
        <v>31.33</v>
      </c>
      <c r="I146">
        <v>46.29</v>
      </c>
      <c r="J146">
        <v>26.84</v>
      </c>
      <c r="K146">
        <v>37.479999999999997</v>
      </c>
      <c r="L146">
        <v>0.8</v>
      </c>
      <c r="M146" t="s">
        <v>187</v>
      </c>
      <c r="N146" t="s">
        <v>50</v>
      </c>
      <c r="O146" t="s">
        <v>45</v>
      </c>
      <c r="P146">
        <v>46</v>
      </c>
      <c r="Q146">
        <v>41</v>
      </c>
    </row>
    <row r="147" spans="1:17" x14ac:dyDescent="0.25">
      <c r="A147">
        <v>2025</v>
      </c>
      <c r="B147" t="s">
        <v>5</v>
      </c>
      <c r="C147">
        <v>1763</v>
      </c>
      <c r="D147">
        <v>2814.7177014652852</v>
      </c>
      <c r="E147" t="s">
        <v>41</v>
      </c>
      <c r="F147">
        <v>9.42</v>
      </c>
      <c r="G147" t="s">
        <v>42</v>
      </c>
      <c r="H147">
        <v>65.989999999999995</v>
      </c>
      <c r="I147">
        <v>30.01</v>
      </c>
      <c r="J147">
        <v>50.51</v>
      </c>
      <c r="K147">
        <v>31.38</v>
      </c>
      <c r="L147">
        <v>1.24</v>
      </c>
      <c r="M147" t="s">
        <v>188</v>
      </c>
      <c r="N147" t="s">
        <v>47</v>
      </c>
      <c r="O147" t="s">
        <v>41</v>
      </c>
      <c r="P147">
        <v>40</v>
      </c>
      <c r="Q147">
        <v>60</v>
      </c>
    </row>
    <row r="148" spans="1:17" x14ac:dyDescent="0.25">
      <c r="A148">
        <v>2025</v>
      </c>
      <c r="B148" t="s">
        <v>5</v>
      </c>
      <c r="C148">
        <v>1031</v>
      </c>
      <c r="D148">
        <v>2782.1799803631452</v>
      </c>
      <c r="E148" t="s">
        <v>45</v>
      </c>
      <c r="F148">
        <v>8.25</v>
      </c>
      <c r="G148" t="s">
        <v>42</v>
      </c>
      <c r="H148">
        <v>42.88</v>
      </c>
      <c r="I148">
        <v>67.19</v>
      </c>
      <c r="J148">
        <v>74.39</v>
      </c>
      <c r="K148">
        <v>33.92</v>
      </c>
      <c r="L148">
        <v>1.19</v>
      </c>
      <c r="M148" t="s">
        <v>189</v>
      </c>
      <c r="N148" t="s">
        <v>47</v>
      </c>
      <c r="O148" t="s">
        <v>45</v>
      </c>
      <c r="P148">
        <v>49</v>
      </c>
      <c r="Q148">
        <v>32</v>
      </c>
    </row>
    <row r="149" spans="1:17" x14ac:dyDescent="0.25">
      <c r="A149">
        <v>2025</v>
      </c>
      <c r="B149" t="s">
        <v>8</v>
      </c>
      <c r="C149">
        <v>177</v>
      </c>
      <c r="D149">
        <v>372.4090734621318</v>
      </c>
      <c r="E149" t="s">
        <v>45</v>
      </c>
      <c r="F149">
        <v>3.02</v>
      </c>
      <c r="G149" t="s">
        <v>42</v>
      </c>
      <c r="H149">
        <v>39.229999999999997</v>
      </c>
      <c r="I149">
        <v>41.84</v>
      </c>
      <c r="J149">
        <v>30.91</v>
      </c>
      <c r="K149">
        <v>50.21</v>
      </c>
      <c r="L149">
        <v>1.61</v>
      </c>
      <c r="M149" t="s">
        <v>190</v>
      </c>
      <c r="N149" t="s">
        <v>53</v>
      </c>
      <c r="O149" t="s">
        <v>41</v>
      </c>
      <c r="P149">
        <v>73</v>
      </c>
      <c r="Q149">
        <v>51</v>
      </c>
    </row>
    <row r="150" spans="1:17" x14ac:dyDescent="0.25">
      <c r="A150">
        <v>2025</v>
      </c>
      <c r="B150" t="s">
        <v>8</v>
      </c>
      <c r="C150">
        <v>1093</v>
      </c>
      <c r="D150">
        <v>1347.3518606008042</v>
      </c>
      <c r="E150" t="s">
        <v>45</v>
      </c>
      <c r="F150">
        <v>7.71</v>
      </c>
      <c r="G150" t="s">
        <v>42</v>
      </c>
      <c r="H150">
        <v>86.5</v>
      </c>
      <c r="I150">
        <v>3.83</v>
      </c>
      <c r="J150">
        <v>39.520000000000003</v>
      </c>
      <c r="K150">
        <v>56.84</v>
      </c>
      <c r="L150">
        <v>1.81</v>
      </c>
      <c r="M150" t="s">
        <v>191</v>
      </c>
      <c r="N150" t="s">
        <v>57</v>
      </c>
      <c r="O150" t="s">
        <v>45</v>
      </c>
      <c r="P150">
        <v>41</v>
      </c>
      <c r="Q150">
        <v>46</v>
      </c>
    </row>
    <row r="151" spans="1:17" x14ac:dyDescent="0.25">
      <c r="A151">
        <v>2025</v>
      </c>
      <c r="B151" t="s">
        <v>3</v>
      </c>
      <c r="C151">
        <v>1097</v>
      </c>
      <c r="D151">
        <v>2879.944406834898</v>
      </c>
      <c r="E151" t="s">
        <v>45</v>
      </c>
      <c r="F151">
        <v>6.16</v>
      </c>
      <c r="G151" t="s">
        <v>42</v>
      </c>
      <c r="H151">
        <v>83.98</v>
      </c>
      <c r="I151">
        <v>5.01</v>
      </c>
      <c r="J151">
        <v>54.71</v>
      </c>
      <c r="K151">
        <v>19.64</v>
      </c>
      <c r="L151">
        <v>1.65</v>
      </c>
      <c r="M151" t="s">
        <v>192</v>
      </c>
      <c r="N151" t="s">
        <v>57</v>
      </c>
      <c r="O151" t="s">
        <v>45</v>
      </c>
      <c r="P151">
        <v>64</v>
      </c>
      <c r="Q151">
        <v>55</v>
      </c>
    </row>
    <row r="152" spans="1:17" x14ac:dyDescent="0.25">
      <c r="A152">
        <v>2025</v>
      </c>
      <c r="B152" t="s">
        <v>3</v>
      </c>
      <c r="C152">
        <v>1867</v>
      </c>
      <c r="D152">
        <v>3878.8059395200398</v>
      </c>
      <c r="E152" t="s">
        <v>45</v>
      </c>
      <c r="F152">
        <v>3.84</v>
      </c>
      <c r="G152" t="s">
        <v>42</v>
      </c>
      <c r="H152">
        <v>53.13</v>
      </c>
      <c r="I152">
        <v>15.92</v>
      </c>
      <c r="J152">
        <v>39.01</v>
      </c>
      <c r="K152">
        <v>67.569999999999993</v>
      </c>
      <c r="L152">
        <v>2.02</v>
      </c>
      <c r="M152" t="s">
        <v>193</v>
      </c>
      <c r="N152" t="s">
        <v>47</v>
      </c>
      <c r="O152" t="s">
        <v>41</v>
      </c>
      <c r="P152">
        <v>68</v>
      </c>
      <c r="Q152">
        <v>45</v>
      </c>
    </row>
    <row r="153" spans="1:17" x14ac:dyDescent="0.25">
      <c r="A153">
        <v>2025</v>
      </c>
      <c r="B153" t="s">
        <v>7</v>
      </c>
      <c r="C153">
        <v>1479</v>
      </c>
      <c r="D153">
        <v>1372.7719078240409</v>
      </c>
      <c r="E153" t="s">
        <v>41</v>
      </c>
      <c r="F153">
        <v>8.1300000000000008</v>
      </c>
      <c r="G153" t="s">
        <v>42</v>
      </c>
      <c r="H153">
        <v>18.36</v>
      </c>
      <c r="I153">
        <v>54.09</v>
      </c>
      <c r="J153">
        <v>28.55</v>
      </c>
      <c r="K153">
        <v>67.19</v>
      </c>
      <c r="L153">
        <v>1.7</v>
      </c>
      <c r="M153" t="s">
        <v>194</v>
      </c>
      <c r="N153" t="s">
        <v>47</v>
      </c>
      <c r="O153" t="s">
        <v>45</v>
      </c>
      <c r="P153">
        <v>44</v>
      </c>
      <c r="Q153">
        <v>24</v>
      </c>
    </row>
    <row r="154" spans="1:17" x14ac:dyDescent="0.25">
      <c r="A154">
        <v>2025</v>
      </c>
      <c r="B154" t="s">
        <v>7</v>
      </c>
      <c r="C154">
        <v>90</v>
      </c>
      <c r="D154">
        <v>78.282179799049644</v>
      </c>
      <c r="E154" t="s">
        <v>45</v>
      </c>
      <c r="F154">
        <v>9.0399999999999991</v>
      </c>
      <c r="G154" t="s">
        <v>42</v>
      </c>
      <c r="H154">
        <v>85.33</v>
      </c>
      <c r="I154">
        <v>9.1</v>
      </c>
      <c r="J154">
        <v>59.83</v>
      </c>
      <c r="K154">
        <v>21.93</v>
      </c>
      <c r="L154">
        <v>1.3</v>
      </c>
      <c r="M154" t="s">
        <v>195</v>
      </c>
      <c r="N154" t="s">
        <v>59</v>
      </c>
      <c r="O154" t="s">
        <v>45</v>
      </c>
      <c r="P154">
        <v>60</v>
      </c>
      <c r="Q154">
        <v>36</v>
      </c>
    </row>
    <row r="155" spans="1:17" x14ac:dyDescent="0.25">
      <c r="A155">
        <v>2025</v>
      </c>
      <c r="B155" t="s">
        <v>4</v>
      </c>
      <c r="C155">
        <v>1673</v>
      </c>
      <c r="D155">
        <v>4296.8739158573399</v>
      </c>
      <c r="E155" t="s">
        <v>45</v>
      </c>
      <c r="F155">
        <v>6.55</v>
      </c>
      <c r="G155" t="s">
        <v>42</v>
      </c>
      <c r="H155">
        <v>94.85</v>
      </c>
      <c r="I155">
        <v>13.22</v>
      </c>
      <c r="J155">
        <v>28.89</v>
      </c>
      <c r="K155">
        <v>39.909999999999997</v>
      </c>
      <c r="L155">
        <v>1.45</v>
      </c>
      <c r="M155" t="s">
        <v>196</v>
      </c>
      <c r="N155" t="s">
        <v>53</v>
      </c>
      <c r="O155" t="s">
        <v>45</v>
      </c>
      <c r="P155">
        <v>71</v>
      </c>
      <c r="Q155">
        <v>20</v>
      </c>
    </row>
    <row r="156" spans="1:17" x14ac:dyDescent="0.25">
      <c r="A156">
        <v>2025</v>
      </c>
      <c r="B156" t="s">
        <v>1</v>
      </c>
      <c r="C156">
        <v>585</v>
      </c>
      <c r="D156">
        <v>876.69584503992667</v>
      </c>
      <c r="E156" t="s">
        <v>41</v>
      </c>
      <c r="F156">
        <v>5.53</v>
      </c>
      <c r="G156" t="s">
        <v>42</v>
      </c>
      <c r="H156">
        <v>77.790000000000006</v>
      </c>
      <c r="I156">
        <v>52.35</v>
      </c>
      <c r="J156">
        <v>89.26</v>
      </c>
      <c r="K156">
        <v>20.34</v>
      </c>
      <c r="L156">
        <v>0.48</v>
      </c>
      <c r="M156" t="s">
        <v>197</v>
      </c>
      <c r="N156" t="s">
        <v>44</v>
      </c>
      <c r="O156" t="s">
        <v>45</v>
      </c>
      <c r="P156">
        <v>52</v>
      </c>
      <c r="Q156">
        <v>60</v>
      </c>
    </row>
    <row r="157" spans="1:17" x14ac:dyDescent="0.25">
      <c r="A157">
        <v>2025</v>
      </c>
      <c r="B157" t="s">
        <v>1</v>
      </c>
      <c r="C157">
        <v>273</v>
      </c>
      <c r="D157">
        <v>311.96596604807257</v>
      </c>
      <c r="E157" t="s">
        <v>45</v>
      </c>
      <c r="F157">
        <v>3.43</v>
      </c>
      <c r="G157" t="s">
        <v>42</v>
      </c>
      <c r="H157">
        <v>48.71</v>
      </c>
      <c r="I157">
        <v>32.15</v>
      </c>
      <c r="J157">
        <v>85.71</v>
      </c>
      <c r="K157">
        <v>15.77</v>
      </c>
      <c r="L157">
        <v>1.96</v>
      </c>
      <c r="M157" t="s">
        <v>198</v>
      </c>
      <c r="N157" t="s">
        <v>44</v>
      </c>
      <c r="O157" t="s">
        <v>41</v>
      </c>
      <c r="P157">
        <v>62</v>
      </c>
      <c r="Q157">
        <v>41</v>
      </c>
    </row>
    <row r="158" spans="1:17" x14ac:dyDescent="0.25">
      <c r="A158">
        <v>2025</v>
      </c>
      <c r="B158" t="s">
        <v>1</v>
      </c>
      <c r="C158">
        <v>994</v>
      </c>
      <c r="D158">
        <v>2787.7624234296886</v>
      </c>
      <c r="E158" t="s">
        <v>45</v>
      </c>
      <c r="F158">
        <v>5.52</v>
      </c>
      <c r="G158" t="s">
        <v>42</v>
      </c>
      <c r="H158">
        <v>57.73</v>
      </c>
      <c r="I158">
        <v>63.18</v>
      </c>
      <c r="J158">
        <v>33.340000000000003</v>
      </c>
      <c r="K158">
        <v>18.98</v>
      </c>
      <c r="L158">
        <v>1.1000000000000001</v>
      </c>
      <c r="M158" t="s">
        <v>199</v>
      </c>
      <c r="N158" t="s">
        <v>47</v>
      </c>
      <c r="O158" t="s">
        <v>45</v>
      </c>
      <c r="P158">
        <v>45</v>
      </c>
      <c r="Q158">
        <v>59</v>
      </c>
    </row>
    <row r="159" spans="1:17" x14ac:dyDescent="0.25">
      <c r="A159">
        <v>2025</v>
      </c>
      <c r="B159" t="s">
        <v>1</v>
      </c>
      <c r="C159">
        <v>1456</v>
      </c>
      <c r="D159">
        <v>2914.9584503441633</v>
      </c>
      <c r="E159" t="s">
        <v>45</v>
      </c>
      <c r="F159">
        <v>4.03</v>
      </c>
      <c r="G159" t="s">
        <v>42</v>
      </c>
      <c r="H159">
        <v>47.37</v>
      </c>
      <c r="I159">
        <v>5.0599999999999996</v>
      </c>
      <c r="J159">
        <v>70.48</v>
      </c>
      <c r="K159">
        <v>55.14</v>
      </c>
      <c r="L159">
        <v>0.5</v>
      </c>
      <c r="M159" t="s">
        <v>200</v>
      </c>
      <c r="N159" t="s">
        <v>50</v>
      </c>
      <c r="O159" t="s">
        <v>41</v>
      </c>
      <c r="P159">
        <v>40</v>
      </c>
      <c r="Q159">
        <v>47</v>
      </c>
    </row>
    <row r="160" spans="1:17" x14ac:dyDescent="0.25">
      <c r="A160">
        <v>2015</v>
      </c>
      <c r="B160" t="s">
        <v>10</v>
      </c>
      <c r="C160">
        <v>1875</v>
      </c>
      <c r="D160">
        <v>3002.3798457292478</v>
      </c>
      <c r="E160" t="s">
        <v>41</v>
      </c>
      <c r="F160">
        <v>9.2799999999999994</v>
      </c>
      <c r="G160" t="s">
        <v>201</v>
      </c>
      <c r="H160">
        <v>63.97</v>
      </c>
      <c r="I160">
        <v>50.63</v>
      </c>
      <c r="J160">
        <v>69.25</v>
      </c>
      <c r="K160">
        <v>57.1</v>
      </c>
      <c r="L160">
        <v>2.4300000000000002</v>
      </c>
      <c r="M160" t="s">
        <v>202</v>
      </c>
      <c r="N160" t="s">
        <v>63</v>
      </c>
      <c r="O160" t="s">
        <v>41</v>
      </c>
      <c r="P160">
        <v>50</v>
      </c>
      <c r="Q160">
        <v>33</v>
      </c>
    </row>
    <row r="161" spans="1:17" x14ac:dyDescent="0.25">
      <c r="A161">
        <v>2015</v>
      </c>
      <c r="B161" t="s">
        <v>6</v>
      </c>
      <c r="C161">
        <v>1580</v>
      </c>
      <c r="D161">
        <v>4856.1659061986102</v>
      </c>
      <c r="E161" t="s">
        <v>41</v>
      </c>
      <c r="F161">
        <v>9.31</v>
      </c>
      <c r="G161" t="s">
        <v>201</v>
      </c>
      <c r="H161">
        <v>40.950000000000003</v>
      </c>
      <c r="I161">
        <v>34.119999999999997</v>
      </c>
      <c r="J161">
        <v>90.31</v>
      </c>
      <c r="K161">
        <v>23.89</v>
      </c>
      <c r="L161">
        <v>2.31</v>
      </c>
      <c r="M161" t="s">
        <v>116</v>
      </c>
      <c r="N161" t="s">
        <v>63</v>
      </c>
      <c r="O161" t="s">
        <v>45</v>
      </c>
      <c r="P161">
        <v>42</v>
      </c>
      <c r="Q161">
        <v>44</v>
      </c>
    </row>
    <row r="162" spans="1:17" x14ac:dyDescent="0.25">
      <c r="A162">
        <v>2015</v>
      </c>
      <c r="B162" t="s">
        <v>9</v>
      </c>
      <c r="C162">
        <v>974</v>
      </c>
      <c r="D162">
        <v>2748.9214700528305</v>
      </c>
      <c r="E162" t="s">
        <v>41</v>
      </c>
      <c r="F162">
        <v>8.01</v>
      </c>
      <c r="G162" t="s">
        <v>201</v>
      </c>
      <c r="H162">
        <v>78.41</v>
      </c>
      <c r="I162">
        <v>3.18</v>
      </c>
      <c r="J162">
        <v>88.03</v>
      </c>
      <c r="K162">
        <v>6.93</v>
      </c>
      <c r="L162">
        <v>2.2799999999999998</v>
      </c>
      <c r="M162" t="s">
        <v>203</v>
      </c>
      <c r="N162" t="s">
        <v>63</v>
      </c>
      <c r="O162" t="s">
        <v>41</v>
      </c>
      <c r="P162">
        <v>48</v>
      </c>
      <c r="Q162">
        <v>31</v>
      </c>
    </row>
    <row r="163" spans="1:17" x14ac:dyDescent="0.25">
      <c r="A163">
        <v>2015</v>
      </c>
      <c r="B163" t="s">
        <v>9</v>
      </c>
      <c r="C163">
        <v>1938</v>
      </c>
      <c r="D163">
        <v>6453.8682003482581</v>
      </c>
      <c r="E163" t="s">
        <v>45</v>
      </c>
      <c r="F163">
        <v>5.59</v>
      </c>
      <c r="G163" t="s">
        <v>201</v>
      </c>
      <c r="H163">
        <v>87.99</v>
      </c>
      <c r="I163">
        <v>27.2</v>
      </c>
      <c r="J163">
        <v>77.22</v>
      </c>
      <c r="K163">
        <v>58.29</v>
      </c>
      <c r="L163">
        <v>1.85</v>
      </c>
      <c r="M163" t="s">
        <v>204</v>
      </c>
      <c r="N163" t="s">
        <v>44</v>
      </c>
      <c r="O163" t="s">
        <v>41</v>
      </c>
      <c r="P163">
        <v>72</v>
      </c>
      <c r="Q163">
        <v>26</v>
      </c>
    </row>
    <row r="164" spans="1:17" x14ac:dyDescent="0.25">
      <c r="A164">
        <v>2015</v>
      </c>
      <c r="B164" t="s">
        <v>9</v>
      </c>
      <c r="C164">
        <v>389</v>
      </c>
      <c r="D164">
        <v>842.03624841026704</v>
      </c>
      <c r="E164" t="s">
        <v>45</v>
      </c>
      <c r="F164">
        <v>5.12</v>
      </c>
      <c r="G164" t="s">
        <v>201</v>
      </c>
      <c r="H164">
        <v>34.99</v>
      </c>
      <c r="I164">
        <v>43.71</v>
      </c>
      <c r="J164">
        <v>90.56</v>
      </c>
      <c r="K164">
        <v>55.27</v>
      </c>
      <c r="L164">
        <v>1.92</v>
      </c>
      <c r="M164" t="s">
        <v>205</v>
      </c>
      <c r="N164" t="s">
        <v>59</v>
      </c>
      <c r="O164" t="s">
        <v>45</v>
      </c>
      <c r="P164">
        <v>67</v>
      </c>
      <c r="Q164">
        <v>23</v>
      </c>
    </row>
    <row r="165" spans="1:17" x14ac:dyDescent="0.25">
      <c r="A165">
        <v>2015</v>
      </c>
      <c r="B165" t="s">
        <v>2</v>
      </c>
      <c r="C165">
        <v>1001</v>
      </c>
      <c r="D165">
        <v>1921.9046708360841</v>
      </c>
      <c r="E165" t="s">
        <v>45</v>
      </c>
      <c r="F165">
        <v>3.52</v>
      </c>
      <c r="G165" t="s">
        <v>201</v>
      </c>
      <c r="H165">
        <v>85.06</v>
      </c>
      <c r="I165">
        <v>18.38</v>
      </c>
      <c r="J165">
        <v>75.78</v>
      </c>
      <c r="K165">
        <v>40.74</v>
      </c>
      <c r="L165">
        <v>1.35</v>
      </c>
      <c r="M165" t="s">
        <v>206</v>
      </c>
      <c r="N165" t="s">
        <v>44</v>
      </c>
      <c r="O165" t="s">
        <v>41</v>
      </c>
      <c r="P165">
        <v>56</v>
      </c>
      <c r="Q165">
        <v>38</v>
      </c>
    </row>
    <row r="166" spans="1:17" x14ac:dyDescent="0.25">
      <c r="A166">
        <v>2015</v>
      </c>
      <c r="B166" t="s">
        <v>2</v>
      </c>
      <c r="C166">
        <v>1398</v>
      </c>
      <c r="D166">
        <v>960.08586568247472</v>
      </c>
      <c r="E166" t="s">
        <v>45</v>
      </c>
      <c r="F166">
        <v>4.59</v>
      </c>
      <c r="G166" t="s">
        <v>201</v>
      </c>
      <c r="H166">
        <v>26.91</v>
      </c>
      <c r="I166">
        <v>23.96</v>
      </c>
      <c r="J166">
        <v>51.03</v>
      </c>
      <c r="K166">
        <v>13.32</v>
      </c>
      <c r="L166">
        <v>0.93</v>
      </c>
      <c r="M166" t="s">
        <v>207</v>
      </c>
      <c r="N166" t="s">
        <v>59</v>
      </c>
      <c r="O166" t="s">
        <v>45</v>
      </c>
      <c r="P166">
        <v>75</v>
      </c>
      <c r="Q166">
        <v>21</v>
      </c>
    </row>
    <row r="167" spans="1:17" x14ac:dyDescent="0.25">
      <c r="A167">
        <v>2015</v>
      </c>
      <c r="B167" t="s">
        <v>3</v>
      </c>
      <c r="C167">
        <v>2278</v>
      </c>
      <c r="D167">
        <v>2666.2285014826489</v>
      </c>
      <c r="E167" t="s">
        <v>45</v>
      </c>
      <c r="F167">
        <v>9.42</v>
      </c>
      <c r="G167" t="s">
        <v>201</v>
      </c>
      <c r="H167">
        <v>85.68</v>
      </c>
      <c r="I167">
        <v>67.41</v>
      </c>
      <c r="J167">
        <v>40.29</v>
      </c>
      <c r="K167">
        <v>66.959999999999994</v>
      </c>
      <c r="L167">
        <v>0.25</v>
      </c>
      <c r="M167" t="s">
        <v>208</v>
      </c>
      <c r="N167" t="s">
        <v>53</v>
      </c>
      <c r="O167" t="s">
        <v>45</v>
      </c>
      <c r="P167">
        <v>52</v>
      </c>
      <c r="Q167">
        <v>54</v>
      </c>
    </row>
    <row r="168" spans="1:17" x14ac:dyDescent="0.25">
      <c r="A168">
        <v>2015</v>
      </c>
      <c r="B168" t="s">
        <v>3</v>
      </c>
      <c r="C168">
        <v>1061</v>
      </c>
      <c r="D168">
        <v>2592.9869347820618</v>
      </c>
      <c r="E168" t="s">
        <v>41</v>
      </c>
      <c r="F168">
        <v>8.41</v>
      </c>
      <c r="G168" t="s">
        <v>201</v>
      </c>
      <c r="H168">
        <v>75.400000000000006</v>
      </c>
      <c r="I168">
        <v>63.61</v>
      </c>
      <c r="J168">
        <v>81.569999999999993</v>
      </c>
      <c r="K168">
        <v>15.53</v>
      </c>
      <c r="L168">
        <v>1.1000000000000001</v>
      </c>
      <c r="M168" t="s">
        <v>209</v>
      </c>
      <c r="N168" t="s">
        <v>47</v>
      </c>
      <c r="O168" t="s">
        <v>45</v>
      </c>
      <c r="P168">
        <v>49</v>
      </c>
      <c r="Q168">
        <v>40</v>
      </c>
    </row>
    <row r="169" spans="1:17" x14ac:dyDescent="0.25">
      <c r="A169">
        <v>2015</v>
      </c>
      <c r="B169" t="s">
        <v>3</v>
      </c>
      <c r="C169">
        <v>1981</v>
      </c>
      <c r="D169">
        <v>3100.1204466367158</v>
      </c>
      <c r="E169" t="s">
        <v>45</v>
      </c>
      <c r="F169">
        <v>5.93</v>
      </c>
      <c r="G169" t="s">
        <v>201</v>
      </c>
      <c r="H169">
        <v>28.57</v>
      </c>
      <c r="I169">
        <v>57.02</v>
      </c>
      <c r="J169">
        <v>85.9</v>
      </c>
      <c r="K169">
        <v>54.28</v>
      </c>
      <c r="L169">
        <v>1.17</v>
      </c>
      <c r="M169" t="s">
        <v>210</v>
      </c>
      <c r="N169" t="s">
        <v>57</v>
      </c>
      <c r="O169" t="s">
        <v>45</v>
      </c>
      <c r="P169">
        <v>53</v>
      </c>
      <c r="Q169">
        <v>43</v>
      </c>
    </row>
    <row r="170" spans="1:17" x14ac:dyDescent="0.25">
      <c r="A170">
        <v>2015</v>
      </c>
      <c r="B170" t="s">
        <v>7</v>
      </c>
      <c r="C170">
        <v>1315</v>
      </c>
      <c r="D170">
        <v>2740.0496544556286</v>
      </c>
      <c r="E170" t="s">
        <v>45</v>
      </c>
      <c r="F170">
        <v>3.66</v>
      </c>
      <c r="G170" t="s">
        <v>201</v>
      </c>
      <c r="H170">
        <v>53.54</v>
      </c>
      <c r="I170">
        <v>35.61</v>
      </c>
      <c r="J170">
        <v>39.659999999999997</v>
      </c>
      <c r="K170">
        <v>9.64</v>
      </c>
      <c r="L170">
        <v>1.9</v>
      </c>
      <c r="M170" t="s">
        <v>211</v>
      </c>
      <c r="N170" t="s">
        <v>57</v>
      </c>
      <c r="O170" t="s">
        <v>41</v>
      </c>
      <c r="P170">
        <v>44</v>
      </c>
      <c r="Q170">
        <v>55</v>
      </c>
    </row>
    <row r="171" spans="1:17" x14ac:dyDescent="0.25">
      <c r="A171">
        <v>2015</v>
      </c>
      <c r="B171" t="s">
        <v>7</v>
      </c>
      <c r="C171">
        <v>384</v>
      </c>
      <c r="D171">
        <v>1144.0136451184342</v>
      </c>
      <c r="E171" t="s">
        <v>41</v>
      </c>
      <c r="F171">
        <v>4.03</v>
      </c>
      <c r="G171" t="s">
        <v>201</v>
      </c>
      <c r="H171">
        <v>71.400000000000006</v>
      </c>
      <c r="I171">
        <v>6.16</v>
      </c>
      <c r="J171">
        <v>50.3</v>
      </c>
      <c r="K171">
        <v>15.63</v>
      </c>
      <c r="L171">
        <v>0.69</v>
      </c>
      <c r="M171" t="s">
        <v>212</v>
      </c>
      <c r="N171" t="s">
        <v>59</v>
      </c>
      <c r="O171" t="s">
        <v>45</v>
      </c>
      <c r="P171">
        <v>43</v>
      </c>
      <c r="Q171">
        <v>41</v>
      </c>
    </row>
    <row r="172" spans="1:17" x14ac:dyDescent="0.25">
      <c r="A172">
        <v>2015</v>
      </c>
      <c r="B172" t="s">
        <v>4</v>
      </c>
      <c r="C172">
        <v>1180</v>
      </c>
      <c r="D172">
        <v>2381.4327708091241</v>
      </c>
      <c r="E172" t="s">
        <v>41</v>
      </c>
      <c r="F172">
        <v>3.22</v>
      </c>
      <c r="G172" t="s">
        <v>201</v>
      </c>
      <c r="H172">
        <v>16</v>
      </c>
      <c r="I172">
        <v>66.17</v>
      </c>
      <c r="J172">
        <v>70.319999999999993</v>
      </c>
      <c r="K172">
        <v>55.26</v>
      </c>
      <c r="L172">
        <v>1.08</v>
      </c>
      <c r="M172" t="s">
        <v>49</v>
      </c>
      <c r="N172" t="s">
        <v>57</v>
      </c>
      <c r="O172" t="s">
        <v>41</v>
      </c>
      <c r="P172">
        <v>59</v>
      </c>
      <c r="Q172">
        <v>25</v>
      </c>
    </row>
    <row r="173" spans="1:17" x14ac:dyDescent="0.25">
      <c r="A173">
        <v>2015</v>
      </c>
      <c r="B173" t="s">
        <v>1</v>
      </c>
      <c r="C173">
        <v>1088</v>
      </c>
      <c r="D173">
        <v>1240.7982428674861</v>
      </c>
      <c r="E173" t="s">
        <v>45</v>
      </c>
      <c r="F173">
        <v>7.15</v>
      </c>
      <c r="G173" t="s">
        <v>201</v>
      </c>
      <c r="H173">
        <v>92.5</v>
      </c>
      <c r="I173">
        <v>36.67</v>
      </c>
      <c r="J173">
        <v>32.18</v>
      </c>
      <c r="K173">
        <v>11.95</v>
      </c>
      <c r="L173">
        <v>0.85</v>
      </c>
      <c r="M173" t="s">
        <v>213</v>
      </c>
      <c r="N173" t="s">
        <v>53</v>
      </c>
      <c r="O173" t="s">
        <v>45</v>
      </c>
      <c r="P173">
        <v>45</v>
      </c>
      <c r="Q173">
        <v>29</v>
      </c>
    </row>
    <row r="174" spans="1:17" x14ac:dyDescent="0.25">
      <c r="A174">
        <v>2015</v>
      </c>
      <c r="B174" t="s">
        <v>1</v>
      </c>
      <c r="C174">
        <v>1984</v>
      </c>
      <c r="D174">
        <v>1029.729541201425</v>
      </c>
      <c r="E174" t="s">
        <v>45</v>
      </c>
      <c r="F174">
        <v>9.2899999999999991</v>
      </c>
      <c r="G174" t="s">
        <v>201</v>
      </c>
      <c r="H174">
        <v>38.89</v>
      </c>
      <c r="I174">
        <v>47.53</v>
      </c>
      <c r="J174">
        <v>40.74</v>
      </c>
      <c r="K174">
        <v>58.46</v>
      </c>
      <c r="L174">
        <v>1.44</v>
      </c>
      <c r="M174" t="s">
        <v>214</v>
      </c>
      <c r="N174" t="s">
        <v>47</v>
      </c>
      <c r="O174" t="s">
        <v>41</v>
      </c>
      <c r="P174">
        <v>54</v>
      </c>
      <c r="Q174">
        <v>58</v>
      </c>
    </row>
    <row r="175" spans="1:17" x14ac:dyDescent="0.25">
      <c r="A175">
        <v>2016</v>
      </c>
      <c r="B175" t="s">
        <v>6</v>
      </c>
      <c r="C175">
        <v>1752</v>
      </c>
      <c r="D175">
        <v>4440.8584052042233</v>
      </c>
      <c r="E175" t="s">
        <v>41</v>
      </c>
      <c r="F175">
        <v>8.02</v>
      </c>
      <c r="G175" t="s">
        <v>201</v>
      </c>
      <c r="H175">
        <v>62.42</v>
      </c>
      <c r="I175">
        <v>43.51</v>
      </c>
      <c r="J175">
        <v>70.19</v>
      </c>
      <c r="K175">
        <v>45.57</v>
      </c>
      <c r="L175">
        <v>0.77</v>
      </c>
      <c r="M175" t="s">
        <v>215</v>
      </c>
      <c r="N175" t="s">
        <v>63</v>
      </c>
      <c r="O175" t="s">
        <v>41</v>
      </c>
      <c r="P175">
        <v>44</v>
      </c>
      <c r="Q175">
        <v>49</v>
      </c>
    </row>
    <row r="176" spans="1:17" x14ac:dyDescent="0.25">
      <c r="A176">
        <v>2016</v>
      </c>
      <c r="B176" t="s">
        <v>6</v>
      </c>
      <c r="C176">
        <v>1768</v>
      </c>
      <c r="D176">
        <v>2886.378958567685</v>
      </c>
      <c r="E176" t="s">
        <v>45</v>
      </c>
      <c r="F176">
        <v>5.09</v>
      </c>
      <c r="G176" t="s">
        <v>201</v>
      </c>
      <c r="H176">
        <v>64</v>
      </c>
      <c r="I176">
        <v>27.77</v>
      </c>
      <c r="J176">
        <v>57.31</v>
      </c>
      <c r="K176">
        <v>52.94</v>
      </c>
      <c r="L176">
        <v>2.21</v>
      </c>
      <c r="M176" t="s">
        <v>216</v>
      </c>
      <c r="N176" t="s">
        <v>44</v>
      </c>
      <c r="O176" t="s">
        <v>45</v>
      </c>
      <c r="P176">
        <v>76</v>
      </c>
      <c r="Q176">
        <v>34</v>
      </c>
    </row>
    <row r="177" spans="1:17" x14ac:dyDescent="0.25">
      <c r="A177">
        <v>2016</v>
      </c>
      <c r="B177" t="s">
        <v>6</v>
      </c>
      <c r="C177">
        <v>858</v>
      </c>
      <c r="D177">
        <v>2866.9247890583238</v>
      </c>
      <c r="E177" t="s">
        <v>41</v>
      </c>
      <c r="F177">
        <v>6.86</v>
      </c>
      <c r="G177" t="s">
        <v>201</v>
      </c>
      <c r="H177">
        <v>33.31</v>
      </c>
      <c r="I177">
        <v>46.58</v>
      </c>
      <c r="J177">
        <v>60.2</v>
      </c>
      <c r="K177">
        <v>45.67</v>
      </c>
      <c r="L177">
        <v>2</v>
      </c>
      <c r="M177" t="s">
        <v>217</v>
      </c>
      <c r="N177" t="s">
        <v>59</v>
      </c>
      <c r="O177" t="s">
        <v>45</v>
      </c>
      <c r="P177">
        <v>59</v>
      </c>
      <c r="Q177">
        <v>44</v>
      </c>
    </row>
    <row r="178" spans="1:17" x14ac:dyDescent="0.25">
      <c r="A178">
        <v>2016</v>
      </c>
      <c r="B178" t="s">
        <v>6</v>
      </c>
      <c r="C178">
        <v>168</v>
      </c>
      <c r="D178">
        <v>470.57612748394661</v>
      </c>
      <c r="E178" t="s">
        <v>41</v>
      </c>
      <c r="F178">
        <v>4.79</v>
      </c>
      <c r="G178" t="s">
        <v>201</v>
      </c>
      <c r="H178">
        <v>71.59</v>
      </c>
      <c r="I178">
        <v>9</v>
      </c>
      <c r="J178">
        <v>69.989999999999995</v>
      </c>
      <c r="K178">
        <v>6.12</v>
      </c>
      <c r="L178">
        <v>1.92</v>
      </c>
      <c r="M178" t="s">
        <v>218</v>
      </c>
      <c r="N178" t="s">
        <v>50</v>
      </c>
      <c r="O178" t="s">
        <v>45</v>
      </c>
      <c r="P178">
        <v>68</v>
      </c>
      <c r="Q178">
        <v>56</v>
      </c>
    </row>
    <row r="179" spans="1:17" x14ac:dyDescent="0.25">
      <c r="A179">
        <v>2016</v>
      </c>
      <c r="B179" t="s">
        <v>9</v>
      </c>
      <c r="C179">
        <v>1729</v>
      </c>
      <c r="D179">
        <v>5620.9724712738307</v>
      </c>
      <c r="E179" t="s">
        <v>45</v>
      </c>
      <c r="F179">
        <v>4.49</v>
      </c>
      <c r="G179" t="s">
        <v>201</v>
      </c>
      <c r="H179">
        <v>28.71</v>
      </c>
      <c r="I179">
        <v>43.42</v>
      </c>
      <c r="J179">
        <v>35.78</v>
      </c>
      <c r="K179">
        <v>39.03</v>
      </c>
      <c r="L179">
        <v>0.51</v>
      </c>
      <c r="M179" t="s">
        <v>219</v>
      </c>
      <c r="N179" t="s">
        <v>47</v>
      </c>
      <c r="O179" t="s">
        <v>45</v>
      </c>
      <c r="P179">
        <v>46</v>
      </c>
      <c r="Q179">
        <v>29</v>
      </c>
    </row>
    <row r="180" spans="1:17" x14ac:dyDescent="0.25">
      <c r="A180">
        <v>2016</v>
      </c>
      <c r="B180" t="s">
        <v>9</v>
      </c>
      <c r="C180">
        <v>2301</v>
      </c>
      <c r="D180">
        <v>1754.2519045522351</v>
      </c>
      <c r="E180" t="s">
        <v>41</v>
      </c>
      <c r="F180">
        <v>2.58</v>
      </c>
      <c r="G180" t="s">
        <v>201</v>
      </c>
      <c r="H180">
        <v>40.700000000000003</v>
      </c>
      <c r="I180">
        <v>16.71</v>
      </c>
      <c r="J180">
        <v>52.09</v>
      </c>
      <c r="K180">
        <v>27.14</v>
      </c>
      <c r="L180">
        <v>2.14</v>
      </c>
      <c r="M180" t="s">
        <v>220</v>
      </c>
      <c r="N180" t="s">
        <v>53</v>
      </c>
      <c r="O180" t="s">
        <v>45</v>
      </c>
      <c r="P180">
        <v>79</v>
      </c>
      <c r="Q180">
        <v>48</v>
      </c>
    </row>
    <row r="181" spans="1:17" x14ac:dyDescent="0.25">
      <c r="A181">
        <v>2016</v>
      </c>
      <c r="B181" t="s">
        <v>5</v>
      </c>
      <c r="C181">
        <v>970</v>
      </c>
      <c r="D181">
        <v>488.19040329325367</v>
      </c>
      <c r="E181" t="s">
        <v>45</v>
      </c>
      <c r="F181">
        <v>6.35</v>
      </c>
      <c r="G181" t="s">
        <v>201</v>
      </c>
      <c r="H181">
        <v>59.04</v>
      </c>
      <c r="I181">
        <v>42.38</v>
      </c>
      <c r="J181">
        <v>67.040000000000006</v>
      </c>
      <c r="K181">
        <v>52.55</v>
      </c>
      <c r="L181">
        <v>1.5</v>
      </c>
      <c r="M181" t="s">
        <v>221</v>
      </c>
      <c r="N181" t="s">
        <v>57</v>
      </c>
      <c r="O181" t="s">
        <v>41</v>
      </c>
      <c r="P181">
        <v>47</v>
      </c>
      <c r="Q181">
        <v>48</v>
      </c>
    </row>
    <row r="182" spans="1:17" x14ac:dyDescent="0.25">
      <c r="A182">
        <v>2016</v>
      </c>
      <c r="B182" t="s">
        <v>5</v>
      </c>
      <c r="C182">
        <v>308</v>
      </c>
      <c r="D182">
        <v>243.65037707977118</v>
      </c>
      <c r="E182" t="s">
        <v>41</v>
      </c>
      <c r="F182">
        <v>5.89</v>
      </c>
      <c r="G182" t="s">
        <v>201</v>
      </c>
      <c r="H182">
        <v>80.260000000000005</v>
      </c>
      <c r="I182">
        <v>65.709999999999994</v>
      </c>
      <c r="J182">
        <v>83.41</v>
      </c>
      <c r="K182">
        <v>24.61</v>
      </c>
      <c r="L182">
        <v>0.57999999999999996</v>
      </c>
      <c r="M182" t="s">
        <v>222</v>
      </c>
      <c r="N182" t="s">
        <v>63</v>
      </c>
      <c r="O182" t="s">
        <v>41</v>
      </c>
      <c r="P182">
        <v>46</v>
      </c>
      <c r="Q182">
        <v>48</v>
      </c>
    </row>
    <row r="183" spans="1:17" x14ac:dyDescent="0.25">
      <c r="A183">
        <v>2016</v>
      </c>
      <c r="B183" t="s">
        <v>5</v>
      </c>
      <c r="C183">
        <v>483</v>
      </c>
      <c r="D183">
        <v>1260.797795176805</v>
      </c>
      <c r="E183" t="s">
        <v>41</v>
      </c>
      <c r="F183">
        <v>2.77</v>
      </c>
      <c r="G183" t="s">
        <v>201</v>
      </c>
      <c r="H183">
        <v>75.63</v>
      </c>
      <c r="I183">
        <v>5.2</v>
      </c>
      <c r="J183">
        <v>38.409999999999997</v>
      </c>
      <c r="K183">
        <v>24.95</v>
      </c>
      <c r="L183">
        <v>1.77</v>
      </c>
      <c r="M183" t="s">
        <v>223</v>
      </c>
      <c r="N183" t="s">
        <v>59</v>
      </c>
      <c r="O183" t="s">
        <v>41</v>
      </c>
      <c r="P183">
        <v>50</v>
      </c>
      <c r="Q183">
        <v>59</v>
      </c>
    </row>
    <row r="184" spans="1:17" x14ac:dyDescent="0.25">
      <c r="A184">
        <v>2016</v>
      </c>
      <c r="B184" t="s">
        <v>3</v>
      </c>
      <c r="C184">
        <v>338</v>
      </c>
      <c r="D184">
        <v>1163.5436445016173</v>
      </c>
      <c r="E184" t="s">
        <v>45</v>
      </c>
      <c r="F184">
        <v>8.35</v>
      </c>
      <c r="G184" t="s">
        <v>201</v>
      </c>
      <c r="H184">
        <v>87.65</v>
      </c>
      <c r="I184">
        <v>37.81</v>
      </c>
      <c r="J184">
        <v>60.92</v>
      </c>
      <c r="K184">
        <v>18.350000000000001</v>
      </c>
      <c r="L184">
        <v>0.8</v>
      </c>
      <c r="M184" t="s">
        <v>224</v>
      </c>
      <c r="N184" t="s">
        <v>57</v>
      </c>
      <c r="O184" t="s">
        <v>45</v>
      </c>
      <c r="P184">
        <v>60</v>
      </c>
      <c r="Q184">
        <v>37</v>
      </c>
    </row>
    <row r="185" spans="1:17" x14ac:dyDescent="0.25">
      <c r="A185">
        <v>2016</v>
      </c>
      <c r="B185" t="s">
        <v>3</v>
      </c>
      <c r="C185">
        <v>1997</v>
      </c>
      <c r="D185">
        <v>1808.1638913909319</v>
      </c>
      <c r="E185" t="s">
        <v>45</v>
      </c>
      <c r="F185">
        <v>8.23</v>
      </c>
      <c r="G185" t="s">
        <v>201</v>
      </c>
      <c r="H185">
        <v>51.14</v>
      </c>
      <c r="I185">
        <v>15.57</v>
      </c>
      <c r="J185">
        <v>32.17</v>
      </c>
      <c r="K185">
        <v>17.36</v>
      </c>
      <c r="L185">
        <v>0.25</v>
      </c>
      <c r="M185" t="s">
        <v>225</v>
      </c>
      <c r="N185" t="s">
        <v>50</v>
      </c>
      <c r="O185" t="s">
        <v>41</v>
      </c>
      <c r="P185">
        <v>73</v>
      </c>
      <c r="Q185">
        <v>56</v>
      </c>
    </row>
    <row r="186" spans="1:17" x14ac:dyDescent="0.25">
      <c r="A186">
        <v>2016</v>
      </c>
      <c r="B186" t="s">
        <v>4</v>
      </c>
      <c r="C186">
        <v>148</v>
      </c>
      <c r="D186">
        <v>192.93220950278359</v>
      </c>
      <c r="E186" t="s">
        <v>41</v>
      </c>
      <c r="F186">
        <v>5.63</v>
      </c>
      <c r="G186" t="s">
        <v>201</v>
      </c>
      <c r="H186">
        <v>66.48</v>
      </c>
      <c r="I186">
        <v>22.28</v>
      </c>
      <c r="J186">
        <v>36.700000000000003</v>
      </c>
      <c r="K186">
        <v>21.45</v>
      </c>
      <c r="L186">
        <v>2</v>
      </c>
      <c r="M186" t="s">
        <v>226</v>
      </c>
      <c r="N186" t="s">
        <v>59</v>
      </c>
      <c r="O186" t="s">
        <v>41</v>
      </c>
      <c r="P186">
        <v>66</v>
      </c>
      <c r="Q186">
        <v>54</v>
      </c>
    </row>
    <row r="187" spans="1:17" x14ac:dyDescent="0.25">
      <c r="A187">
        <v>2017</v>
      </c>
      <c r="B187" t="s">
        <v>10</v>
      </c>
      <c r="C187">
        <v>1556</v>
      </c>
      <c r="D187">
        <v>1586.0566373764227</v>
      </c>
      <c r="E187" t="s">
        <v>45</v>
      </c>
      <c r="F187">
        <v>4.72</v>
      </c>
      <c r="G187" t="s">
        <v>201</v>
      </c>
      <c r="H187">
        <v>37.04</v>
      </c>
      <c r="I187">
        <v>61.53</v>
      </c>
      <c r="J187">
        <v>38.29</v>
      </c>
      <c r="K187">
        <v>9.2200000000000006</v>
      </c>
      <c r="L187">
        <v>0.7</v>
      </c>
      <c r="M187" t="s">
        <v>227</v>
      </c>
      <c r="N187" t="s">
        <v>53</v>
      </c>
      <c r="O187" t="s">
        <v>41</v>
      </c>
      <c r="P187">
        <v>48</v>
      </c>
      <c r="Q187">
        <v>34</v>
      </c>
    </row>
    <row r="188" spans="1:17" x14ac:dyDescent="0.25">
      <c r="A188">
        <v>2017</v>
      </c>
      <c r="B188" t="s">
        <v>6</v>
      </c>
      <c r="C188">
        <v>1580</v>
      </c>
      <c r="D188">
        <v>4119.737175160989</v>
      </c>
      <c r="E188" t="s">
        <v>41</v>
      </c>
      <c r="F188">
        <v>6.8</v>
      </c>
      <c r="G188" t="s">
        <v>201</v>
      </c>
      <c r="H188">
        <v>22.06</v>
      </c>
      <c r="I188">
        <v>16.78</v>
      </c>
      <c r="J188">
        <v>34.9</v>
      </c>
      <c r="K188">
        <v>32.08</v>
      </c>
      <c r="L188">
        <v>1.63</v>
      </c>
      <c r="M188" t="s">
        <v>228</v>
      </c>
      <c r="N188" t="s">
        <v>50</v>
      </c>
      <c r="O188" t="s">
        <v>41</v>
      </c>
      <c r="P188">
        <v>74</v>
      </c>
      <c r="Q188">
        <v>32</v>
      </c>
    </row>
    <row r="189" spans="1:17" x14ac:dyDescent="0.25">
      <c r="A189">
        <v>2017</v>
      </c>
      <c r="B189" t="s">
        <v>6</v>
      </c>
      <c r="C189">
        <v>2030</v>
      </c>
      <c r="D189">
        <v>5073.2395769994964</v>
      </c>
      <c r="E189" t="s">
        <v>41</v>
      </c>
      <c r="F189">
        <v>7.02</v>
      </c>
      <c r="G189" t="s">
        <v>201</v>
      </c>
      <c r="H189">
        <v>15.91</v>
      </c>
      <c r="I189">
        <v>25.12</v>
      </c>
      <c r="J189">
        <v>57.83</v>
      </c>
      <c r="K189">
        <v>37.58</v>
      </c>
      <c r="L189">
        <v>0.5</v>
      </c>
      <c r="M189" t="s">
        <v>229</v>
      </c>
      <c r="N189" t="s">
        <v>59</v>
      </c>
      <c r="O189" t="s">
        <v>41</v>
      </c>
      <c r="P189">
        <v>70</v>
      </c>
      <c r="Q189">
        <v>23</v>
      </c>
    </row>
    <row r="190" spans="1:17" x14ac:dyDescent="0.25">
      <c r="A190">
        <v>2017</v>
      </c>
      <c r="B190" t="s">
        <v>9</v>
      </c>
      <c r="C190">
        <v>149</v>
      </c>
      <c r="D190">
        <v>115.45050689022067</v>
      </c>
      <c r="E190" t="s">
        <v>45</v>
      </c>
      <c r="F190">
        <v>6.75</v>
      </c>
      <c r="G190" t="s">
        <v>201</v>
      </c>
      <c r="H190">
        <v>54.89</v>
      </c>
      <c r="I190">
        <v>64.09</v>
      </c>
      <c r="J190">
        <v>44.17</v>
      </c>
      <c r="K190">
        <v>47.38</v>
      </c>
      <c r="L190">
        <v>0.4</v>
      </c>
      <c r="M190" t="s">
        <v>230</v>
      </c>
      <c r="N190" t="s">
        <v>53</v>
      </c>
      <c r="O190" t="s">
        <v>41</v>
      </c>
      <c r="P190">
        <v>50</v>
      </c>
      <c r="Q190">
        <v>54</v>
      </c>
    </row>
    <row r="191" spans="1:17" x14ac:dyDescent="0.25">
      <c r="A191">
        <v>2017</v>
      </c>
      <c r="B191" t="s">
        <v>9</v>
      </c>
      <c r="C191">
        <v>2303</v>
      </c>
      <c r="D191">
        <v>2676.2162353316075</v>
      </c>
      <c r="E191" t="s">
        <v>45</v>
      </c>
      <c r="F191">
        <v>4.6100000000000003</v>
      </c>
      <c r="G191" t="s">
        <v>201</v>
      </c>
      <c r="H191">
        <v>85.74</v>
      </c>
      <c r="I191">
        <v>19.54</v>
      </c>
      <c r="J191">
        <v>61.4</v>
      </c>
      <c r="K191">
        <v>23.1</v>
      </c>
      <c r="L191">
        <v>0.27</v>
      </c>
      <c r="M191" t="s">
        <v>231</v>
      </c>
      <c r="N191" t="s">
        <v>63</v>
      </c>
      <c r="O191" t="s">
        <v>45</v>
      </c>
      <c r="P191">
        <v>80</v>
      </c>
      <c r="Q191">
        <v>43</v>
      </c>
    </row>
    <row r="192" spans="1:17" x14ac:dyDescent="0.25">
      <c r="A192">
        <v>2017</v>
      </c>
      <c r="B192" t="s">
        <v>2</v>
      </c>
      <c r="C192">
        <v>456</v>
      </c>
      <c r="D192">
        <v>745.2109035127944</v>
      </c>
      <c r="E192" t="s">
        <v>41</v>
      </c>
      <c r="F192">
        <v>8.8800000000000008</v>
      </c>
      <c r="G192" t="s">
        <v>201</v>
      </c>
      <c r="H192">
        <v>51.46</v>
      </c>
      <c r="I192">
        <v>53.8</v>
      </c>
      <c r="J192">
        <v>71.599999999999994</v>
      </c>
      <c r="K192">
        <v>60.78</v>
      </c>
      <c r="L192">
        <v>1.84</v>
      </c>
      <c r="M192" t="s">
        <v>232</v>
      </c>
      <c r="N192" t="s">
        <v>63</v>
      </c>
      <c r="O192" t="s">
        <v>45</v>
      </c>
      <c r="P192">
        <v>41</v>
      </c>
      <c r="Q192">
        <v>56</v>
      </c>
    </row>
    <row r="193" spans="1:17" x14ac:dyDescent="0.25">
      <c r="A193">
        <v>2017</v>
      </c>
      <c r="B193" t="s">
        <v>2</v>
      </c>
      <c r="C193">
        <v>2231</v>
      </c>
      <c r="D193">
        <v>6795.4752884395066</v>
      </c>
      <c r="E193" t="s">
        <v>45</v>
      </c>
      <c r="F193">
        <v>8.2100000000000009</v>
      </c>
      <c r="G193" t="s">
        <v>201</v>
      </c>
      <c r="H193">
        <v>24.02</v>
      </c>
      <c r="I193">
        <v>25.26</v>
      </c>
      <c r="J193">
        <v>47.12</v>
      </c>
      <c r="K193">
        <v>64.900000000000006</v>
      </c>
      <c r="L193">
        <v>2.31</v>
      </c>
      <c r="M193" t="s">
        <v>233</v>
      </c>
      <c r="N193" t="s">
        <v>50</v>
      </c>
      <c r="O193" t="s">
        <v>45</v>
      </c>
      <c r="P193">
        <v>54</v>
      </c>
      <c r="Q193">
        <v>35</v>
      </c>
    </row>
    <row r="194" spans="1:17" x14ac:dyDescent="0.25">
      <c r="A194">
        <v>2017</v>
      </c>
      <c r="B194" t="s">
        <v>5</v>
      </c>
      <c r="C194">
        <v>1104</v>
      </c>
      <c r="D194">
        <v>1745.5725046047405</v>
      </c>
      <c r="E194" t="s">
        <v>41</v>
      </c>
      <c r="F194">
        <v>9.73</v>
      </c>
      <c r="G194" t="s">
        <v>201</v>
      </c>
      <c r="H194">
        <v>19.28</v>
      </c>
      <c r="I194">
        <v>39.14</v>
      </c>
      <c r="J194">
        <v>41.13</v>
      </c>
      <c r="K194">
        <v>19.170000000000002</v>
      </c>
      <c r="L194">
        <v>1.06</v>
      </c>
      <c r="M194" t="s">
        <v>234</v>
      </c>
      <c r="N194" t="s">
        <v>53</v>
      </c>
      <c r="O194" t="s">
        <v>45</v>
      </c>
      <c r="P194">
        <v>67</v>
      </c>
      <c r="Q194">
        <v>28</v>
      </c>
    </row>
    <row r="195" spans="1:17" x14ac:dyDescent="0.25">
      <c r="A195">
        <v>2017</v>
      </c>
      <c r="B195" t="s">
        <v>3</v>
      </c>
      <c r="C195">
        <v>393</v>
      </c>
      <c r="D195">
        <v>1194.8248654369656</v>
      </c>
      <c r="E195" t="s">
        <v>45</v>
      </c>
      <c r="F195">
        <v>7.63</v>
      </c>
      <c r="G195" t="s">
        <v>201</v>
      </c>
      <c r="H195">
        <v>94.83</v>
      </c>
      <c r="I195">
        <v>49.07</v>
      </c>
      <c r="J195">
        <v>38.42</v>
      </c>
      <c r="K195">
        <v>53.4</v>
      </c>
      <c r="L195">
        <v>0.28000000000000003</v>
      </c>
      <c r="M195" t="s">
        <v>235</v>
      </c>
      <c r="N195" t="s">
        <v>63</v>
      </c>
      <c r="O195" t="s">
        <v>45</v>
      </c>
      <c r="P195">
        <v>76</v>
      </c>
      <c r="Q195">
        <v>54</v>
      </c>
    </row>
    <row r="196" spans="1:17" x14ac:dyDescent="0.25">
      <c r="A196">
        <v>2017</v>
      </c>
      <c r="B196" t="s">
        <v>3</v>
      </c>
      <c r="C196">
        <v>326</v>
      </c>
      <c r="D196">
        <v>476.51926481852297</v>
      </c>
      <c r="E196" t="s">
        <v>45</v>
      </c>
      <c r="F196">
        <v>5.69</v>
      </c>
      <c r="G196" t="s">
        <v>201</v>
      </c>
      <c r="H196">
        <v>27.29</v>
      </c>
      <c r="I196">
        <v>49.18</v>
      </c>
      <c r="J196">
        <v>30.06</v>
      </c>
      <c r="K196">
        <v>18.21</v>
      </c>
      <c r="L196">
        <v>0.69</v>
      </c>
      <c r="M196" t="s">
        <v>236</v>
      </c>
      <c r="N196" t="s">
        <v>57</v>
      </c>
      <c r="O196" t="s">
        <v>45</v>
      </c>
      <c r="P196">
        <v>62</v>
      </c>
      <c r="Q196">
        <v>38</v>
      </c>
    </row>
    <row r="197" spans="1:17" x14ac:dyDescent="0.25">
      <c r="A197">
        <v>2017</v>
      </c>
      <c r="B197" t="s">
        <v>3</v>
      </c>
      <c r="C197">
        <v>1866</v>
      </c>
      <c r="D197">
        <v>5565.8271609967333</v>
      </c>
      <c r="E197" t="s">
        <v>41</v>
      </c>
      <c r="F197">
        <v>9.23</v>
      </c>
      <c r="G197" t="s">
        <v>201</v>
      </c>
      <c r="H197">
        <v>58.19</v>
      </c>
      <c r="I197">
        <v>8.8699999999999992</v>
      </c>
      <c r="J197">
        <v>46.79</v>
      </c>
      <c r="K197">
        <v>60.21</v>
      </c>
      <c r="L197">
        <v>1.5</v>
      </c>
      <c r="M197" t="s">
        <v>237</v>
      </c>
      <c r="N197" t="s">
        <v>47</v>
      </c>
      <c r="O197" t="s">
        <v>45</v>
      </c>
      <c r="P197">
        <v>67</v>
      </c>
      <c r="Q197">
        <v>54</v>
      </c>
    </row>
    <row r="198" spans="1:17" x14ac:dyDescent="0.25">
      <c r="A198">
        <v>2017</v>
      </c>
      <c r="B198" t="s">
        <v>3</v>
      </c>
      <c r="C198">
        <v>1707</v>
      </c>
      <c r="D198">
        <v>4687.7722997042929</v>
      </c>
      <c r="E198" t="s">
        <v>41</v>
      </c>
      <c r="F198">
        <v>9.93</v>
      </c>
      <c r="G198" t="s">
        <v>201</v>
      </c>
      <c r="H198">
        <v>40.58</v>
      </c>
      <c r="I198">
        <v>6.41</v>
      </c>
      <c r="J198">
        <v>98.35</v>
      </c>
      <c r="K198">
        <v>44.7</v>
      </c>
      <c r="L198">
        <v>0.63</v>
      </c>
      <c r="M198" t="s">
        <v>238</v>
      </c>
      <c r="N198" t="s">
        <v>57</v>
      </c>
      <c r="O198" t="s">
        <v>41</v>
      </c>
      <c r="P198">
        <v>75</v>
      </c>
      <c r="Q198">
        <v>53</v>
      </c>
    </row>
    <row r="199" spans="1:17" x14ac:dyDescent="0.25">
      <c r="A199">
        <v>2017</v>
      </c>
      <c r="B199" t="s">
        <v>4</v>
      </c>
      <c r="C199">
        <v>2309</v>
      </c>
      <c r="D199">
        <v>6356.7452393362446</v>
      </c>
      <c r="E199" t="s">
        <v>45</v>
      </c>
      <c r="F199">
        <v>9.51</v>
      </c>
      <c r="G199" t="s">
        <v>201</v>
      </c>
      <c r="H199">
        <v>90.64</v>
      </c>
      <c r="I199">
        <v>63.86</v>
      </c>
      <c r="J199">
        <v>64.81</v>
      </c>
      <c r="K199">
        <v>6.93</v>
      </c>
      <c r="L199">
        <v>0.7</v>
      </c>
      <c r="M199" t="s">
        <v>239</v>
      </c>
      <c r="N199" t="s">
        <v>59</v>
      </c>
      <c r="O199" t="s">
        <v>45</v>
      </c>
      <c r="P199">
        <v>73</v>
      </c>
      <c r="Q199">
        <v>35</v>
      </c>
    </row>
    <row r="200" spans="1:17" x14ac:dyDescent="0.25">
      <c r="A200">
        <v>2017</v>
      </c>
      <c r="B200" t="s">
        <v>4</v>
      </c>
      <c r="C200">
        <v>848</v>
      </c>
      <c r="D200">
        <v>2470.3500686132215</v>
      </c>
      <c r="E200" t="s">
        <v>45</v>
      </c>
      <c r="F200">
        <v>2.54</v>
      </c>
      <c r="G200" t="s">
        <v>201</v>
      </c>
      <c r="H200">
        <v>40.56</v>
      </c>
      <c r="I200">
        <v>5.84</v>
      </c>
      <c r="J200">
        <v>95.24</v>
      </c>
      <c r="K200">
        <v>15.65</v>
      </c>
      <c r="L200">
        <v>1.67</v>
      </c>
      <c r="M200" t="s">
        <v>240</v>
      </c>
      <c r="N200" t="s">
        <v>44</v>
      </c>
      <c r="O200" t="s">
        <v>45</v>
      </c>
      <c r="P200">
        <v>72</v>
      </c>
      <c r="Q200">
        <v>31</v>
      </c>
    </row>
    <row r="201" spans="1:17" x14ac:dyDescent="0.25">
      <c r="A201">
        <v>2017</v>
      </c>
      <c r="B201" t="s">
        <v>1</v>
      </c>
      <c r="C201">
        <v>157</v>
      </c>
      <c r="D201">
        <v>499.35070307403447</v>
      </c>
      <c r="E201" t="s">
        <v>45</v>
      </c>
      <c r="F201">
        <v>8.77</v>
      </c>
      <c r="G201" t="s">
        <v>201</v>
      </c>
      <c r="H201">
        <v>89.06</v>
      </c>
      <c r="I201">
        <v>2.02</v>
      </c>
      <c r="J201">
        <v>80.66</v>
      </c>
      <c r="K201">
        <v>59.44</v>
      </c>
      <c r="L201">
        <v>1.77</v>
      </c>
      <c r="M201" t="s">
        <v>241</v>
      </c>
      <c r="N201" t="s">
        <v>57</v>
      </c>
      <c r="O201" t="s">
        <v>45</v>
      </c>
      <c r="P201">
        <v>68</v>
      </c>
      <c r="Q201">
        <v>47</v>
      </c>
    </row>
    <row r="202" spans="1:17" x14ac:dyDescent="0.25">
      <c r="A202">
        <v>2017</v>
      </c>
      <c r="B202" t="s">
        <v>1</v>
      </c>
      <c r="C202">
        <v>515</v>
      </c>
      <c r="D202">
        <v>1578.6588752339733</v>
      </c>
      <c r="E202" t="s">
        <v>41</v>
      </c>
      <c r="F202">
        <v>7.31</v>
      </c>
      <c r="G202" t="s">
        <v>201</v>
      </c>
      <c r="H202">
        <v>33.71</v>
      </c>
      <c r="I202">
        <v>6.13</v>
      </c>
      <c r="J202">
        <v>29.94</v>
      </c>
      <c r="K202">
        <v>29.61</v>
      </c>
      <c r="L202">
        <v>1.33</v>
      </c>
      <c r="M202" t="s">
        <v>242</v>
      </c>
      <c r="N202" t="s">
        <v>63</v>
      </c>
      <c r="O202" t="s">
        <v>41</v>
      </c>
      <c r="P202">
        <v>46</v>
      </c>
      <c r="Q202">
        <v>36</v>
      </c>
    </row>
    <row r="203" spans="1:17" x14ac:dyDescent="0.25">
      <c r="A203">
        <v>2018</v>
      </c>
      <c r="B203" t="s">
        <v>10</v>
      </c>
      <c r="C203">
        <v>1786</v>
      </c>
      <c r="D203">
        <v>3659.8115744497186</v>
      </c>
      <c r="E203" t="s">
        <v>45</v>
      </c>
      <c r="F203">
        <v>3.01</v>
      </c>
      <c r="G203" t="s">
        <v>201</v>
      </c>
      <c r="H203">
        <v>49.5</v>
      </c>
      <c r="I203">
        <v>47.6</v>
      </c>
      <c r="J203">
        <v>58.59</v>
      </c>
      <c r="K203">
        <v>13.01</v>
      </c>
      <c r="L203">
        <v>0.33</v>
      </c>
      <c r="M203" t="s">
        <v>243</v>
      </c>
      <c r="N203" t="s">
        <v>53</v>
      </c>
      <c r="O203" t="s">
        <v>41</v>
      </c>
      <c r="P203">
        <v>79</v>
      </c>
      <c r="Q203">
        <v>55</v>
      </c>
    </row>
    <row r="204" spans="1:17" x14ac:dyDescent="0.25">
      <c r="A204">
        <v>2018</v>
      </c>
      <c r="B204" t="s">
        <v>10</v>
      </c>
      <c r="C204">
        <v>614</v>
      </c>
      <c r="D204">
        <v>597.90398998139528</v>
      </c>
      <c r="E204" t="s">
        <v>41</v>
      </c>
      <c r="F204">
        <v>9.07</v>
      </c>
      <c r="G204" t="s">
        <v>201</v>
      </c>
      <c r="H204">
        <v>27.03</v>
      </c>
      <c r="I204">
        <v>44.18</v>
      </c>
      <c r="J204">
        <v>33.119999999999997</v>
      </c>
      <c r="K204">
        <v>19.54</v>
      </c>
      <c r="L204">
        <v>0.68</v>
      </c>
      <c r="M204" t="s">
        <v>146</v>
      </c>
      <c r="N204" t="s">
        <v>47</v>
      </c>
      <c r="O204" t="s">
        <v>45</v>
      </c>
      <c r="P204">
        <v>61</v>
      </c>
      <c r="Q204">
        <v>54</v>
      </c>
    </row>
    <row r="205" spans="1:17" x14ac:dyDescent="0.25">
      <c r="A205">
        <v>2018</v>
      </c>
      <c r="B205" t="s">
        <v>10</v>
      </c>
      <c r="C205">
        <v>1946</v>
      </c>
      <c r="D205">
        <v>981.94683690798627</v>
      </c>
      <c r="E205" t="s">
        <v>45</v>
      </c>
      <c r="F205">
        <v>2.94</v>
      </c>
      <c r="G205" t="s">
        <v>201</v>
      </c>
      <c r="H205">
        <v>50.47</v>
      </c>
      <c r="I205">
        <v>44.17</v>
      </c>
      <c r="J205">
        <v>93.73</v>
      </c>
      <c r="K205">
        <v>32.200000000000003</v>
      </c>
      <c r="L205">
        <v>0.24</v>
      </c>
      <c r="M205" t="s">
        <v>244</v>
      </c>
      <c r="N205" t="s">
        <v>47</v>
      </c>
      <c r="O205" t="s">
        <v>45</v>
      </c>
      <c r="P205">
        <v>46</v>
      </c>
      <c r="Q205">
        <v>32</v>
      </c>
    </row>
    <row r="206" spans="1:17" x14ac:dyDescent="0.25">
      <c r="A206">
        <v>2018</v>
      </c>
      <c r="B206" t="s">
        <v>6</v>
      </c>
      <c r="C206">
        <v>687</v>
      </c>
      <c r="D206">
        <v>1201.277447545951</v>
      </c>
      <c r="E206" t="s">
        <v>41</v>
      </c>
      <c r="F206">
        <v>3.55</v>
      </c>
      <c r="G206" t="s">
        <v>201</v>
      </c>
      <c r="H206">
        <v>31.01</v>
      </c>
      <c r="I206">
        <v>7.52</v>
      </c>
      <c r="J206">
        <v>90.58</v>
      </c>
      <c r="K206">
        <v>67.61</v>
      </c>
      <c r="L206">
        <v>1.1599999999999999</v>
      </c>
      <c r="M206" t="s">
        <v>245</v>
      </c>
      <c r="N206" t="s">
        <v>53</v>
      </c>
      <c r="O206" t="s">
        <v>45</v>
      </c>
      <c r="P206">
        <v>68</v>
      </c>
      <c r="Q206">
        <v>26</v>
      </c>
    </row>
    <row r="207" spans="1:17" x14ac:dyDescent="0.25">
      <c r="A207">
        <v>2018</v>
      </c>
      <c r="B207" t="s">
        <v>2</v>
      </c>
      <c r="C207">
        <v>425</v>
      </c>
      <c r="D207">
        <v>290.43452987827925</v>
      </c>
      <c r="E207" t="s">
        <v>41</v>
      </c>
      <c r="F207">
        <v>4.68</v>
      </c>
      <c r="G207" t="s">
        <v>201</v>
      </c>
      <c r="H207">
        <v>68.209999999999994</v>
      </c>
      <c r="I207">
        <v>46.33</v>
      </c>
      <c r="J207">
        <v>39.19</v>
      </c>
      <c r="K207">
        <v>54.89</v>
      </c>
      <c r="L207">
        <v>1.6</v>
      </c>
      <c r="M207" t="s">
        <v>246</v>
      </c>
      <c r="N207" t="s">
        <v>50</v>
      </c>
      <c r="O207" t="s">
        <v>45</v>
      </c>
      <c r="P207">
        <v>70</v>
      </c>
      <c r="Q207">
        <v>34</v>
      </c>
    </row>
    <row r="208" spans="1:17" x14ac:dyDescent="0.25">
      <c r="A208">
        <v>2018</v>
      </c>
      <c r="B208" t="s">
        <v>5</v>
      </c>
      <c r="C208">
        <v>1422</v>
      </c>
      <c r="D208">
        <v>3531.8708708529839</v>
      </c>
      <c r="E208" t="s">
        <v>41</v>
      </c>
      <c r="F208">
        <v>3.84</v>
      </c>
      <c r="G208" t="s">
        <v>201</v>
      </c>
      <c r="H208">
        <v>81.510000000000005</v>
      </c>
      <c r="I208">
        <v>5.59</v>
      </c>
      <c r="J208">
        <v>48.83</v>
      </c>
      <c r="K208">
        <v>6.61</v>
      </c>
      <c r="L208">
        <v>0.89</v>
      </c>
      <c r="M208" t="s">
        <v>247</v>
      </c>
      <c r="N208" t="s">
        <v>50</v>
      </c>
      <c r="O208" t="s">
        <v>45</v>
      </c>
      <c r="P208">
        <v>79</v>
      </c>
      <c r="Q208">
        <v>33</v>
      </c>
    </row>
    <row r="209" spans="1:17" x14ac:dyDescent="0.25">
      <c r="A209">
        <v>2018</v>
      </c>
      <c r="B209" t="s">
        <v>8</v>
      </c>
      <c r="C209">
        <v>1277</v>
      </c>
      <c r="D209">
        <v>1894.9292046896078</v>
      </c>
      <c r="E209" t="s">
        <v>45</v>
      </c>
      <c r="F209">
        <v>9.51</v>
      </c>
      <c r="G209" t="s">
        <v>201</v>
      </c>
      <c r="H209">
        <v>88.06</v>
      </c>
      <c r="I209">
        <v>14.18</v>
      </c>
      <c r="J209">
        <v>46.98</v>
      </c>
      <c r="K209">
        <v>43.73</v>
      </c>
      <c r="L209">
        <v>1.37</v>
      </c>
      <c r="M209" t="s">
        <v>233</v>
      </c>
      <c r="N209" t="s">
        <v>63</v>
      </c>
      <c r="O209" t="s">
        <v>41</v>
      </c>
      <c r="P209">
        <v>54</v>
      </c>
      <c r="Q209">
        <v>35</v>
      </c>
    </row>
    <row r="210" spans="1:17" x14ac:dyDescent="0.25">
      <c r="A210">
        <v>2018</v>
      </c>
      <c r="B210" t="s">
        <v>3</v>
      </c>
      <c r="C210">
        <v>879</v>
      </c>
      <c r="D210">
        <v>3060.1873809876852</v>
      </c>
      <c r="E210" t="s">
        <v>41</v>
      </c>
      <c r="F210">
        <v>7.09</v>
      </c>
      <c r="G210" t="s">
        <v>201</v>
      </c>
      <c r="H210">
        <v>41.23</v>
      </c>
      <c r="I210">
        <v>6.19</v>
      </c>
      <c r="J210">
        <v>77.91</v>
      </c>
      <c r="K210">
        <v>11.68</v>
      </c>
      <c r="L210">
        <v>2.38</v>
      </c>
      <c r="M210" t="s">
        <v>248</v>
      </c>
      <c r="N210" t="s">
        <v>59</v>
      </c>
      <c r="O210" t="s">
        <v>41</v>
      </c>
      <c r="P210">
        <v>64</v>
      </c>
      <c r="Q210">
        <v>52</v>
      </c>
    </row>
    <row r="211" spans="1:17" x14ac:dyDescent="0.25">
      <c r="A211">
        <v>2018</v>
      </c>
      <c r="B211" t="s">
        <v>7</v>
      </c>
      <c r="C211">
        <v>559</v>
      </c>
      <c r="D211">
        <v>666.37677936594571</v>
      </c>
      <c r="E211" t="s">
        <v>45</v>
      </c>
      <c r="F211">
        <v>4.7300000000000004</v>
      </c>
      <c r="G211" t="s">
        <v>201</v>
      </c>
      <c r="H211">
        <v>48.14</v>
      </c>
      <c r="I211">
        <v>59.44</v>
      </c>
      <c r="J211">
        <v>74.12</v>
      </c>
      <c r="K211">
        <v>27.37</v>
      </c>
      <c r="L211">
        <v>1.73</v>
      </c>
      <c r="M211" t="s">
        <v>249</v>
      </c>
      <c r="N211" t="s">
        <v>59</v>
      </c>
      <c r="O211" t="s">
        <v>41</v>
      </c>
      <c r="P211">
        <v>71</v>
      </c>
      <c r="Q211">
        <v>31</v>
      </c>
    </row>
    <row r="212" spans="1:17" x14ac:dyDescent="0.25">
      <c r="A212">
        <v>2018</v>
      </c>
      <c r="B212" t="s">
        <v>4</v>
      </c>
      <c r="C212">
        <v>625</v>
      </c>
      <c r="D212">
        <v>2078.9935179434442</v>
      </c>
      <c r="E212" t="s">
        <v>41</v>
      </c>
      <c r="F212">
        <v>7.03</v>
      </c>
      <c r="G212" t="s">
        <v>201</v>
      </c>
      <c r="H212">
        <v>35.380000000000003</v>
      </c>
      <c r="I212">
        <v>26.71</v>
      </c>
      <c r="J212">
        <v>43.92</v>
      </c>
      <c r="K212">
        <v>65.03</v>
      </c>
      <c r="L212">
        <v>1.66</v>
      </c>
      <c r="M212" t="s">
        <v>250</v>
      </c>
      <c r="N212" t="s">
        <v>59</v>
      </c>
      <c r="O212" t="s">
        <v>45</v>
      </c>
      <c r="P212">
        <v>42</v>
      </c>
      <c r="Q212">
        <v>41</v>
      </c>
    </row>
    <row r="213" spans="1:17" x14ac:dyDescent="0.25">
      <c r="A213">
        <v>2018</v>
      </c>
      <c r="B213" t="s">
        <v>1</v>
      </c>
      <c r="C213">
        <v>56</v>
      </c>
      <c r="D213">
        <v>41.48146034045557</v>
      </c>
      <c r="E213" t="s">
        <v>41</v>
      </c>
      <c r="F213">
        <v>9.09</v>
      </c>
      <c r="G213" t="s">
        <v>201</v>
      </c>
      <c r="H213">
        <v>25.38</v>
      </c>
      <c r="I213">
        <v>58.86</v>
      </c>
      <c r="J213">
        <v>67.47</v>
      </c>
      <c r="K213">
        <v>16.61</v>
      </c>
      <c r="L213">
        <v>1.61</v>
      </c>
      <c r="M213" t="s">
        <v>251</v>
      </c>
      <c r="N213" t="s">
        <v>63</v>
      </c>
      <c r="O213" t="s">
        <v>41</v>
      </c>
      <c r="P213">
        <v>48</v>
      </c>
      <c r="Q213">
        <v>44</v>
      </c>
    </row>
    <row r="214" spans="1:17" x14ac:dyDescent="0.25">
      <c r="A214">
        <v>2019</v>
      </c>
      <c r="B214" t="s">
        <v>10</v>
      </c>
      <c r="C214">
        <v>792</v>
      </c>
      <c r="D214">
        <v>1163.8025766405749</v>
      </c>
      <c r="E214" t="s">
        <v>45</v>
      </c>
      <c r="F214">
        <v>8.51</v>
      </c>
      <c r="G214" t="s">
        <v>201</v>
      </c>
      <c r="H214">
        <v>41.98</v>
      </c>
      <c r="I214">
        <v>5.8</v>
      </c>
      <c r="J214">
        <v>77.33</v>
      </c>
      <c r="K214">
        <v>43.34</v>
      </c>
      <c r="L214">
        <v>0.95</v>
      </c>
      <c r="M214" t="s">
        <v>252</v>
      </c>
      <c r="N214" t="s">
        <v>53</v>
      </c>
      <c r="O214" t="s">
        <v>41</v>
      </c>
      <c r="P214">
        <v>56</v>
      </c>
      <c r="Q214">
        <v>26</v>
      </c>
    </row>
    <row r="215" spans="1:17" x14ac:dyDescent="0.25">
      <c r="A215">
        <v>2019</v>
      </c>
      <c r="B215" t="s">
        <v>10</v>
      </c>
      <c r="C215">
        <v>2099</v>
      </c>
      <c r="D215">
        <v>1826.5243596337909</v>
      </c>
      <c r="E215" t="s">
        <v>45</v>
      </c>
      <c r="F215">
        <v>3.3</v>
      </c>
      <c r="G215" t="s">
        <v>201</v>
      </c>
      <c r="H215">
        <v>35.090000000000003</v>
      </c>
      <c r="I215">
        <v>16.43</v>
      </c>
      <c r="J215">
        <v>77.400000000000006</v>
      </c>
      <c r="K215">
        <v>10.61</v>
      </c>
      <c r="L215">
        <v>1.93</v>
      </c>
      <c r="M215" t="s">
        <v>253</v>
      </c>
      <c r="N215" t="s">
        <v>44</v>
      </c>
      <c r="O215" t="s">
        <v>45</v>
      </c>
      <c r="P215">
        <v>40</v>
      </c>
      <c r="Q215">
        <v>25</v>
      </c>
    </row>
    <row r="216" spans="1:17" x14ac:dyDescent="0.25">
      <c r="A216">
        <v>2019</v>
      </c>
      <c r="B216" t="s">
        <v>6</v>
      </c>
      <c r="C216">
        <v>1074</v>
      </c>
      <c r="D216">
        <v>2510.2465613501304</v>
      </c>
      <c r="E216" t="s">
        <v>41</v>
      </c>
      <c r="F216">
        <v>2.0499999999999998</v>
      </c>
      <c r="G216" t="s">
        <v>201</v>
      </c>
      <c r="H216">
        <v>64.59</v>
      </c>
      <c r="I216">
        <v>61.45</v>
      </c>
      <c r="J216">
        <v>92.41</v>
      </c>
      <c r="K216">
        <v>54.82</v>
      </c>
      <c r="L216">
        <v>0.4</v>
      </c>
      <c r="M216" t="s">
        <v>254</v>
      </c>
      <c r="N216" t="s">
        <v>59</v>
      </c>
      <c r="O216" t="s">
        <v>41</v>
      </c>
      <c r="P216">
        <v>78</v>
      </c>
      <c r="Q216">
        <v>26</v>
      </c>
    </row>
    <row r="217" spans="1:17" x14ac:dyDescent="0.25">
      <c r="A217">
        <v>2019</v>
      </c>
      <c r="B217" t="s">
        <v>9</v>
      </c>
      <c r="C217">
        <v>918</v>
      </c>
      <c r="D217">
        <v>2036.8812138571275</v>
      </c>
      <c r="E217" t="s">
        <v>41</v>
      </c>
      <c r="F217">
        <v>7.96</v>
      </c>
      <c r="G217" t="s">
        <v>201</v>
      </c>
      <c r="H217">
        <v>65.58</v>
      </c>
      <c r="I217">
        <v>39.53</v>
      </c>
      <c r="J217">
        <v>69.790000000000006</v>
      </c>
      <c r="K217">
        <v>61.67</v>
      </c>
      <c r="L217">
        <v>1.75</v>
      </c>
      <c r="M217" t="s">
        <v>255</v>
      </c>
      <c r="N217" t="s">
        <v>59</v>
      </c>
      <c r="O217" t="s">
        <v>45</v>
      </c>
      <c r="P217">
        <v>78</v>
      </c>
      <c r="Q217">
        <v>55</v>
      </c>
    </row>
    <row r="218" spans="1:17" x14ac:dyDescent="0.25">
      <c r="A218">
        <v>2019</v>
      </c>
      <c r="B218" t="s">
        <v>2</v>
      </c>
      <c r="C218">
        <v>1935</v>
      </c>
      <c r="D218">
        <v>3397.6064187361444</v>
      </c>
      <c r="E218" t="s">
        <v>45</v>
      </c>
      <c r="F218">
        <v>5.77</v>
      </c>
      <c r="G218" t="s">
        <v>201</v>
      </c>
      <c r="H218">
        <v>87.95</v>
      </c>
      <c r="I218">
        <v>23.94</v>
      </c>
      <c r="J218">
        <v>97.36</v>
      </c>
      <c r="K218">
        <v>59.56</v>
      </c>
      <c r="L218">
        <v>2.2599999999999998</v>
      </c>
      <c r="M218" t="s">
        <v>256</v>
      </c>
      <c r="N218" t="s">
        <v>50</v>
      </c>
      <c r="O218" t="s">
        <v>41</v>
      </c>
      <c r="P218">
        <v>41</v>
      </c>
      <c r="Q218">
        <v>42</v>
      </c>
    </row>
    <row r="219" spans="1:17" x14ac:dyDescent="0.25">
      <c r="A219">
        <v>2019</v>
      </c>
      <c r="B219" t="s">
        <v>2</v>
      </c>
      <c r="C219">
        <v>1801</v>
      </c>
      <c r="D219">
        <v>5260.5376362650122</v>
      </c>
      <c r="E219" t="s">
        <v>45</v>
      </c>
      <c r="F219">
        <v>8.07</v>
      </c>
      <c r="G219" t="s">
        <v>201</v>
      </c>
      <c r="H219">
        <v>86.97</v>
      </c>
      <c r="I219">
        <v>61.4</v>
      </c>
      <c r="J219">
        <v>96.39</v>
      </c>
      <c r="K219">
        <v>52.33</v>
      </c>
      <c r="L219">
        <v>0.65</v>
      </c>
      <c r="M219" t="s">
        <v>257</v>
      </c>
      <c r="N219" t="s">
        <v>44</v>
      </c>
      <c r="O219" t="s">
        <v>41</v>
      </c>
      <c r="P219">
        <v>56</v>
      </c>
      <c r="Q219">
        <v>58</v>
      </c>
    </row>
    <row r="220" spans="1:17" x14ac:dyDescent="0.25">
      <c r="A220">
        <v>2019</v>
      </c>
      <c r="B220" t="s">
        <v>8</v>
      </c>
      <c r="C220">
        <v>153</v>
      </c>
      <c r="D220">
        <v>398.31507783233747</v>
      </c>
      <c r="E220" t="s">
        <v>41</v>
      </c>
      <c r="F220">
        <v>9.59</v>
      </c>
      <c r="G220" t="s">
        <v>201</v>
      </c>
      <c r="H220">
        <v>63.98</v>
      </c>
      <c r="I220">
        <v>29.48</v>
      </c>
      <c r="J220">
        <v>98.63</v>
      </c>
      <c r="K220">
        <v>30.64</v>
      </c>
      <c r="L220">
        <v>0.43</v>
      </c>
      <c r="M220" t="s">
        <v>124</v>
      </c>
      <c r="N220" t="s">
        <v>57</v>
      </c>
      <c r="O220" t="s">
        <v>45</v>
      </c>
      <c r="P220">
        <v>49</v>
      </c>
      <c r="Q220">
        <v>20</v>
      </c>
    </row>
    <row r="221" spans="1:17" x14ac:dyDescent="0.25">
      <c r="A221">
        <v>2019</v>
      </c>
      <c r="B221" t="s">
        <v>3</v>
      </c>
      <c r="C221">
        <v>224</v>
      </c>
      <c r="D221">
        <v>363.43993758067563</v>
      </c>
      <c r="E221" t="s">
        <v>45</v>
      </c>
      <c r="F221">
        <v>8.7799999999999994</v>
      </c>
      <c r="G221" t="s">
        <v>201</v>
      </c>
      <c r="H221">
        <v>75.94</v>
      </c>
      <c r="I221">
        <v>17.66</v>
      </c>
      <c r="J221">
        <v>83</v>
      </c>
      <c r="K221">
        <v>49.69</v>
      </c>
      <c r="L221">
        <v>0.37</v>
      </c>
      <c r="M221" t="s">
        <v>248</v>
      </c>
      <c r="N221" t="s">
        <v>53</v>
      </c>
      <c r="O221" t="s">
        <v>41</v>
      </c>
      <c r="P221">
        <v>64</v>
      </c>
      <c r="Q221">
        <v>52</v>
      </c>
    </row>
    <row r="222" spans="1:17" x14ac:dyDescent="0.25">
      <c r="A222">
        <v>2019</v>
      </c>
      <c r="B222" t="s">
        <v>4</v>
      </c>
      <c r="C222">
        <v>2227</v>
      </c>
      <c r="D222">
        <v>7220.2917080802945</v>
      </c>
      <c r="E222" t="s">
        <v>45</v>
      </c>
      <c r="F222">
        <v>8.68</v>
      </c>
      <c r="G222" t="s">
        <v>201</v>
      </c>
      <c r="H222">
        <v>16.13</v>
      </c>
      <c r="I222">
        <v>27.66</v>
      </c>
      <c r="J222">
        <v>84.19</v>
      </c>
      <c r="K222">
        <v>17.579999999999998</v>
      </c>
      <c r="L222">
        <v>1.31</v>
      </c>
      <c r="M222" t="s">
        <v>258</v>
      </c>
      <c r="N222" t="s">
        <v>53</v>
      </c>
      <c r="O222" t="s">
        <v>41</v>
      </c>
      <c r="P222">
        <v>77</v>
      </c>
      <c r="Q222">
        <v>54</v>
      </c>
    </row>
    <row r="223" spans="1:17" x14ac:dyDescent="0.25">
      <c r="A223">
        <v>2019</v>
      </c>
      <c r="B223" t="s">
        <v>4</v>
      </c>
      <c r="C223">
        <v>1034</v>
      </c>
      <c r="D223">
        <v>1911.6467144258816</v>
      </c>
      <c r="E223" t="s">
        <v>45</v>
      </c>
      <c r="F223">
        <v>7.7</v>
      </c>
      <c r="G223" t="s">
        <v>201</v>
      </c>
      <c r="H223">
        <v>78.33</v>
      </c>
      <c r="I223">
        <v>24.17</v>
      </c>
      <c r="J223">
        <v>30.16</v>
      </c>
      <c r="K223">
        <v>25.3</v>
      </c>
      <c r="L223">
        <v>0.33</v>
      </c>
      <c r="M223" t="s">
        <v>259</v>
      </c>
      <c r="N223" t="s">
        <v>44</v>
      </c>
      <c r="O223" t="s">
        <v>41</v>
      </c>
      <c r="P223">
        <v>46</v>
      </c>
      <c r="Q223">
        <v>21</v>
      </c>
    </row>
    <row r="224" spans="1:17" x14ac:dyDescent="0.25">
      <c r="A224">
        <v>2019</v>
      </c>
      <c r="B224" t="s">
        <v>4</v>
      </c>
      <c r="C224">
        <v>1265</v>
      </c>
      <c r="D224">
        <v>1477.9107188176301</v>
      </c>
      <c r="E224" t="s">
        <v>45</v>
      </c>
      <c r="F224">
        <v>3.53</v>
      </c>
      <c r="G224" t="s">
        <v>201</v>
      </c>
      <c r="H224">
        <v>27.67</v>
      </c>
      <c r="I224">
        <v>7.53</v>
      </c>
      <c r="J224">
        <v>26.44</v>
      </c>
      <c r="K224">
        <v>63.65</v>
      </c>
      <c r="L224">
        <v>2.38</v>
      </c>
      <c r="M224" t="s">
        <v>260</v>
      </c>
      <c r="N224" t="s">
        <v>59</v>
      </c>
      <c r="O224" t="s">
        <v>41</v>
      </c>
      <c r="P224">
        <v>77</v>
      </c>
      <c r="Q224">
        <v>47</v>
      </c>
    </row>
    <row r="225" spans="1:17" x14ac:dyDescent="0.25">
      <c r="A225">
        <v>2019</v>
      </c>
      <c r="B225" t="s">
        <v>4</v>
      </c>
      <c r="C225">
        <v>824</v>
      </c>
      <c r="D225">
        <v>412.22120151667264</v>
      </c>
      <c r="E225" t="s">
        <v>41</v>
      </c>
      <c r="F225">
        <v>3.42</v>
      </c>
      <c r="G225" t="s">
        <v>201</v>
      </c>
      <c r="H225">
        <v>63.97</v>
      </c>
      <c r="I225">
        <v>40.98</v>
      </c>
      <c r="J225">
        <v>69.14</v>
      </c>
      <c r="K225">
        <v>65.25</v>
      </c>
      <c r="L225">
        <v>2.38</v>
      </c>
      <c r="M225" t="s">
        <v>261</v>
      </c>
      <c r="N225" t="s">
        <v>57</v>
      </c>
      <c r="O225" t="s">
        <v>45</v>
      </c>
      <c r="P225">
        <v>61</v>
      </c>
      <c r="Q225">
        <v>53</v>
      </c>
    </row>
    <row r="226" spans="1:17" x14ac:dyDescent="0.25">
      <c r="A226">
        <v>2019</v>
      </c>
      <c r="B226" t="s">
        <v>1</v>
      </c>
      <c r="C226">
        <v>2459</v>
      </c>
      <c r="D226">
        <v>3691.9647214262777</v>
      </c>
      <c r="E226" t="s">
        <v>41</v>
      </c>
      <c r="F226">
        <v>9.81</v>
      </c>
      <c r="G226" t="s">
        <v>201</v>
      </c>
      <c r="H226">
        <v>19.95</v>
      </c>
      <c r="I226">
        <v>42.25</v>
      </c>
      <c r="J226">
        <v>26.92</v>
      </c>
      <c r="K226">
        <v>24.03</v>
      </c>
      <c r="L226">
        <v>1.9</v>
      </c>
      <c r="M226" t="s">
        <v>145</v>
      </c>
      <c r="N226" t="s">
        <v>57</v>
      </c>
      <c r="O226" t="s">
        <v>45</v>
      </c>
      <c r="P226">
        <v>40</v>
      </c>
      <c r="Q226">
        <v>36</v>
      </c>
    </row>
    <row r="227" spans="1:17" x14ac:dyDescent="0.25">
      <c r="A227">
        <v>2019</v>
      </c>
      <c r="B227" t="s">
        <v>1</v>
      </c>
      <c r="C227">
        <v>2248</v>
      </c>
      <c r="D227">
        <v>5178.5398586470646</v>
      </c>
      <c r="E227" t="s">
        <v>41</v>
      </c>
      <c r="F227">
        <v>6.99</v>
      </c>
      <c r="G227" t="s">
        <v>201</v>
      </c>
      <c r="H227">
        <v>45.89</v>
      </c>
      <c r="I227">
        <v>18.260000000000002</v>
      </c>
      <c r="J227">
        <v>52.66</v>
      </c>
      <c r="K227">
        <v>54.04</v>
      </c>
      <c r="L227">
        <v>1.43</v>
      </c>
      <c r="M227" t="s">
        <v>262</v>
      </c>
      <c r="N227" t="s">
        <v>47</v>
      </c>
      <c r="O227" t="s">
        <v>45</v>
      </c>
      <c r="P227">
        <v>66</v>
      </c>
      <c r="Q227">
        <v>34</v>
      </c>
    </row>
    <row r="228" spans="1:17" x14ac:dyDescent="0.25">
      <c r="A228">
        <v>2020</v>
      </c>
      <c r="B228" t="s">
        <v>10</v>
      </c>
      <c r="C228">
        <v>1902</v>
      </c>
      <c r="D228">
        <v>6216.6319615587154</v>
      </c>
      <c r="E228" t="s">
        <v>41</v>
      </c>
      <c r="F228">
        <v>9.3699999999999992</v>
      </c>
      <c r="G228" t="s">
        <v>201</v>
      </c>
      <c r="H228">
        <v>30.47</v>
      </c>
      <c r="I228">
        <v>22.27</v>
      </c>
      <c r="J228">
        <v>54.67</v>
      </c>
      <c r="K228">
        <v>66.489999999999995</v>
      </c>
      <c r="L228">
        <v>1.06</v>
      </c>
      <c r="M228" t="s">
        <v>263</v>
      </c>
      <c r="N228" t="s">
        <v>57</v>
      </c>
      <c r="O228" t="s">
        <v>41</v>
      </c>
      <c r="P228">
        <v>44</v>
      </c>
      <c r="Q228">
        <v>48</v>
      </c>
    </row>
    <row r="229" spans="1:17" x14ac:dyDescent="0.25">
      <c r="A229">
        <v>2020</v>
      </c>
      <c r="B229" t="s">
        <v>6</v>
      </c>
      <c r="C229">
        <v>527</v>
      </c>
      <c r="D229">
        <v>600.63348075845613</v>
      </c>
      <c r="E229" t="s">
        <v>45</v>
      </c>
      <c r="F229">
        <v>9.26</v>
      </c>
      <c r="G229" t="s">
        <v>201</v>
      </c>
      <c r="H229">
        <v>30.58</v>
      </c>
      <c r="I229">
        <v>14.51</v>
      </c>
      <c r="J229">
        <v>30.75</v>
      </c>
      <c r="K229">
        <v>26.6</v>
      </c>
      <c r="L229">
        <v>1.44</v>
      </c>
      <c r="M229" t="s">
        <v>264</v>
      </c>
      <c r="N229" t="s">
        <v>47</v>
      </c>
      <c r="O229" t="s">
        <v>41</v>
      </c>
      <c r="P229">
        <v>50</v>
      </c>
      <c r="Q229">
        <v>47</v>
      </c>
    </row>
    <row r="230" spans="1:17" x14ac:dyDescent="0.25">
      <c r="A230">
        <v>2020</v>
      </c>
      <c r="B230" t="s">
        <v>9</v>
      </c>
      <c r="C230">
        <v>2466</v>
      </c>
      <c r="D230">
        <v>1829.9102162549357</v>
      </c>
      <c r="E230" t="s">
        <v>41</v>
      </c>
      <c r="F230">
        <v>6.19</v>
      </c>
      <c r="G230" t="s">
        <v>201</v>
      </c>
      <c r="H230">
        <v>92.11</v>
      </c>
      <c r="I230">
        <v>49.21</v>
      </c>
      <c r="J230">
        <v>80.59</v>
      </c>
      <c r="K230">
        <v>26.44</v>
      </c>
      <c r="L230">
        <v>0.47</v>
      </c>
      <c r="M230" t="s">
        <v>265</v>
      </c>
      <c r="N230" t="s">
        <v>53</v>
      </c>
      <c r="O230" t="s">
        <v>45</v>
      </c>
      <c r="P230">
        <v>76</v>
      </c>
      <c r="Q230">
        <v>22</v>
      </c>
    </row>
    <row r="231" spans="1:17" x14ac:dyDescent="0.25">
      <c r="A231">
        <v>2020</v>
      </c>
      <c r="B231" t="s">
        <v>9</v>
      </c>
      <c r="C231">
        <v>2405</v>
      </c>
      <c r="D231">
        <v>2199.475084898354</v>
      </c>
      <c r="E231" t="s">
        <v>45</v>
      </c>
      <c r="F231">
        <v>3.01</v>
      </c>
      <c r="G231" t="s">
        <v>201</v>
      </c>
      <c r="H231">
        <v>38.630000000000003</v>
      </c>
      <c r="I231">
        <v>9.2200000000000006</v>
      </c>
      <c r="J231">
        <v>77.34</v>
      </c>
      <c r="K231">
        <v>61.71</v>
      </c>
      <c r="L231">
        <v>1.1299999999999999</v>
      </c>
      <c r="M231" t="s">
        <v>266</v>
      </c>
      <c r="N231" t="s">
        <v>57</v>
      </c>
      <c r="O231" t="s">
        <v>45</v>
      </c>
      <c r="P231">
        <v>58</v>
      </c>
      <c r="Q231">
        <v>51</v>
      </c>
    </row>
    <row r="232" spans="1:17" x14ac:dyDescent="0.25">
      <c r="A232">
        <v>2020</v>
      </c>
      <c r="B232" t="s">
        <v>2</v>
      </c>
      <c r="C232">
        <v>2051</v>
      </c>
      <c r="D232">
        <v>2630.4232333533764</v>
      </c>
      <c r="E232" t="s">
        <v>41</v>
      </c>
      <c r="F232">
        <v>9.7200000000000006</v>
      </c>
      <c r="G232" t="s">
        <v>201</v>
      </c>
      <c r="H232">
        <v>85.37</v>
      </c>
      <c r="I232">
        <v>2.33</v>
      </c>
      <c r="J232">
        <v>28.86</v>
      </c>
      <c r="K232">
        <v>5.31</v>
      </c>
      <c r="L232">
        <v>1.49</v>
      </c>
      <c r="M232" t="s">
        <v>267</v>
      </c>
      <c r="N232" t="s">
        <v>53</v>
      </c>
      <c r="O232" t="s">
        <v>41</v>
      </c>
      <c r="P232">
        <v>61</v>
      </c>
      <c r="Q232">
        <v>26</v>
      </c>
    </row>
    <row r="233" spans="1:17" x14ac:dyDescent="0.25">
      <c r="A233">
        <v>2020</v>
      </c>
      <c r="B233" t="s">
        <v>2</v>
      </c>
      <c r="C233">
        <v>74</v>
      </c>
      <c r="D233">
        <v>220.68117780740468</v>
      </c>
      <c r="E233" t="s">
        <v>45</v>
      </c>
      <c r="F233">
        <v>4.05</v>
      </c>
      <c r="G233" t="s">
        <v>201</v>
      </c>
      <c r="H233">
        <v>16.3</v>
      </c>
      <c r="I233">
        <v>17.13</v>
      </c>
      <c r="J233">
        <v>77.5</v>
      </c>
      <c r="K233">
        <v>6.51</v>
      </c>
      <c r="L233">
        <v>0.32</v>
      </c>
      <c r="M233" t="s">
        <v>196</v>
      </c>
      <c r="N233" t="s">
        <v>57</v>
      </c>
      <c r="O233" t="s">
        <v>41</v>
      </c>
      <c r="P233">
        <v>71</v>
      </c>
      <c r="Q233">
        <v>20</v>
      </c>
    </row>
    <row r="234" spans="1:17" x14ac:dyDescent="0.25">
      <c r="A234">
        <v>2020</v>
      </c>
      <c r="B234" t="s">
        <v>5</v>
      </c>
      <c r="C234">
        <v>1234</v>
      </c>
      <c r="D234">
        <v>4075.9201004741358</v>
      </c>
      <c r="E234" t="s">
        <v>45</v>
      </c>
      <c r="F234">
        <v>5.26</v>
      </c>
      <c r="G234" t="s">
        <v>201</v>
      </c>
      <c r="H234">
        <v>81.069999999999993</v>
      </c>
      <c r="I234">
        <v>9.31</v>
      </c>
      <c r="J234">
        <v>26.61</v>
      </c>
      <c r="K234">
        <v>25.32</v>
      </c>
      <c r="L234">
        <v>1.53</v>
      </c>
      <c r="M234" t="s">
        <v>268</v>
      </c>
      <c r="N234" t="s">
        <v>47</v>
      </c>
      <c r="O234" t="s">
        <v>41</v>
      </c>
      <c r="P234">
        <v>40</v>
      </c>
      <c r="Q234">
        <v>21</v>
      </c>
    </row>
    <row r="235" spans="1:17" x14ac:dyDescent="0.25">
      <c r="A235">
        <v>2020</v>
      </c>
      <c r="B235" t="s">
        <v>8</v>
      </c>
      <c r="C235">
        <v>68</v>
      </c>
      <c r="D235">
        <v>216.24554656048775</v>
      </c>
      <c r="E235" t="s">
        <v>41</v>
      </c>
      <c r="F235">
        <v>8.77</v>
      </c>
      <c r="G235" t="s">
        <v>201</v>
      </c>
      <c r="H235">
        <v>47.63</v>
      </c>
      <c r="I235">
        <v>59.86</v>
      </c>
      <c r="J235">
        <v>53.62</v>
      </c>
      <c r="K235">
        <v>35.25</v>
      </c>
      <c r="L235">
        <v>0.23</v>
      </c>
      <c r="M235" t="s">
        <v>269</v>
      </c>
      <c r="N235" t="s">
        <v>53</v>
      </c>
      <c r="O235" t="s">
        <v>41</v>
      </c>
      <c r="P235">
        <v>57</v>
      </c>
      <c r="Q235">
        <v>40</v>
      </c>
    </row>
    <row r="236" spans="1:17" x14ac:dyDescent="0.25">
      <c r="A236">
        <v>2020</v>
      </c>
      <c r="B236" t="s">
        <v>3</v>
      </c>
      <c r="C236">
        <v>2149</v>
      </c>
      <c r="D236">
        <v>4428.2083597098181</v>
      </c>
      <c r="E236" t="s">
        <v>45</v>
      </c>
      <c r="F236">
        <v>2.16</v>
      </c>
      <c r="G236" t="s">
        <v>201</v>
      </c>
      <c r="H236">
        <v>39.24</v>
      </c>
      <c r="I236">
        <v>5.34</v>
      </c>
      <c r="J236">
        <v>67.98</v>
      </c>
      <c r="K236">
        <v>60.98</v>
      </c>
      <c r="L236">
        <v>1.5</v>
      </c>
      <c r="M236" t="s">
        <v>270</v>
      </c>
      <c r="N236" t="s">
        <v>57</v>
      </c>
      <c r="O236" t="s">
        <v>41</v>
      </c>
      <c r="P236">
        <v>55</v>
      </c>
      <c r="Q236">
        <v>51</v>
      </c>
    </row>
    <row r="237" spans="1:17" x14ac:dyDescent="0.25">
      <c r="A237">
        <v>2020</v>
      </c>
      <c r="B237" t="s">
        <v>3</v>
      </c>
      <c r="C237">
        <v>982</v>
      </c>
      <c r="D237">
        <v>1049.1274950089985</v>
      </c>
      <c r="E237" t="s">
        <v>45</v>
      </c>
      <c r="F237">
        <v>3.17</v>
      </c>
      <c r="G237" t="s">
        <v>201</v>
      </c>
      <c r="H237">
        <v>71.02</v>
      </c>
      <c r="I237">
        <v>10.23</v>
      </c>
      <c r="J237">
        <v>82.91</v>
      </c>
      <c r="K237">
        <v>8.51</v>
      </c>
      <c r="L237">
        <v>2.04</v>
      </c>
      <c r="M237" t="s">
        <v>271</v>
      </c>
      <c r="N237" t="s">
        <v>59</v>
      </c>
      <c r="O237" t="s">
        <v>45</v>
      </c>
      <c r="P237">
        <v>63</v>
      </c>
      <c r="Q237">
        <v>23</v>
      </c>
    </row>
    <row r="238" spans="1:17" x14ac:dyDescent="0.25">
      <c r="A238">
        <v>2020</v>
      </c>
      <c r="B238" t="s">
        <v>7</v>
      </c>
      <c r="C238">
        <v>575</v>
      </c>
      <c r="D238">
        <v>1067.940171344997</v>
      </c>
      <c r="E238" t="s">
        <v>45</v>
      </c>
      <c r="F238">
        <v>7.99</v>
      </c>
      <c r="G238" t="s">
        <v>201</v>
      </c>
      <c r="H238">
        <v>59.79</v>
      </c>
      <c r="I238">
        <v>63.48</v>
      </c>
      <c r="J238">
        <v>56.34</v>
      </c>
      <c r="K238">
        <v>26.99</v>
      </c>
      <c r="L238">
        <v>1.92</v>
      </c>
      <c r="M238" t="s">
        <v>272</v>
      </c>
      <c r="N238" t="s">
        <v>50</v>
      </c>
      <c r="O238" t="s">
        <v>45</v>
      </c>
      <c r="P238">
        <v>47</v>
      </c>
      <c r="Q238">
        <v>36</v>
      </c>
    </row>
    <row r="239" spans="1:17" x14ac:dyDescent="0.25">
      <c r="A239">
        <v>2020</v>
      </c>
      <c r="B239" t="s">
        <v>1</v>
      </c>
      <c r="C239">
        <v>998</v>
      </c>
      <c r="D239">
        <v>1724.3767966187847</v>
      </c>
      <c r="E239" t="s">
        <v>45</v>
      </c>
      <c r="F239">
        <v>8.94</v>
      </c>
      <c r="G239" t="s">
        <v>201</v>
      </c>
      <c r="H239">
        <v>50.86</v>
      </c>
      <c r="I239">
        <v>55.93</v>
      </c>
      <c r="J239">
        <v>86.5</v>
      </c>
      <c r="K239">
        <v>66.72</v>
      </c>
      <c r="L239">
        <v>2.48</v>
      </c>
      <c r="M239" t="s">
        <v>273</v>
      </c>
      <c r="N239" t="s">
        <v>53</v>
      </c>
      <c r="O239" t="s">
        <v>41</v>
      </c>
      <c r="P239">
        <v>71</v>
      </c>
      <c r="Q239">
        <v>22</v>
      </c>
    </row>
    <row r="240" spans="1:17" x14ac:dyDescent="0.25">
      <c r="A240">
        <v>2021</v>
      </c>
      <c r="B240" t="s">
        <v>10</v>
      </c>
      <c r="C240">
        <v>368</v>
      </c>
      <c r="D240">
        <v>581.94065057872365</v>
      </c>
      <c r="E240" t="s">
        <v>45</v>
      </c>
      <c r="F240">
        <v>6.49</v>
      </c>
      <c r="G240" t="s">
        <v>201</v>
      </c>
      <c r="H240">
        <v>59.14</v>
      </c>
      <c r="I240">
        <v>13.1</v>
      </c>
      <c r="J240">
        <v>38.049999999999997</v>
      </c>
      <c r="K240">
        <v>56.9</v>
      </c>
      <c r="L240">
        <v>0.76</v>
      </c>
      <c r="M240" t="s">
        <v>274</v>
      </c>
      <c r="N240" t="s">
        <v>57</v>
      </c>
      <c r="O240" t="s">
        <v>45</v>
      </c>
      <c r="P240">
        <v>52</v>
      </c>
      <c r="Q240">
        <v>26</v>
      </c>
    </row>
    <row r="241" spans="1:17" x14ac:dyDescent="0.25">
      <c r="A241">
        <v>2021</v>
      </c>
      <c r="B241" t="s">
        <v>6</v>
      </c>
      <c r="C241">
        <v>440</v>
      </c>
      <c r="D241">
        <v>1453.6312479546766</v>
      </c>
      <c r="E241" t="s">
        <v>41</v>
      </c>
      <c r="F241">
        <v>8.4499999999999993</v>
      </c>
      <c r="G241" t="s">
        <v>201</v>
      </c>
      <c r="H241">
        <v>55.92</v>
      </c>
      <c r="I241">
        <v>21.8</v>
      </c>
      <c r="J241">
        <v>43.9</v>
      </c>
      <c r="K241">
        <v>66.260000000000005</v>
      </c>
      <c r="L241">
        <v>2.34</v>
      </c>
      <c r="M241" t="s">
        <v>275</v>
      </c>
      <c r="N241" t="s">
        <v>44</v>
      </c>
      <c r="O241" t="s">
        <v>45</v>
      </c>
      <c r="P241">
        <v>70</v>
      </c>
      <c r="Q241">
        <v>22</v>
      </c>
    </row>
    <row r="242" spans="1:17" x14ac:dyDescent="0.25">
      <c r="A242">
        <v>2021</v>
      </c>
      <c r="B242" t="s">
        <v>9</v>
      </c>
      <c r="C242">
        <v>1500</v>
      </c>
      <c r="D242">
        <v>4206.0135411357387</v>
      </c>
      <c r="E242" t="s">
        <v>41</v>
      </c>
      <c r="F242">
        <v>9.36</v>
      </c>
      <c r="G242" t="s">
        <v>201</v>
      </c>
      <c r="H242">
        <v>81.89</v>
      </c>
      <c r="I242">
        <v>25.08</v>
      </c>
      <c r="J242">
        <v>82.11</v>
      </c>
      <c r="K242">
        <v>51.71</v>
      </c>
      <c r="L242">
        <v>2.46</v>
      </c>
      <c r="M242" t="s">
        <v>276</v>
      </c>
      <c r="N242" t="s">
        <v>57</v>
      </c>
      <c r="O242" t="s">
        <v>45</v>
      </c>
      <c r="P242">
        <v>56</v>
      </c>
      <c r="Q242">
        <v>55</v>
      </c>
    </row>
    <row r="243" spans="1:17" x14ac:dyDescent="0.25">
      <c r="A243">
        <v>2021</v>
      </c>
      <c r="B243" t="s">
        <v>8</v>
      </c>
      <c r="C243">
        <v>2019</v>
      </c>
      <c r="D243">
        <v>4298.7794262417356</v>
      </c>
      <c r="E243" t="s">
        <v>45</v>
      </c>
      <c r="F243">
        <v>3.95</v>
      </c>
      <c r="G243" t="s">
        <v>201</v>
      </c>
      <c r="H243">
        <v>47.65</v>
      </c>
      <c r="I243">
        <v>7.19</v>
      </c>
      <c r="J243">
        <v>58.07</v>
      </c>
      <c r="K243">
        <v>7.24</v>
      </c>
      <c r="L243">
        <v>2.19</v>
      </c>
      <c r="M243" t="s">
        <v>277</v>
      </c>
      <c r="N243" t="s">
        <v>57</v>
      </c>
      <c r="O243" t="s">
        <v>45</v>
      </c>
      <c r="P243">
        <v>69</v>
      </c>
      <c r="Q243">
        <v>48</v>
      </c>
    </row>
    <row r="244" spans="1:17" x14ac:dyDescent="0.25">
      <c r="A244">
        <v>2021</v>
      </c>
      <c r="B244" t="s">
        <v>3</v>
      </c>
      <c r="C244">
        <v>2417</v>
      </c>
      <c r="D244">
        <v>6271.3337489599826</v>
      </c>
      <c r="E244" t="s">
        <v>41</v>
      </c>
      <c r="F244">
        <v>7.24</v>
      </c>
      <c r="G244" t="s">
        <v>201</v>
      </c>
      <c r="H244">
        <v>80.52</v>
      </c>
      <c r="I244">
        <v>55.27</v>
      </c>
      <c r="J244">
        <v>67.27</v>
      </c>
      <c r="K244">
        <v>24.02</v>
      </c>
      <c r="L244">
        <v>0.24</v>
      </c>
      <c r="M244" t="s">
        <v>278</v>
      </c>
      <c r="N244" t="s">
        <v>44</v>
      </c>
      <c r="O244" t="s">
        <v>41</v>
      </c>
      <c r="P244">
        <v>45</v>
      </c>
      <c r="Q244">
        <v>24</v>
      </c>
    </row>
    <row r="245" spans="1:17" x14ac:dyDescent="0.25">
      <c r="A245">
        <v>2021</v>
      </c>
      <c r="B245" t="s">
        <v>3</v>
      </c>
      <c r="C245">
        <v>1343</v>
      </c>
      <c r="D245">
        <v>4475.5284423279309</v>
      </c>
      <c r="E245" t="s">
        <v>41</v>
      </c>
      <c r="F245">
        <v>8.3699999999999992</v>
      </c>
      <c r="G245" t="s">
        <v>201</v>
      </c>
      <c r="H245">
        <v>58.56</v>
      </c>
      <c r="I245">
        <v>42.34</v>
      </c>
      <c r="J245">
        <v>98.7</v>
      </c>
      <c r="K245">
        <v>13.47</v>
      </c>
      <c r="L245">
        <v>0.68</v>
      </c>
      <c r="M245" t="s">
        <v>279</v>
      </c>
      <c r="N245" t="s">
        <v>50</v>
      </c>
      <c r="O245" t="s">
        <v>41</v>
      </c>
      <c r="P245">
        <v>57</v>
      </c>
      <c r="Q245">
        <v>57</v>
      </c>
    </row>
    <row r="246" spans="1:17" x14ac:dyDescent="0.25">
      <c r="A246">
        <v>2021</v>
      </c>
      <c r="B246" t="s">
        <v>7</v>
      </c>
      <c r="C246">
        <v>1283</v>
      </c>
      <c r="D246">
        <v>1319.5089609536267</v>
      </c>
      <c r="E246" t="s">
        <v>41</v>
      </c>
      <c r="F246">
        <v>6.21</v>
      </c>
      <c r="G246" t="s">
        <v>201</v>
      </c>
      <c r="H246">
        <v>41.15</v>
      </c>
      <c r="I246">
        <v>68.459999999999994</v>
      </c>
      <c r="J246">
        <v>82.29</v>
      </c>
      <c r="K246">
        <v>15.21</v>
      </c>
      <c r="L246">
        <v>1.06</v>
      </c>
      <c r="M246" t="s">
        <v>280</v>
      </c>
      <c r="N246" t="s">
        <v>47</v>
      </c>
      <c r="O246" t="s">
        <v>41</v>
      </c>
      <c r="P246">
        <v>51</v>
      </c>
      <c r="Q246">
        <v>20</v>
      </c>
    </row>
    <row r="247" spans="1:17" x14ac:dyDescent="0.25">
      <c r="A247">
        <v>2021</v>
      </c>
      <c r="B247" t="s">
        <v>1</v>
      </c>
      <c r="C247">
        <v>602</v>
      </c>
      <c r="D247">
        <v>688.43450201249493</v>
      </c>
      <c r="E247" t="s">
        <v>41</v>
      </c>
      <c r="F247">
        <v>9.91</v>
      </c>
      <c r="G247" t="s">
        <v>201</v>
      </c>
      <c r="H247">
        <v>35.69</v>
      </c>
      <c r="I247">
        <v>26.32</v>
      </c>
      <c r="J247">
        <v>76.36</v>
      </c>
      <c r="K247">
        <v>14.68</v>
      </c>
      <c r="L247">
        <v>2.25</v>
      </c>
      <c r="M247" t="s">
        <v>281</v>
      </c>
      <c r="N247" t="s">
        <v>59</v>
      </c>
      <c r="O247" t="s">
        <v>45</v>
      </c>
      <c r="P247">
        <v>65</v>
      </c>
      <c r="Q247">
        <v>35</v>
      </c>
    </row>
    <row r="248" spans="1:17" x14ac:dyDescent="0.25">
      <c r="A248">
        <v>2021</v>
      </c>
      <c r="B248" t="s">
        <v>1</v>
      </c>
      <c r="C248">
        <v>1116</v>
      </c>
      <c r="D248">
        <v>3204.3252081864471</v>
      </c>
      <c r="E248" t="s">
        <v>41</v>
      </c>
      <c r="F248">
        <v>9.3699999999999992</v>
      </c>
      <c r="G248" t="s">
        <v>201</v>
      </c>
      <c r="H248">
        <v>28.98</v>
      </c>
      <c r="I248">
        <v>43.56</v>
      </c>
      <c r="J248">
        <v>93.52</v>
      </c>
      <c r="K248">
        <v>36.130000000000003</v>
      </c>
      <c r="L248">
        <v>1.5</v>
      </c>
      <c r="M248" t="s">
        <v>282</v>
      </c>
      <c r="N248" t="s">
        <v>59</v>
      </c>
      <c r="O248" t="s">
        <v>41</v>
      </c>
      <c r="P248">
        <v>58</v>
      </c>
      <c r="Q248">
        <v>32</v>
      </c>
    </row>
    <row r="249" spans="1:17" x14ac:dyDescent="0.25">
      <c r="A249">
        <v>2022</v>
      </c>
      <c r="B249" t="s">
        <v>10</v>
      </c>
      <c r="C249">
        <v>2056</v>
      </c>
      <c r="D249">
        <v>2453.2258094738813</v>
      </c>
      <c r="E249" t="s">
        <v>41</v>
      </c>
      <c r="F249">
        <v>3.71</v>
      </c>
      <c r="G249" t="s">
        <v>201</v>
      </c>
      <c r="H249">
        <v>45.53</v>
      </c>
      <c r="I249">
        <v>27.67</v>
      </c>
      <c r="J249">
        <v>56.04</v>
      </c>
      <c r="K249">
        <v>44.4</v>
      </c>
      <c r="L249">
        <v>1.95</v>
      </c>
      <c r="M249" t="s">
        <v>283</v>
      </c>
      <c r="N249" t="s">
        <v>53</v>
      </c>
      <c r="O249" t="s">
        <v>41</v>
      </c>
      <c r="P249">
        <v>41</v>
      </c>
      <c r="Q249">
        <v>32</v>
      </c>
    </row>
    <row r="250" spans="1:17" x14ac:dyDescent="0.25">
      <c r="A250">
        <v>2022</v>
      </c>
      <c r="B250" t="s">
        <v>9</v>
      </c>
      <c r="C250">
        <v>695</v>
      </c>
      <c r="D250">
        <v>1022.0134577292098</v>
      </c>
      <c r="E250" t="s">
        <v>45</v>
      </c>
      <c r="F250">
        <v>6.79</v>
      </c>
      <c r="G250" t="s">
        <v>201</v>
      </c>
      <c r="H250">
        <v>73.239999999999995</v>
      </c>
      <c r="I250">
        <v>63.32</v>
      </c>
      <c r="J250">
        <v>37.25</v>
      </c>
      <c r="K250">
        <v>37.82</v>
      </c>
      <c r="L250">
        <v>1.0900000000000001</v>
      </c>
      <c r="M250" t="s">
        <v>284</v>
      </c>
      <c r="N250" t="s">
        <v>53</v>
      </c>
      <c r="O250" t="s">
        <v>41</v>
      </c>
      <c r="P250">
        <v>46</v>
      </c>
      <c r="Q250">
        <v>52</v>
      </c>
    </row>
    <row r="251" spans="1:17" x14ac:dyDescent="0.25">
      <c r="A251">
        <v>2022</v>
      </c>
      <c r="B251" t="s">
        <v>2</v>
      </c>
      <c r="C251">
        <v>822</v>
      </c>
      <c r="D251">
        <v>2437.5843541948675</v>
      </c>
      <c r="E251" t="s">
        <v>41</v>
      </c>
      <c r="F251">
        <v>2.35</v>
      </c>
      <c r="G251" t="s">
        <v>201</v>
      </c>
      <c r="H251">
        <v>80.819999999999993</v>
      </c>
      <c r="I251">
        <v>25.66</v>
      </c>
      <c r="J251">
        <v>97.19</v>
      </c>
      <c r="K251">
        <v>12.6</v>
      </c>
      <c r="L251">
        <v>0.52</v>
      </c>
      <c r="M251" t="s">
        <v>285</v>
      </c>
      <c r="N251" t="s">
        <v>50</v>
      </c>
      <c r="O251" t="s">
        <v>45</v>
      </c>
      <c r="P251">
        <v>68</v>
      </c>
      <c r="Q251">
        <v>52</v>
      </c>
    </row>
    <row r="252" spans="1:17" x14ac:dyDescent="0.25">
      <c r="A252">
        <v>2022</v>
      </c>
      <c r="B252" t="s">
        <v>2</v>
      </c>
      <c r="C252">
        <v>517</v>
      </c>
      <c r="D252">
        <v>604.36445165542716</v>
      </c>
      <c r="E252" t="s">
        <v>41</v>
      </c>
      <c r="F252">
        <v>9.16</v>
      </c>
      <c r="G252" t="s">
        <v>201</v>
      </c>
      <c r="H252">
        <v>79.28</v>
      </c>
      <c r="I252">
        <v>51.29</v>
      </c>
      <c r="J252">
        <v>43.6</v>
      </c>
      <c r="K252">
        <v>17.5</v>
      </c>
      <c r="L252">
        <v>1.39</v>
      </c>
      <c r="M252" t="s">
        <v>178</v>
      </c>
      <c r="N252" t="s">
        <v>50</v>
      </c>
      <c r="O252" t="s">
        <v>45</v>
      </c>
      <c r="P252">
        <v>54</v>
      </c>
      <c r="Q252">
        <v>52</v>
      </c>
    </row>
    <row r="253" spans="1:17" x14ac:dyDescent="0.25">
      <c r="A253">
        <v>2022</v>
      </c>
      <c r="B253" t="s">
        <v>2</v>
      </c>
      <c r="C253">
        <v>2354</v>
      </c>
      <c r="D253">
        <v>3477.3344071978822</v>
      </c>
      <c r="E253" t="s">
        <v>45</v>
      </c>
      <c r="F253">
        <v>9.59</v>
      </c>
      <c r="G253" t="s">
        <v>201</v>
      </c>
      <c r="H253">
        <v>78.819999999999993</v>
      </c>
      <c r="I253">
        <v>18.690000000000001</v>
      </c>
      <c r="J253">
        <v>79.260000000000005</v>
      </c>
      <c r="K253">
        <v>40.75</v>
      </c>
      <c r="L253">
        <v>0.45</v>
      </c>
      <c r="M253" t="s">
        <v>286</v>
      </c>
      <c r="N253" t="s">
        <v>44</v>
      </c>
      <c r="O253" t="s">
        <v>41</v>
      </c>
      <c r="P253">
        <v>46</v>
      </c>
      <c r="Q253">
        <v>60</v>
      </c>
    </row>
    <row r="254" spans="1:17" x14ac:dyDescent="0.25">
      <c r="A254">
        <v>2022</v>
      </c>
      <c r="B254" t="s">
        <v>5</v>
      </c>
      <c r="C254">
        <v>423</v>
      </c>
      <c r="D254">
        <v>755.05947616780998</v>
      </c>
      <c r="E254" t="s">
        <v>41</v>
      </c>
      <c r="F254">
        <v>9.01</v>
      </c>
      <c r="G254" t="s">
        <v>201</v>
      </c>
      <c r="H254">
        <v>39.72</v>
      </c>
      <c r="I254">
        <v>46.35</v>
      </c>
      <c r="J254">
        <v>45</v>
      </c>
      <c r="K254">
        <v>54.89</v>
      </c>
      <c r="L254">
        <v>1.87</v>
      </c>
      <c r="M254" t="s">
        <v>287</v>
      </c>
      <c r="N254" t="s">
        <v>53</v>
      </c>
      <c r="O254" t="s">
        <v>41</v>
      </c>
      <c r="P254">
        <v>76</v>
      </c>
      <c r="Q254">
        <v>45</v>
      </c>
    </row>
    <row r="255" spans="1:17" x14ac:dyDescent="0.25">
      <c r="A255">
        <v>2022</v>
      </c>
      <c r="B255" t="s">
        <v>5</v>
      </c>
      <c r="C255">
        <v>1001</v>
      </c>
      <c r="D255">
        <v>3376.1148231992815</v>
      </c>
      <c r="E255" t="s">
        <v>45</v>
      </c>
      <c r="F255">
        <v>2.17</v>
      </c>
      <c r="G255" t="s">
        <v>201</v>
      </c>
      <c r="H255">
        <v>18.91</v>
      </c>
      <c r="I255">
        <v>31.03</v>
      </c>
      <c r="J255">
        <v>59.39</v>
      </c>
      <c r="K255">
        <v>43.92</v>
      </c>
      <c r="L255">
        <v>1.34</v>
      </c>
      <c r="M255" t="s">
        <v>288</v>
      </c>
      <c r="N255" t="s">
        <v>59</v>
      </c>
      <c r="O255" t="s">
        <v>45</v>
      </c>
      <c r="P255">
        <v>62</v>
      </c>
      <c r="Q255">
        <v>22</v>
      </c>
    </row>
    <row r="256" spans="1:17" x14ac:dyDescent="0.25">
      <c r="A256">
        <v>2022</v>
      </c>
      <c r="B256" t="s">
        <v>8</v>
      </c>
      <c r="C256">
        <v>2140</v>
      </c>
      <c r="D256">
        <v>7444.159989835357</v>
      </c>
      <c r="E256" t="s">
        <v>45</v>
      </c>
      <c r="F256">
        <v>4.08</v>
      </c>
      <c r="G256" t="s">
        <v>201</v>
      </c>
      <c r="H256">
        <v>38.72</v>
      </c>
      <c r="I256">
        <v>38.549999999999997</v>
      </c>
      <c r="J256">
        <v>80.930000000000007</v>
      </c>
      <c r="K256">
        <v>25.97</v>
      </c>
      <c r="L256">
        <v>1.02</v>
      </c>
      <c r="M256" t="s">
        <v>289</v>
      </c>
      <c r="N256" t="s">
        <v>47</v>
      </c>
      <c r="O256" t="s">
        <v>45</v>
      </c>
      <c r="P256">
        <v>68</v>
      </c>
      <c r="Q256">
        <v>48</v>
      </c>
    </row>
    <row r="257" spans="1:17" x14ac:dyDescent="0.25">
      <c r="A257">
        <v>2022</v>
      </c>
      <c r="B257" t="s">
        <v>7</v>
      </c>
      <c r="C257">
        <v>1405</v>
      </c>
      <c r="D257">
        <v>839.45584681556613</v>
      </c>
      <c r="E257" t="s">
        <v>45</v>
      </c>
      <c r="F257">
        <v>8.27</v>
      </c>
      <c r="G257" t="s">
        <v>201</v>
      </c>
      <c r="H257">
        <v>47.31</v>
      </c>
      <c r="I257">
        <v>4.47</v>
      </c>
      <c r="J257">
        <v>44</v>
      </c>
      <c r="K257">
        <v>13.37</v>
      </c>
      <c r="L257">
        <v>1.5</v>
      </c>
      <c r="M257" t="s">
        <v>290</v>
      </c>
      <c r="N257" t="s">
        <v>44</v>
      </c>
      <c r="O257" t="s">
        <v>45</v>
      </c>
      <c r="P257">
        <v>67</v>
      </c>
      <c r="Q257">
        <v>50</v>
      </c>
    </row>
    <row r="258" spans="1:17" x14ac:dyDescent="0.25">
      <c r="A258">
        <v>2022</v>
      </c>
      <c r="B258" t="s">
        <v>4</v>
      </c>
      <c r="C258">
        <v>1576</v>
      </c>
      <c r="D258">
        <v>974.57922573222527</v>
      </c>
      <c r="E258" t="s">
        <v>41</v>
      </c>
      <c r="F258">
        <v>8.52</v>
      </c>
      <c r="G258" t="s">
        <v>201</v>
      </c>
      <c r="H258">
        <v>44.92</v>
      </c>
      <c r="I258">
        <v>30.74</v>
      </c>
      <c r="J258">
        <v>65.62</v>
      </c>
      <c r="K258">
        <v>66.62</v>
      </c>
      <c r="L258">
        <v>0.62</v>
      </c>
      <c r="M258" t="s">
        <v>238</v>
      </c>
      <c r="N258" t="s">
        <v>50</v>
      </c>
      <c r="O258" t="s">
        <v>41</v>
      </c>
      <c r="P258">
        <v>75</v>
      </c>
      <c r="Q258">
        <v>53</v>
      </c>
    </row>
    <row r="259" spans="1:17" x14ac:dyDescent="0.25">
      <c r="A259">
        <v>2022</v>
      </c>
      <c r="B259" t="s">
        <v>4</v>
      </c>
      <c r="C259">
        <v>447</v>
      </c>
      <c r="D259">
        <v>793.03735030548887</v>
      </c>
      <c r="E259" t="s">
        <v>45</v>
      </c>
      <c r="F259">
        <v>8.94</v>
      </c>
      <c r="G259" t="s">
        <v>201</v>
      </c>
      <c r="H259">
        <v>78.42</v>
      </c>
      <c r="I259">
        <v>53.65</v>
      </c>
      <c r="J259">
        <v>46.88</v>
      </c>
      <c r="K259">
        <v>57.59</v>
      </c>
      <c r="L259">
        <v>1.32</v>
      </c>
      <c r="M259" t="s">
        <v>291</v>
      </c>
      <c r="N259" t="s">
        <v>63</v>
      </c>
      <c r="O259" t="s">
        <v>41</v>
      </c>
      <c r="P259">
        <v>77</v>
      </c>
      <c r="Q259">
        <v>20</v>
      </c>
    </row>
    <row r="260" spans="1:17" x14ac:dyDescent="0.25">
      <c r="A260">
        <v>2022</v>
      </c>
      <c r="B260" t="s">
        <v>1</v>
      </c>
      <c r="C260">
        <v>2387</v>
      </c>
      <c r="D260">
        <v>5732.9388431190637</v>
      </c>
      <c r="E260" t="s">
        <v>41</v>
      </c>
      <c r="F260">
        <v>2.4</v>
      </c>
      <c r="G260" t="s">
        <v>201</v>
      </c>
      <c r="H260">
        <v>61.94</v>
      </c>
      <c r="I260">
        <v>46.11</v>
      </c>
      <c r="J260">
        <v>73.87</v>
      </c>
      <c r="K260">
        <v>16.16</v>
      </c>
      <c r="L260">
        <v>2.4500000000000002</v>
      </c>
      <c r="M260" t="s">
        <v>292</v>
      </c>
      <c r="N260" t="s">
        <v>50</v>
      </c>
      <c r="O260" t="s">
        <v>41</v>
      </c>
      <c r="P260">
        <v>48</v>
      </c>
      <c r="Q260">
        <v>49</v>
      </c>
    </row>
    <row r="261" spans="1:17" x14ac:dyDescent="0.25">
      <c r="A261">
        <v>2023</v>
      </c>
      <c r="B261" t="s">
        <v>10</v>
      </c>
      <c r="C261">
        <v>1067</v>
      </c>
      <c r="D261">
        <v>1777.2570394518118</v>
      </c>
      <c r="E261" t="s">
        <v>41</v>
      </c>
      <c r="F261">
        <v>5.31</v>
      </c>
      <c r="G261" t="s">
        <v>201</v>
      </c>
      <c r="H261">
        <v>66.09</v>
      </c>
      <c r="I261">
        <v>55.6</v>
      </c>
      <c r="J261">
        <v>71.19</v>
      </c>
      <c r="K261">
        <v>10.220000000000001</v>
      </c>
      <c r="L261">
        <v>2.2000000000000002</v>
      </c>
      <c r="M261" t="s">
        <v>241</v>
      </c>
      <c r="N261" t="s">
        <v>44</v>
      </c>
      <c r="O261" t="s">
        <v>41</v>
      </c>
      <c r="P261">
        <v>68</v>
      </c>
      <c r="Q261">
        <v>47</v>
      </c>
    </row>
    <row r="262" spans="1:17" x14ac:dyDescent="0.25">
      <c r="A262">
        <v>2023</v>
      </c>
      <c r="B262" t="s">
        <v>10</v>
      </c>
      <c r="C262">
        <v>1243</v>
      </c>
      <c r="D262">
        <v>2737.561196444447</v>
      </c>
      <c r="E262" t="s">
        <v>41</v>
      </c>
      <c r="F262">
        <v>2.0099999999999998</v>
      </c>
      <c r="G262" t="s">
        <v>201</v>
      </c>
      <c r="H262">
        <v>18.61</v>
      </c>
      <c r="I262">
        <v>61.13</v>
      </c>
      <c r="J262">
        <v>30.87</v>
      </c>
      <c r="K262">
        <v>28.56</v>
      </c>
      <c r="L262">
        <v>1.56</v>
      </c>
      <c r="M262" t="s">
        <v>142</v>
      </c>
      <c r="N262" t="s">
        <v>53</v>
      </c>
      <c r="O262" t="s">
        <v>45</v>
      </c>
      <c r="P262">
        <v>59</v>
      </c>
      <c r="Q262">
        <v>34</v>
      </c>
    </row>
    <row r="263" spans="1:17" x14ac:dyDescent="0.25">
      <c r="A263">
        <v>2023</v>
      </c>
      <c r="B263" t="s">
        <v>6</v>
      </c>
      <c r="C263">
        <v>1570</v>
      </c>
      <c r="D263">
        <v>2652.9476644811816</v>
      </c>
      <c r="E263" t="s">
        <v>45</v>
      </c>
      <c r="F263">
        <v>6.89</v>
      </c>
      <c r="G263" t="s">
        <v>201</v>
      </c>
      <c r="H263">
        <v>32.14</v>
      </c>
      <c r="I263">
        <v>6.85</v>
      </c>
      <c r="J263">
        <v>59.54</v>
      </c>
      <c r="K263">
        <v>57.14</v>
      </c>
      <c r="L263">
        <v>0.88</v>
      </c>
      <c r="M263" t="s">
        <v>293</v>
      </c>
      <c r="N263" t="s">
        <v>47</v>
      </c>
      <c r="O263" t="s">
        <v>41</v>
      </c>
      <c r="P263">
        <v>74</v>
      </c>
      <c r="Q263">
        <v>42</v>
      </c>
    </row>
    <row r="264" spans="1:17" x14ac:dyDescent="0.25">
      <c r="A264">
        <v>2023</v>
      </c>
      <c r="B264" t="s">
        <v>6</v>
      </c>
      <c r="C264">
        <v>752</v>
      </c>
      <c r="D264">
        <v>2095.5072915398632</v>
      </c>
      <c r="E264" t="s">
        <v>45</v>
      </c>
      <c r="F264">
        <v>3.57</v>
      </c>
      <c r="G264" t="s">
        <v>201</v>
      </c>
      <c r="H264">
        <v>92.19</v>
      </c>
      <c r="I264">
        <v>8.23</v>
      </c>
      <c r="J264">
        <v>74.33</v>
      </c>
      <c r="K264">
        <v>66.739999999999995</v>
      </c>
      <c r="L264">
        <v>2.38</v>
      </c>
      <c r="M264" t="s">
        <v>294</v>
      </c>
      <c r="N264" t="s">
        <v>59</v>
      </c>
      <c r="O264" t="s">
        <v>45</v>
      </c>
      <c r="P264">
        <v>43</v>
      </c>
      <c r="Q264">
        <v>47</v>
      </c>
    </row>
    <row r="265" spans="1:17" x14ac:dyDescent="0.25">
      <c r="A265">
        <v>2023</v>
      </c>
      <c r="B265" t="s">
        <v>6</v>
      </c>
      <c r="C265">
        <v>165</v>
      </c>
      <c r="D265">
        <v>302.97301090619197</v>
      </c>
      <c r="E265" t="s">
        <v>41</v>
      </c>
      <c r="F265">
        <v>6.49</v>
      </c>
      <c r="G265" t="s">
        <v>201</v>
      </c>
      <c r="H265">
        <v>87.23</v>
      </c>
      <c r="I265">
        <v>61.35</v>
      </c>
      <c r="J265">
        <v>60.33</v>
      </c>
      <c r="K265">
        <v>20.92</v>
      </c>
      <c r="L265">
        <v>1.63</v>
      </c>
      <c r="M265" t="s">
        <v>295</v>
      </c>
      <c r="N265" t="s">
        <v>57</v>
      </c>
      <c r="O265" t="s">
        <v>41</v>
      </c>
      <c r="P265">
        <v>73</v>
      </c>
      <c r="Q265">
        <v>42</v>
      </c>
    </row>
    <row r="266" spans="1:17" x14ac:dyDescent="0.25">
      <c r="A266">
        <v>2023</v>
      </c>
      <c r="B266" t="s">
        <v>9</v>
      </c>
      <c r="C266">
        <v>2246</v>
      </c>
      <c r="D266">
        <v>6857.6891575591753</v>
      </c>
      <c r="E266" t="s">
        <v>41</v>
      </c>
      <c r="F266">
        <v>7.51</v>
      </c>
      <c r="G266" t="s">
        <v>201</v>
      </c>
      <c r="H266">
        <v>78.59</v>
      </c>
      <c r="I266">
        <v>11.73</v>
      </c>
      <c r="J266">
        <v>25.07</v>
      </c>
      <c r="K266">
        <v>5.19</v>
      </c>
      <c r="L266">
        <v>2.27</v>
      </c>
      <c r="M266" t="s">
        <v>296</v>
      </c>
      <c r="N266" t="s">
        <v>50</v>
      </c>
      <c r="O266" t="s">
        <v>41</v>
      </c>
      <c r="P266">
        <v>69</v>
      </c>
      <c r="Q266">
        <v>39</v>
      </c>
    </row>
    <row r="267" spans="1:17" x14ac:dyDescent="0.25">
      <c r="A267">
        <v>2023</v>
      </c>
      <c r="B267" t="s">
        <v>9</v>
      </c>
      <c r="C267">
        <v>2169</v>
      </c>
      <c r="D267">
        <v>7590.4863676758196</v>
      </c>
      <c r="E267" t="s">
        <v>45</v>
      </c>
      <c r="F267">
        <v>3.43</v>
      </c>
      <c r="G267" t="s">
        <v>201</v>
      </c>
      <c r="H267">
        <v>65.67</v>
      </c>
      <c r="I267">
        <v>37.409999999999997</v>
      </c>
      <c r="J267">
        <v>36.04</v>
      </c>
      <c r="K267">
        <v>32.200000000000003</v>
      </c>
      <c r="L267">
        <v>2.31</v>
      </c>
      <c r="M267" t="s">
        <v>297</v>
      </c>
      <c r="N267" t="s">
        <v>57</v>
      </c>
      <c r="O267" t="s">
        <v>41</v>
      </c>
      <c r="P267">
        <v>75</v>
      </c>
      <c r="Q267">
        <v>31</v>
      </c>
    </row>
    <row r="268" spans="1:17" x14ac:dyDescent="0.25">
      <c r="A268">
        <v>2023</v>
      </c>
      <c r="B268" t="s">
        <v>2</v>
      </c>
      <c r="C268">
        <v>345</v>
      </c>
      <c r="D268">
        <v>286.14607869083352</v>
      </c>
      <c r="E268" t="s">
        <v>41</v>
      </c>
      <c r="F268">
        <v>8.69</v>
      </c>
      <c r="G268" t="s">
        <v>201</v>
      </c>
      <c r="H268">
        <v>66.22</v>
      </c>
      <c r="I268">
        <v>54.83</v>
      </c>
      <c r="J268">
        <v>38.409999999999997</v>
      </c>
      <c r="K268">
        <v>66.489999999999995</v>
      </c>
      <c r="L268">
        <v>0.34</v>
      </c>
      <c r="M268" t="s">
        <v>229</v>
      </c>
      <c r="N268" t="s">
        <v>47</v>
      </c>
      <c r="O268" t="s">
        <v>45</v>
      </c>
      <c r="P268">
        <v>70</v>
      </c>
      <c r="Q268">
        <v>23</v>
      </c>
    </row>
    <row r="269" spans="1:17" x14ac:dyDescent="0.25">
      <c r="A269">
        <v>2023</v>
      </c>
      <c r="B269" t="s">
        <v>8</v>
      </c>
      <c r="C269">
        <v>1119</v>
      </c>
      <c r="D269">
        <v>3632.9165979708823</v>
      </c>
      <c r="E269" t="s">
        <v>45</v>
      </c>
      <c r="F269">
        <v>7.26</v>
      </c>
      <c r="G269" t="s">
        <v>201</v>
      </c>
      <c r="H269">
        <v>33.54</v>
      </c>
      <c r="I269">
        <v>54.75</v>
      </c>
      <c r="J269">
        <v>74.69</v>
      </c>
      <c r="K269">
        <v>6.06</v>
      </c>
      <c r="L269">
        <v>2</v>
      </c>
      <c r="M269" t="s">
        <v>298</v>
      </c>
      <c r="N269" t="s">
        <v>63</v>
      </c>
      <c r="O269" t="s">
        <v>41</v>
      </c>
      <c r="P269">
        <v>74</v>
      </c>
      <c r="Q269">
        <v>26</v>
      </c>
    </row>
    <row r="270" spans="1:17" x14ac:dyDescent="0.25">
      <c r="A270">
        <v>2023</v>
      </c>
      <c r="B270" t="s">
        <v>3</v>
      </c>
      <c r="C270">
        <v>913</v>
      </c>
      <c r="D270">
        <v>2240.0042116101686</v>
      </c>
      <c r="E270" t="s">
        <v>45</v>
      </c>
      <c r="F270">
        <v>2.16</v>
      </c>
      <c r="G270" t="s">
        <v>201</v>
      </c>
      <c r="H270">
        <v>63.46</v>
      </c>
      <c r="I270">
        <v>49.69</v>
      </c>
      <c r="J270">
        <v>68.91</v>
      </c>
      <c r="K270">
        <v>21.18</v>
      </c>
      <c r="L270">
        <v>1.01</v>
      </c>
      <c r="M270" t="s">
        <v>299</v>
      </c>
      <c r="N270" t="s">
        <v>47</v>
      </c>
      <c r="O270" t="s">
        <v>45</v>
      </c>
      <c r="P270">
        <v>64</v>
      </c>
      <c r="Q270">
        <v>31</v>
      </c>
    </row>
    <row r="271" spans="1:17" x14ac:dyDescent="0.25">
      <c r="A271">
        <v>2023</v>
      </c>
      <c r="B271" t="s">
        <v>3</v>
      </c>
      <c r="C271">
        <v>1192</v>
      </c>
      <c r="D271">
        <v>2255.4685608910822</v>
      </c>
      <c r="E271" t="s">
        <v>41</v>
      </c>
      <c r="F271">
        <v>3.16</v>
      </c>
      <c r="G271" t="s">
        <v>201</v>
      </c>
      <c r="H271">
        <v>77.959999999999994</v>
      </c>
      <c r="I271">
        <v>15.98</v>
      </c>
      <c r="J271">
        <v>83.64</v>
      </c>
      <c r="K271">
        <v>32.74</v>
      </c>
      <c r="L271">
        <v>1.38</v>
      </c>
      <c r="M271" t="s">
        <v>300</v>
      </c>
      <c r="N271" t="s">
        <v>53</v>
      </c>
      <c r="O271" t="s">
        <v>41</v>
      </c>
      <c r="P271">
        <v>80</v>
      </c>
      <c r="Q271">
        <v>30</v>
      </c>
    </row>
    <row r="272" spans="1:17" x14ac:dyDescent="0.25">
      <c r="A272">
        <v>2023</v>
      </c>
      <c r="B272" t="s">
        <v>7</v>
      </c>
      <c r="C272">
        <v>1499</v>
      </c>
      <c r="D272">
        <v>4347.6341767778458</v>
      </c>
      <c r="E272" t="s">
        <v>41</v>
      </c>
      <c r="F272">
        <v>7.33</v>
      </c>
      <c r="G272" t="s">
        <v>201</v>
      </c>
      <c r="H272">
        <v>42.6</v>
      </c>
      <c r="I272">
        <v>11.83</v>
      </c>
      <c r="J272">
        <v>51.56</v>
      </c>
      <c r="K272">
        <v>17.89</v>
      </c>
      <c r="L272">
        <v>2.0499999999999998</v>
      </c>
      <c r="M272" t="s">
        <v>301</v>
      </c>
      <c r="N272" t="s">
        <v>59</v>
      </c>
      <c r="O272" t="s">
        <v>45</v>
      </c>
      <c r="P272">
        <v>55</v>
      </c>
      <c r="Q272">
        <v>33</v>
      </c>
    </row>
    <row r="273" spans="1:17" x14ac:dyDescent="0.25">
      <c r="A273">
        <v>2023</v>
      </c>
      <c r="B273" t="s">
        <v>7</v>
      </c>
      <c r="C273">
        <v>211</v>
      </c>
      <c r="D273">
        <v>231.49329598509354</v>
      </c>
      <c r="E273" t="s">
        <v>45</v>
      </c>
      <c r="F273">
        <v>8.4600000000000009</v>
      </c>
      <c r="G273" t="s">
        <v>201</v>
      </c>
      <c r="H273">
        <v>84.63</v>
      </c>
      <c r="I273">
        <v>24.93</v>
      </c>
      <c r="J273">
        <v>85.64</v>
      </c>
      <c r="K273">
        <v>53.13</v>
      </c>
      <c r="L273">
        <v>2.2799999999999998</v>
      </c>
      <c r="M273" t="s">
        <v>302</v>
      </c>
      <c r="N273" t="s">
        <v>59</v>
      </c>
      <c r="O273" t="s">
        <v>41</v>
      </c>
      <c r="P273">
        <v>66</v>
      </c>
      <c r="Q273">
        <v>39</v>
      </c>
    </row>
    <row r="274" spans="1:17" x14ac:dyDescent="0.25">
      <c r="A274">
        <v>2023</v>
      </c>
      <c r="B274" t="s">
        <v>7</v>
      </c>
      <c r="C274">
        <v>1897</v>
      </c>
      <c r="D274">
        <v>1848.5757971672915</v>
      </c>
      <c r="E274" t="s">
        <v>45</v>
      </c>
      <c r="F274">
        <v>4.12</v>
      </c>
      <c r="G274" t="s">
        <v>201</v>
      </c>
      <c r="H274">
        <v>15.02</v>
      </c>
      <c r="I274">
        <v>30.99</v>
      </c>
      <c r="J274">
        <v>90.96</v>
      </c>
      <c r="K274">
        <v>23.78</v>
      </c>
      <c r="L274">
        <v>1.63</v>
      </c>
      <c r="M274" t="s">
        <v>303</v>
      </c>
      <c r="N274" t="s">
        <v>47</v>
      </c>
      <c r="O274" t="s">
        <v>41</v>
      </c>
      <c r="P274">
        <v>49</v>
      </c>
      <c r="Q274">
        <v>33</v>
      </c>
    </row>
    <row r="275" spans="1:17" x14ac:dyDescent="0.25">
      <c r="A275">
        <v>2023</v>
      </c>
      <c r="B275" t="s">
        <v>4</v>
      </c>
      <c r="C275">
        <v>1239</v>
      </c>
      <c r="D275">
        <v>2613.0021956815194</v>
      </c>
      <c r="E275" t="s">
        <v>45</v>
      </c>
      <c r="F275">
        <v>3.24</v>
      </c>
      <c r="G275" t="s">
        <v>201</v>
      </c>
      <c r="H275">
        <v>86.6</v>
      </c>
      <c r="I275">
        <v>34.880000000000003</v>
      </c>
      <c r="J275">
        <v>52.37</v>
      </c>
      <c r="K275">
        <v>42.09</v>
      </c>
      <c r="L275">
        <v>0.59</v>
      </c>
      <c r="M275" t="s">
        <v>101</v>
      </c>
      <c r="N275" t="s">
        <v>50</v>
      </c>
      <c r="O275" t="s">
        <v>45</v>
      </c>
      <c r="P275">
        <v>49</v>
      </c>
      <c r="Q275">
        <v>59</v>
      </c>
    </row>
    <row r="276" spans="1:17" x14ac:dyDescent="0.25">
      <c r="A276">
        <v>2024</v>
      </c>
      <c r="B276" t="s">
        <v>10</v>
      </c>
      <c r="C276">
        <v>2451</v>
      </c>
      <c r="D276">
        <v>7129.0309455294419</v>
      </c>
      <c r="E276" t="s">
        <v>45</v>
      </c>
      <c r="F276">
        <v>9.15</v>
      </c>
      <c r="G276" t="s">
        <v>201</v>
      </c>
      <c r="H276">
        <v>23.92</v>
      </c>
      <c r="I276">
        <v>52.19</v>
      </c>
      <c r="J276">
        <v>74.13</v>
      </c>
      <c r="K276">
        <v>5.26</v>
      </c>
      <c r="L276">
        <v>1.4</v>
      </c>
      <c r="M276" t="s">
        <v>304</v>
      </c>
      <c r="N276" t="s">
        <v>59</v>
      </c>
      <c r="O276" t="s">
        <v>45</v>
      </c>
      <c r="P276">
        <v>68</v>
      </c>
      <c r="Q276">
        <v>40</v>
      </c>
    </row>
    <row r="277" spans="1:17" x14ac:dyDescent="0.25">
      <c r="A277">
        <v>2024</v>
      </c>
      <c r="B277" t="s">
        <v>2</v>
      </c>
      <c r="C277">
        <v>1114</v>
      </c>
      <c r="D277">
        <v>593.20651019771208</v>
      </c>
      <c r="E277" t="s">
        <v>41</v>
      </c>
      <c r="F277">
        <v>2.2200000000000002</v>
      </c>
      <c r="G277" t="s">
        <v>201</v>
      </c>
      <c r="H277">
        <v>80.900000000000006</v>
      </c>
      <c r="I277">
        <v>63.94</v>
      </c>
      <c r="J277">
        <v>40.119999999999997</v>
      </c>
      <c r="K277">
        <v>26.31</v>
      </c>
      <c r="L277">
        <v>1.96</v>
      </c>
      <c r="M277" t="s">
        <v>305</v>
      </c>
      <c r="N277" t="s">
        <v>50</v>
      </c>
      <c r="O277" t="s">
        <v>45</v>
      </c>
      <c r="P277">
        <v>58</v>
      </c>
      <c r="Q277">
        <v>34</v>
      </c>
    </row>
    <row r="278" spans="1:17" x14ac:dyDescent="0.25">
      <c r="A278">
        <v>2024</v>
      </c>
      <c r="B278" t="s">
        <v>5</v>
      </c>
      <c r="C278">
        <v>2170</v>
      </c>
      <c r="D278">
        <v>6243.9641051812614</v>
      </c>
      <c r="E278" t="s">
        <v>41</v>
      </c>
      <c r="F278">
        <v>7.31</v>
      </c>
      <c r="G278" t="s">
        <v>201</v>
      </c>
      <c r="H278">
        <v>19.68</v>
      </c>
      <c r="I278">
        <v>31.36</v>
      </c>
      <c r="J278">
        <v>56.72</v>
      </c>
      <c r="K278">
        <v>43.2</v>
      </c>
      <c r="L278">
        <v>0.69</v>
      </c>
      <c r="M278" t="s">
        <v>306</v>
      </c>
      <c r="N278" t="s">
        <v>44</v>
      </c>
      <c r="O278" t="s">
        <v>41</v>
      </c>
      <c r="P278">
        <v>75</v>
      </c>
      <c r="Q278">
        <v>42</v>
      </c>
    </row>
    <row r="279" spans="1:17" x14ac:dyDescent="0.25">
      <c r="A279">
        <v>2024</v>
      </c>
      <c r="B279" t="s">
        <v>8</v>
      </c>
      <c r="C279">
        <v>632</v>
      </c>
      <c r="D279">
        <v>1754.9638322760368</v>
      </c>
      <c r="E279" t="s">
        <v>41</v>
      </c>
      <c r="F279">
        <v>9.49</v>
      </c>
      <c r="G279" t="s">
        <v>201</v>
      </c>
      <c r="H279">
        <v>78.45</v>
      </c>
      <c r="I279">
        <v>7.12</v>
      </c>
      <c r="J279">
        <v>58.85</v>
      </c>
      <c r="K279">
        <v>45.35</v>
      </c>
      <c r="L279">
        <v>1.41</v>
      </c>
      <c r="M279" t="s">
        <v>307</v>
      </c>
      <c r="N279" t="s">
        <v>47</v>
      </c>
      <c r="O279" t="s">
        <v>41</v>
      </c>
      <c r="P279">
        <v>53</v>
      </c>
      <c r="Q279">
        <v>59</v>
      </c>
    </row>
    <row r="280" spans="1:17" x14ac:dyDescent="0.25">
      <c r="A280">
        <v>2024</v>
      </c>
      <c r="B280" t="s">
        <v>3</v>
      </c>
      <c r="C280">
        <v>177</v>
      </c>
      <c r="D280">
        <v>124.72420659456397</v>
      </c>
      <c r="E280" t="s">
        <v>45</v>
      </c>
      <c r="F280">
        <v>5.8</v>
      </c>
      <c r="G280" t="s">
        <v>201</v>
      </c>
      <c r="H280">
        <v>27.28</v>
      </c>
      <c r="I280">
        <v>32.92</v>
      </c>
      <c r="J280">
        <v>48.82</v>
      </c>
      <c r="K280">
        <v>44.03</v>
      </c>
      <c r="L280">
        <v>1.71</v>
      </c>
      <c r="M280" t="s">
        <v>308</v>
      </c>
      <c r="N280" t="s">
        <v>57</v>
      </c>
      <c r="O280" t="s">
        <v>41</v>
      </c>
      <c r="P280">
        <v>51</v>
      </c>
      <c r="Q280">
        <v>40</v>
      </c>
    </row>
    <row r="281" spans="1:17" x14ac:dyDescent="0.25">
      <c r="A281">
        <v>2024</v>
      </c>
      <c r="B281" t="s">
        <v>7</v>
      </c>
      <c r="C281">
        <v>1715</v>
      </c>
      <c r="D281">
        <v>3051.772181390138</v>
      </c>
      <c r="E281" t="s">
        <v>41</v>
      </c>
      <c r="F281">
        <v>5.51</v>
      </c>
      <c r="G281" t="s">
        <v>201</v>
      </c>
      <c r="H281">
        <v>18.43</v>
      </c>
      <c r="I281">
        <v>32.020000000000003</v>
      </c>
      <c r="J281">
        <v>51.36</v>
      </c>
      <c r="K281">
        <v>19.77</v>
      </c>
      <c r="L281">
        <v>0.28999999999999998</v>
      </c>
      <c r="M281" t="s">
        <v>58</v>
      </c>
      <c r="N281" t="s">
        <v>57</v>
      </c>
      <c r="O281" t="s">
        <v>41</v>
      </c>
      <c r="P281">
        <v>64</v>
      </c>
      <c r="Q281">
        <v>42</v>
      </c>
    </row>
    <row r="282" spans="1:17" x14ac:dyDescent="0.25">
      <c r="A282">
        <v>2024</v>
      </c>
      <c r="B282" t="s">
        <v>7</v>
      </c>
      <c r="C282">
        <v>2406</v>
      </c>
      <c r="D282">
        <v>3178.836385341267</v>
      </c>
      <c r="E282" t="s">
        <v>45</v>
      </c>
      <c r="F282">
        <v>9.7799999999999994</v>
      </c>
      <c r="G282" t="s">
        <v>201</v>
      </c>
      <c r="H282">
        <v>20.81</v>
      </c>
      <c r="I282">
        <v>10.17</v>
      </c>
      <c r="J282">
        <v>86.78</v>
      </c>
      <c r="K282">
        <v>5.25</v>
      </c>
      <c r="L282">
        <v>1.1399999999999999</v>
      </c>
      <c r="M282" t="s">
        <v>309</v>
      </c>
      <c r="N282" t="s">
        <v>50</v>
      </c>
      <c r="O282" t="s">
        <v>41</v>
      </c>
      <c r="P282">
        <v>70</v>
      </c>
      <c r="Q282">
        <v>30</v>
      </c>
    </row>
    <row r="283" spans="1:17" x14ac:dyDescent="0.25">
      <c r="A283">
        <v>2024</v>
      </c>
      <c r="B283" t="s">
        <v>7</v>
      </c>
      <c r="C283">
        <v>1669</v>
      </c>
      <c r="D283">
        <v>5532.2498548914773</v>
      </c>
      <c r="E283" t="s">
        <v>41</v>
      </c>
      <c r="F283">
        <v>4.09</v>
      </c>
      <c r="G283" t="s">
        <v>201</v>
      </c>
      <c r="H283">
        <v>30.66</v>
      </c>
      <c r="I283">
        <v>31.22</v>
      </c>
      <c r="J283">
        <v>91.23</v>
      </c>
      <c r="K283">
        <v>19.68</v>
      </c>
      <c r="L283">
        <v>1.96</v>
      </c>
      <c r="M283" t="s">
        <v>310</v>
      </c>
      <c r="N283" t="s">
        <v>63</v>
      </c>
      <c r="O283" t="s">
        <v>45</v>
      </c>
      <c r="P283">
        <v>63</v>
      </c>
      <c r="Q283">
        <v>53</v>
      </c>
    </row>
    <row r="284" spans="1:17" x14ac:dyDescent="0.25">
      <c r="A284">
        <v>2024</v>
      </c>
      <c r="B284" t="s">
        <v>1</v>
      </c>
      <c r="C284">
        <v>761</v>
      </c>
      <c r="D284">
        <v>1917.8611046205015</v>
      </c>
      <c r="E284" t="s">
        <v>45</v>
      </c>
      <c r="F284">
        <v>9.64</v>
      </c>
      <c r="G284" t="s">
        <v>201</v>
      </c>
      <c r="H284">
        <v>40.57</v>
      </c>
      <c r="I284">
        <v>17.53</v>
      </c>
      <c r="J284">
        <v>52.61</v>
      </c>
      <c r="K284">
        <v>60.87</v>
      </c>
      <c r="L284">
        <v>1.3</v>
      </c>
      <c r="M284" t="s">
        <v>311</v>
      </c>
      <c r="N284" t="s">
        <v>50</v>
      </c>
      <c r="O284" t="s">
        <v>45</v>
      </c>
      <c r="P284">
        <v>78</v>
      </c>
      <c r="Q284">
        <v>41</v>
      </c>
    </row>
    <row r="285" spans="1:17" x14ac:dyDescent="0.25">
      <c r="A285">
        <v>2024</v>
      </c>
      <c r="B285" t="s">
        <v>1</v>
      </c>
      <c r="C285">
        <v>585</v>
      </c>
      <c r="D285">
        <v>502.02050780804859</v>
      </c>
      <c r="E285" t="s">
        <v>41</v>
      </c>
      <c r="F285">
        <v>7.99</v>
      </c>
      <c r="G285" t="s">
        <v>201</v>
      </c>
      <c r="H285">
        <v>20.05</v>
      </c>
      <c r="I285">
        <v>17.329999999999998</v>
      </c>
      <c r="J285">
        <v>43.86</v>
      </c>
      <c r="K285">
        <v>58.79</v>
      </c>
      <c r="L285">
        <v>1.85</v>
      </c>
      <c r="M285" t="s">
        <v>312</v>
      </c>
      <c r="N285" t="s">
        <v>50</v>
      </c>
      <c r="O285" t="s">
        <v>45</v>
      </c>
      <c r="P285">
        <v>79</v>
      </c>
      <c r="Q285">
        <v>36</v>
      </c>
    </row>
    <row r="286" spans="1:17" x14ac:dyDescent="0.25">
      <c r="A286">
        <v>2025</v>
      </c>
      <c r="B286" t="s">
        <v>10</v>
      </c>
      <c r="C286">
        <v>721</v>
      </c>
      <c r="D286">
        <v>1927.7283487235882</v>
      </c>
      <c r="E286" t="s">
        <v>45</v>
      </c>
      <c r="F286">
        <v>7.37</v>
      </c>
      <c r="G286" t="s">
        <v>201</v>
      </c>
      <c r="H286">
        <v>48.88</v>
      </c>
      <c r="I286">
        <v>3.79</v>
      </c>
      <c r="J286">
        <v>34.799999999999997</v>
      </c>
      <c r="K286">
        <v>68.41</v>
      </c>
      <c r="L286">
        <v>1.28</v>
      </c>
      <c r="M286" t="s">
        <v>313</v>
      </c>
      <c r="N286" t="s">
        <v>50</v>
      </c>
      <c r="O286" t="s">
        <v>45</v>
      </c>
      <c r="P286">
        <v>65</v>
      </c>
      <c r="Q286">
        <v>60</v>
      </c>
    </row>
    <row r="287" spans="1:17" x14ac:dyDescent="0.25">
      <c r="A287">
        <v>2025</v>
      </c>
      <c r="B287" t="s">
        <v>9</v>
      </c>
      <c r="C287">
        <v>1982</v>
      </c>
      <c r="D287">
        <v>2844.7585639505351</v>
      </c>
      <c r="E287" t="s">
        <v>45</v>
      </c>
      <c r="F287">
        <v>3.26</v>
      </c>
      <c r="G287" t="s">
        <v>201</v>
      </c>
      <c r="H287">
        <v>86.36</v>
      </c>
      <c r="I287">
        <v>26.1</v>
      </c>
      <c r="J287">
        <v>48.19</v>
      </c>
      <c r="K287">
        <v>57.12</v>
      </c>
      <c r="L287">
        <v>1.51</v>
      </c>
      <c r="M287" t="s">
        <v>259</v>
      </c>
      <c r="N287" t="s">
        <v>44</v>
      </c>
      <c r="O287" t="s">
        <v>41</v>
      </c>
      <c r="P287">
        <v>46</v>
      </c>
      <c r="Q287">
        <v>21</v>
      </c>
    </row>
    <row r="288" spans="1:17" x14ac:dyDescent="0.25">
      <c r="A288">
        <v>2025</v>
      </c>
      <c r="B288" t="s">
        <v>2</v>
      </c>
      <c r="C288">
        <v>331</v>
      </c>
      <c r="D288">
        <v>524.48181395235179</v>
      </c>
      <c r="E288" t="s">
        <v>41</v>
      </c>
      <c r="F288">
        <v>5.55</v>
      </c>
      <c r="G288" t="s">
        <v>201</v>
      </c>
      <c r="H288">
        <v>47.02</v>
      </c>
      <c r="I288">
        <v>23.24</v>
      </c>
      <c r="J288">
        <v>68.16</v>
      </c>
      <c r="K288">
        <v>9.2100000000000009</v>
      </c>
      <c r="L288">
        <v>1.47</v>
      </c>
      <c r="M288" t="s">
        <v>228</v>
      </c>
      <c r="N288" t="s">
        <v>53</v>
      </c>
      <c r="O288" t="s">
        <v>41</v>
      </c>
      <c r="P288">
        <v>74</v>
      </c>
      <c r="Q288">
        <v>32</v>
      </c>
    </row>
    <row r="289" spans="1:17" x14ac:dyDescent="0.25">
      <c r="A289">
        <v>2025</v>
      </c>
      <c r="B289" t="s">
        <v>2</v>
      </c>
      <c r="C289">
        <v>1407</v>
      </c>
      <c r="D289">
        <v>4598.8631509067718</v>
      </c>
      <c r="E289" t="s">
        <v>45</v>
      </c>
      <c r="F289">
        <v>2.95</v>
      </c>
      <c r="G289" t="s">
        <v>201</v>
      </c>
      <c r="H289">
        <v>46.1</v>
      </c>
      <c r="I289">
        <v>2.69</v>
      </c>
      <c r="J289">
        <v>66.81</v>
      </c>
      <c r="K289">
        <v>66.92</v>
      </c>
      <c r="L289">
        <v>1.79</v>
      </c>
      <c r="M289" t="s">
        <v>314</v>
      </c>
      <c r="N289" t="s">
        <v>57</v>
      </c>
      <c r="O289" t="s">
        <v>41</v>
      </c>
      <c r="P289">
        <v>76</v>
      </c>
      <c r="Q289">
        <v>49</v>
      </c>
    </row>
    <row r="290" spans="1:17" x14ac:dyDescent="0.25">
      <c r="A290">
        <v>2025</v>
      </c>
      <c r="B290" t="s">
        <v>5</v>
      </c>
      <c r="C290">
        <v>2452</v>
      </c>
      <c r="D290">
        <v>2226.5482687683625</v>
      </c>
      <c r="E290" t="s">
        <v>45</v>
      </c>
      <c r="F290">
        <v>9.0299999999999994</v>
      </c>
      <c r="G290" t="s">
        <v>201</v>
      </c>
      <c r="H290">
        <v>57.49</v>
      </c>
      <c r="I290">
        <v>26.67</v>
      </c>
      <c r="J290">
        <v>47.99</v>
      </c>
      <c r="K290">
        <v>49.81</v>
      </c>
      <c r="L290">
        <v>2</v>
      </c>
      <c r="M290" t="s">
        <v>315</v>
      </c>
      <c r="N290" t="s">
        <v>57</v>
      </c>
      <c r="O290" t="s">
        <v>41</v>
      </c>
      <c r="P290">
        <v>65</v>
      </c>
      <c r="Q290">
        <v>25</v>
      </c>
    </row>
    <row r="291" spans="1:17" x14ac:dyDescent="0.25">
      <c r="A291">
        <v>2025</v>
      </c>
      <c r="B291" t="s">
        <v>8</v>
      </c>
      <c r="C291">
        <v>1484</v>
      </c>
      <c r="D291">
        <v>1255.6734193496377</v>
      </c>
      <c r="E291" t="s">
        <v>45</v>
      </c>
      <c r="F291">
        <v>7.3</v>
      </c>
      <c r="G291" t="s">
        <v>201</v>
      </c>
      <c r="H291">
        <v>30.77</v>
      </c>
      <c r="I291">
        <v>69.540000000000006</v>
      </c>
      <c r="J291">
        <v>66.72</v>
      </c>
      <c r="K291">
        <v>52.63</v>
      </c>
      <c r="L291">
        <v>0.69</v>
      </c>
      <c r="M291" t="s">
        <v>316</v>
      </c>
      <c r="N291" t="s">
        <v>53</v>
      </c>
      <c r="O291" t="s">
        <v>45</v>
      </c>
      <c r="P291">
        <v>65</v>
      </c>
      <c r="Q291">
        <v>46</v>
      </c>
    </row>
    <row r="292" spans="1:17" x14ac:dyDescent="0.25">
      <c r="A292">
        <v>2025</v>
      </c>
      <c r="B292" t="s">
        <v>8</v>
      </c>
      <c r="C292">
        <v>1544</v>
      </c>
      <c r="D292">
        <v>1425.3419810238097</v>
      </c>
      <c r="E292" t="s">
        <v>45</v>
      </c>
      <c r="F292">
        <v>8.5399999999999991</v>
      </c>
      <c r="G292" t="s">
        <v>201</v>
      </c>
      <c r="H292">
        <v>74.010000000000005</v>
      </c>
      <c r="I292">
        <v>51.95</v>
      </c>
      <c r="J292">
        <v>35.26</v>
      </c>
      <c r="K292">
        <v>62.69</v>
      </c>
      <c r="L292">
        <v>0.34</v>
      </c>
      <c r="M292" t="s">
        <v>317</v>
      </c>
      <c r="N292" t="s">
        <v>63</v>
      </c>
      <c r="O292" t="s">
        <v>45</v>
      </c>
      <c r="P292">
        <v>52</v>
      </c>
      <c r="Q292">
        <v>50</v>
      </c>
    </row>
    <row r="293" spans="1:17" x14ac:dyDescent="0.25">
      <c r="A293">
        <v>2025</v>
      </c>
      <c r="B293" t="s">
        <v>3</v>
      </c>
      <c r="C293">
        <v>1076</v>
      </c>
      <c r="D293">
        <v>1661.6769454981477</v>
      </c>
      <c r="E293" t="s">
        <v>41</v>
      </c>
      <c r="F293">
        <v>8.58</v>
      </c>
      <c r="G293" t="s">
        <v>201</v>
      </c>
      <c r="H293">
        <v>52.52</v>
      </c>
      <c r="I293">
        <v>18.22</v>
      </c>
      <c r="J293">
        <v>44.75</v>
      </c>
      <c r="K293">
        <v>31.31</v>
      </c>
      <c r="L293">
        <v>1.79</v>
      </c>
      <c r="M293" t="s">
        <v>318</v>
      </c>
      <c r="N293" t="s">
        <v>57</v>
      </c>
      <c r="O293" t="s">
        <v>41</v>
      </c>
      <c r="P293">
        <v>74</v>
      </c>
      <c r="Q293">
        <v>58</v>
      </c>
    </row>
    <row r="294" spans="1:17" x14ac:dyDescent="0.25">
      <c r="A294">
        <v>2025</v>
      </c>
      <c r="B294" t="s">
        <v>3</v>
      </c>
      <c r="C294">
        <v>700</v>
      </c>
      <c r="D294">
        <v>416.85928418235824</v>
      </c>
      <c r="E294" t="s">
        <v>41</v>
      </c>
      <c r="F294">
        <v>3.8</v>
      </c>
      <c r="G294" t="s">
        <v>201</v>
      </c>
      <c r="H294">
        <v>16.04</v>
      </c>
      <c r="I294">
        <v>53.19</v>
      </c>
      <c r="J294">
        <v>80.260000000000005</v>
      </c>
      <c r="K294">
        <v>19.170000000000002</v>
      </c>
      <c r="L294">
        <v>2.27</v>
      </c>
      <c r="M294" t="s">
        <v>319</v>
      </c>
      <c r="N294" t="s">
        <v>53</v>
      </c>
      <c r="O294" t="s">
        <v>45</v>
      </c>
      <c r="P294">
        <v>56</v>
      </c>
      <c r="Q294">
        <v>31</v>
      </c>
    </row>
    <row r="295" spans="1:17" x14ac:dyDescent="0.25">
      <c r="A295">
        <v>2025</v>
      </c>
      <c r="B295" t="s">
        <v>3</v>
      </c>
      <c r="C295">
        <v>235</v>
      </c>
      <c r="D295">
        <v>567.51146959979053</v>
      </c>
      <c r="E295" t="s">
        <v>45</v>
      </c>
      <c r="F295">
        <v>6.82</v>
      </c>
      <c r="G295" t="s">
        <v>201</v>
      </c>
      <c r="H295">
        <v>79.069999999999993</v>
      </c>
      <c r="I295">
        <v>60.56</v>
      </c>
      <c r="J295">
        <v>87.3</v>
      </c>
      <c r="K295">
        <v>63.29</v>
      </c>
      <c r="L295">
        <v>2.4300000000000002</v>
      </c>
      <c r="M295" t="s">
        <v>320</v>
      </c>
      <c r="N295" t="s">
        <v>59</v>
      </c>
      <c r="O295" t="s">
        <v>41</v>
      </c>
      <c r="P295">
        <v>43</v>
      </c>
      <c r="Q295">
        <v>45</v>
      </c>
    </row>
    <row r="296" spans="1:17" x14ac:dyDescent="0.25">
      <c r="A296">
        <v>2025</v>
      </c>
      <c r="B296" t="s">
        <v>7</v>
      </c>
      <c r="C296">
        <v>1169</v>
      </c>
      <c r="D296">
        <v>981.65512727186047</v>
      </c>
      <c r="E296" t="s">
        <v>45</v>
      </c>
      <c r="F296">
        <v>4.18</v>
      </c>
      <c r="G296" t="s">
        <v>201</v>
      </c>
      <c r="H296">
        <v>80.03</v>
      </c>
      <c r="I296">
        <v>31.07</v>
      </c>
      <c r="J296">
        <v>74.08</v>
      </c>
      <c r="K296">
        <v>36.72</v>
      </c>
      <c r="L296">
        <v>1.1499999999999999</v>
      </c>
      <c r="M296" t="s">
        <v>90</v>
      </c>
      <c r="N296" t="s">
        <v>59</v>
      </c>
      <c r="O296" t="s">
        <v>45</v>
      </c>
      <c r="P296">
        <v>78</v>
      </c>
      <c r="Q296">
        <v>56</v>
      </c>
    </row>
    <row r="297" spans="1:17" x14ac:dyDescent="0.25">
      <c r="A297">
        <v>2025</v>
      </c>
      <c r="B297" t="s">
        <v>7</v>
      </c>
      <c r="C297">
        <v>1134</v>
      </c>
      <c r="D297">
        <v>3436.4952350832164</v>
      </c>
      <c r="E297" t="s">
        <v>45</v>
      </c>
      <c r="F297">
        <v>7.37</v>
      </c>
      <c r="G297" t="s">
        <v>201</v>
      </c>
      <c r="H297">
        <v>24.56</v>
      </c>
      <c r="I297">
        <v>14.95</v>
      </c>
      <c r="J297">
        <v>53.9</v>
      </c>
      <c r="K297">
        <v>42.48</v>
      </c>
      <c r="L297">
        <v>1.05</v>
      </c>
      <c r="M297" t="s">
        <v>321</v>
      </c>
      <c r="N297" t="s">
        <v>63</v>
      </c>
      <c r="O297" t="s">
        <v>45</v>
      </c>
      <c r="P297">
        <v>76</v>
      </c>
      <c r="Q297">
        <v>57</v>
      </c>
    </row>
    <row r="298" spans="1:17" x14ac:dyDescent="0.25">
      <c r="A298">
        <v>2025</v>
      </c>
      <c r="B298" t="s">
        <v>4</v>
      </c>
      <c r="C298">
        <v>134</v>
      </c>
      <c r="D298">
        <v>447.36338063941378</v>
      </c>
      <c r="E298" t="s">
        <v>41</v>
      </c>
      <c r="F298">
        <v>2.2400000000000002</v>
      </c>
      <c r="G298" t="s">
        <v>201</v>
      </c>
      <c r="H298">
        <v>49.88</v>
      </c>
      <c r="I298">
        <v>22.31</v>
      </c>
      <c r="J298">
        <v>27.14</v>
      </c>
      <c r="K298">
        <v>44.82</v>
      </c>
      <c r="L298">
        <v>1.29</v>
      </c>
      <c r="M298" t="s">
        <v>322</v>
      </c>
      <c r="N298" t="s">
        <v>53</v>
      </c>
      <c r="O298" t="s">
        <v>45</v>
      </c>
      <c r="P298">
        <v>46</v>
      </c>
      <c r="Q298">
        <v>31</v>
      </c>
    </row>
    <row r="299" spans="1:17" x14ac:dyDescent="0.25">
      <c r="A299">
        <v>2025</v>
      </c>
      <c r="B299" t="s">
        <v>1</v>
      </c>
      <c r="C299">
        <v>730</v>
      </c>
      <c r="D299">
        <v>938.73100187814293</v>
      </c>
      <c r="E299" t="s">
        <v>45</v>
      </c>
      <c r="F299">
        <v>6.73</v>
      </c>
      <c r="G299" t="s">
        <v>201</v>
      </c>
      <c r="H299">
        <v>30.33</v>
      </c>
      <c r="I299">
        <v>32.880000000000003</v>
      </c>
      <c r="J299">
        <v>61.39</v>
      </c>
      <c r="K299">
        <v>16.43</v>
      </c>
      <c r="L299">
        <v>0.87</v>
      </c>
      <c r="M299" t="s">
        <v>240</v>
      </c>
      <c r="N299" t="s">
        <v>63</v>
      </c>
      <c r="O299" t="s">
        <v>45</v>
      </c>
      <c r="P299">
        <v>72</v>
      </c>
      <c r="Q299">
        <v>31</v>
      </c>
    </row>
    <row r="300" spans="1:17" x14ac:dyDescent="0.25">
      <c r="A300">
        <v>2015</v>
      </c>
      <c r="B300" t="s">
        <v>5</v>
      </c>
      <c r="C300">
        <v>1464</v>
      </c>
      <c r="D300">
        <v>1182.1385395721352</v>
      </c>
      <c r="E300" t="s">
        <v>45</v>
      </c>
      <c r="F300">
        <v>5.03</v>
      </c>
      <c r="G300" t="s">
        <v>323</v>
      </c>
      <c r="H300">
        <v>50.06</v>
      </c>
      <c r="I300">
        <v>2.39</v>
      </c>
      <c r="J300">
        <v>49.91</v>
      </c>
      <c r="K300">
        <v>33.049999999999997</v>
      </c>
      <c r="L300">
        <v>1.36</v>
      </c>
      <c r="M300" t="s">
        <v>324</v>
      </c>
      <c r="N300" t="s">
        <v>44</v>
      </c>
      <c r="O300" t="s">
        <v>45</v>
      </c>
      <c r="P300">
        <v>59</v>
      </c>
      <c r="Q300">
        <v>35</v>
      </c>
    </row>
    <row r="301" spans="1:17" x14ac:dyDescent="0.25">
      <c r="A301">
        <v>2015</v>
      </c>
      <c r="B301" t="s">
        <v>3</v>
      </c>
      <c r="C301">
        <v>1588</v>
      </c>
      <c r="D301">
        <v>3125.0740031322512</v>
      </c>
      <c r="E301" t="s">
        <v>45</v>
      </c>
      <c r="F301">
        <v>9.32</v>
      </c>
      <c r="G301" t="s">
        <v>323</v>
      </c>
      <c r="H301">
        <v>31.63</v>
      </c>
      <c r="I301">
        <v>7.04</v>
      </c>
      <c r="J301">
        <v>80.72</v>
      </c>
      <c r="K301">
        <v>33.39</v>
      </c>
      <c r="L301">
        <v>1.56</v>
      </c>
      <c r="M301" t="s">
        <v>325</v>
      </c>
      <c r="N301" t="s">
        <v>44</v>
      </c>
      <c r="O301" t="s">
        <v>41</v>
      </c>
      <c r="P301">
        <v>44</v>
      </c>
      <c r="Q301">
        <v>37</v>
      </c>
    </row>
    <row r="302" spans="1:17" x14ac:dyDescent="0.25">
      <c r="A302">
        <v>2016</v>
      </c>
      <c r="B302" t="s">
        <v>9</v>
      </c>
      <c r="C302">
        <v>2487</v>
      </c>
      <c r="D302">
        <v>1347.39036872322</v>
      </c>
      <c r="E302" t="s">
        <v>45</v>
      </c>
      <c r="F302">
        <v>9.41</v>
      </c>
      <c r="G302" t="s">
        <v>323</v>
      </c>
      <c r="H302">
        <v>46.34</v>
      </c>
      <c r="I302">
        <v>42.53</v>
      </c>
      <c r="J302">
        <v>69.3</v>
      </c>
      <c r="K302">
        <v>34.39</v>
      </c>
      <c r="L302">
        <v>2.39</v>
      </c>
      <c r="M302" t="s">
        <v>326</v>
      </c>
      <c r="N302" t="s">
        <v>57</v>
      </c>
      <c r="O302" t="s">
        <v>41</v>
      </c>
      <c r="P302">
        <v>57</v>
      </c>
      <c r="Q302">
        <v>53</v>
      </c>
    </row>
    <row r="303" spans="1:17" x14ac:dyDescent="0.25">
      <c r="A303">
        <v>2016</v>
      </c>
      <c r="B303" t="s">
        <v>9</v>
      </c>
      <c r="C303">
        <v>533</v>
      </c>
      <c r="D303">
        <v>1670.9189436189986</v>
      </c>
      <c r="E303" t="s">
        <v>45</v>
      </c>
      <c r="F303">
        <v>3.26</v>
      </c>
      <c r="G303" t="s">
        <v>323</v>
      </c>
      <c r="H303">
        <v>40.270000000000003</v>
      </c>
      <c r="I303">
        <v>69.010000000000005</v>
      </c>
      <c r="J303">
        <v>37.72</v>
      </c>
      <c r="K303">
        <v>17.149999999999999</v>
      </c>
      <c r="L303">
        <v>0.31</v>
      </c>
      <c r="M303" t="s">
        <v>327</v>
      </c>
      <c r="N303" t="s">
        <v>59</v>
      </c>
      <c r="O303" t="s">
        <v>45</v>
      </c>
      <c r="P303">
        <v>63</v>
      </c>
      <c r="Q303">
        <v>51</v>
      </c>
    </row>
    <row r="304" spans="1:17" x14ac:dyDescent="0.25">
      <c r="A304">
        <v>2016</v>
      </c>
      <c r="B304" t="s">
        <v>2</v>
      </c>
      <c r="C304">
        <v>603</v>
      </c>
      <c r="D304">
        <v>1622.0778793111135</v>
      </c>
      <c r="E304" t="s">
        <v>45</v>
      </c>
      <c r="F304">
        <v>5.79</v>
      </c>
      <c r="G304" t="s">
        <v>323</v>
      </c>
      <c r="H304">
        <v>64.23</v>
      </c>
      <c r="I304">
        <v>6.63</v>
      </c>
      <c r="J304">
        <v>86.39</v>
      </c>
      <c r="K304">
        <v>16.8</v>
      </c>
      <c r="L304">
        <v>0.28000000000000003</v>
      </c>
      <c r="M304" t="s">
        <v>328</v>
      </c>
      <c r="N304" t="s">
        <v>53</v>
      </c>
      <c r="O304" t="s">
        <v>41</v>
      </c>
      <c r="P304">
        <v>79</v>
      </c>
      <c r="Q304">
        <v>25</v>
      </c>
    </row>
    <row r="305" spans="1:17" x14ac:dyDescent="0.25">
      <c r="A305">
        <v>2016</v>
      </c>
      <c r="B305" t="s">
        <v>5</v>
      </c>
      <c r="C305">
        <v>1177</v>
      </c>
      <c r="D305">
        <v>636.35516865710224</v>
      </c>
      <c r="E305" t="s">
        <v>45</v>
      </c>
      <c r="F305">
        <v>9.82</v>
      </c>
      <c r="G305" t="s">
        <v>323</v>
      </c>
      <c r="H305">
        <v>80.8</v>
      </c>
      <c r="I305">
        <v>37.46</v>
      </c>
      <c r="J305">
        <v>28.97</v>
      </c>
      <c r="K305">
        <v>47.46</v>
      </c>
      <c r="L305">
        <v>2.0499999999999998</v>
      </c>
      <c r="M305" t="s">
        <v>329</v>
      </c>
      <c r="N305" t="s">
        <v>50</v>
      </c>
      <c r="O305" t="s">
        <v>45</v>
      </c>
      <c r="P305">
        <v>45</v>
      </c>
      <c r="Q305">
        <v>27</v>
      </c>
    </row>
    <row r="306" spans="1:17" x14ac:dyDescent="0.25">
      <c r="A306">
        <v>2016</v>
      </c>
      <c r="B306" t="s">
        <v>8</v>
      </c>
      <c r="C306">
        <v>718</v>
      </c>
      <c r="D306">
        <v>1443.4541159254952</v>
      </c>
      <c r="E306" t="s">
        <v>45</v>
      </c>
      <c r="F306">
        <v>9.92</v>
      </c>
      <c r="G306" t="s">
        <v>323</v>
      </c>
      <c r="H306">
        <v>45.83</v>
      </c>
      <c r="I306">
        <v>3.43</v>
      </c>
      <c r="J306">
        <v>86.67</v>
      </c>
      <c r="K306">
        <v>56.6</v>
      </c>
      <c r="L306">
        <v>2.4900000000000002</v>
      </c>
      <c r="M306" t="s">
        <v>330</v>
      </c>
      <c r="N306" t="s">
        <v>53</v>
      </c>
      <c r="O306" t="s">
        <v>45</v>
      </c>
      <c r="P306">
        <v>72</v>
      </c>
      <c r="Q306">
        <v>41</v>
      </c>
    </row>
    <row r="307" spans="1:17" x14ac:dyDescent="0.25">
      <c r="A307">
        <v>2016</v>
      </c>
      <c r="B307" t="s">
        <v>3</v>
      </c>
      <c r="C307">
        <v>1042</v>
      </c>
      <c r="D307">
        <v>3447.5009126340296</v>
      </c>
      <c r="E307" t="s">
        <v>45</v>
      </c>
      <c r="F307">
        <v>4.49</v>
      </c>
      <c r="G307" t="s">
        <v>323</v>
      </c>
      <c r="H307">
        <v>27.69</v>
      </c>
      <c r="I307">
        <v>37.020000000000003</v>
      </c>
      <c r="J307">
        <v>38.630000000000003</v>
      </c>
      <c r="K307">
        <v>24.41</v>
      </c>
      <c r="L307">
        <v>0.44</v>
      </c>
      <c r="M307" t="s">
        <v>331</v>
      </c>
      <c r="N307" t="s">
        <v>44</v>
      </c>
      <c r="O307" t="s">
        <v>41</v>
      </c>
      <c r="P307">
        <v>73</v>
      </c>
      <c r="Q307">
        <v>25</v>
      </c>
    </row>
    <row r="308" spans="1:17" x14ac:dyDescent="0.25">
      <c r="A308">
        <v>2016</v>
      </c>
      <c r="B308" t="s">
        <v>1</v>
      </c>
      <c r="C308">
        <v>434</v>
      </c>
      <c r="D308">
        <v>942.69399422808635</v>
      </c>
      <c r="E308" t="s">
        <v>45</v>
      </c>
      <c r="F308">
        <v>2.81</v>
      </c>
      <c r="G308" t="s">
        <v>323</v>
      </c>
      <c r="H308">
        <v>79.14</v>
      </c>
      <c r="I308">
        <v>62.07</v>
      </c>
      <c r="J308">
        <v>67.209999999999994</v>
      </c>
      <c r="K308">
        <v>21.46</v>
      </c>
      <c r="L308">
        <v>1.8</v>
      </c>
      <c r="M308" t="s">
        <v>332</v>
      </c>
      <c r="N308" t="s">
        <v>44</v>
      </c>
      <c r="O308" t="s">
        <v>45</v>
      </c>
      <c r="P308">
        <v>69</v>
      </c>
      <c r="Q308">
        <v>57</v>
      </c>
    </row>
    <row r="309" spans="1:17" x14ac:dyDescent="0.25">
      <c r="A309">
        <v>2017</v>
      </c>
      <c r="B309" t="s">
        <v>5</v>
      </c>
      <c r="C309">
        <v>918</v>
      </c>
      <c r="D309">
        <v>2825.30484682626</v>
      </c>
      <c r="E309" t="s">
        <v>45</v>
      </c>
      <c r="F309">
        <v>5.99</v>
      </c>
      <c r="G309" t="s">
        <v>323</v>
      </c>
      <c r="H309">
        <v>69.39</v>
      </c>
      <c r="I309">
        <v>23.14</v>
      </c>
      <c r="J309">
        <v>91.51</v>
      </c>
      <c r="K309">
        <v>9.9700000000000006</v>
      </c>
      <c r="L309">
        <v>0.76</v>
      </c>
      <c r="M309" t="s">
        <v>333</v>
      </c>
      <c r="N309" t="s">
        <v>57</v>
      </c>
      <c r="O309" t="s">
        <v>45</v>
      </c>
      <c r="P309">
        <v>53</v>
      </c>
      <c r="Q309">
        <v>33</v>
      </c>
    </row>
    <row r="310" spans="1:17" x14ac:dyDescent="0.25">
      <c r="A310">
        <v>2017</v>
      </c>
      <c r="B310" t="s">
        <v>8</v>
      </c>
      <c r="C310">
        <v>786</v>
      </c>
      <c r="D310">
        <v>1626.690368266055</v>
      </c>
      <c r="E310" t="s">
        <v>45</v>
      </c>
      <c r="F310">
        <v>6.74</v>
      </c>
      <c r="G310" t="s">
        <v>323</v>
      </c>
      <c r="H310">
        <v>50.23</v>
      </c>
      <c r="I310">
        <v>62.18</v>
      </c>
      <c r="J310">
        <v>66.02</v>
      </c>
      <c r="K310">
        <v>22.12</v>
      </c>
      <c r="L310">
        <v>1.54</v>
      </c>
      <c r="M310" t="s">
        <v>334</v>
      </c>
      <c r="N310" t="s">
        <v>59</v>
      </c>
      <c r="O310" t="s">
        <v>45</v>
      </c>
      <c r="P310">
        <v>70</v>
      </c>
      <c r="Q310">
        <v>51</v>
      </c>
    </row>
    <row r="311" spans="1:17" x14ac:dyDescent="0.25">
      <c r="A311">
        <v>2017</v>
      </c>
      <c r="B311" t="s">
        <v>8</v>
      </c>
      <c r="C311">
        <v>1140</v>
      </c>
      <c r="D311">
        <v>1312.7952455017196</v>
      </c>
      <c r="E311" t="s">
        <v>45</v>
      </c>
      <c r="F311">
        <v>8.52</v>
      </c>
      <c r="G311" t="s">
        <v>323</v>
      </c>
      <c r="H311">
        <v>22.38</v>
      </c>
      <c r="I311">
        <v>49.72</v>
      </c>
      <c r="J311">
        <v>61.55</v>
      </c>
      <c r="K311">
        <v>30.82</v>
      </c>
      <c r="L311">
        <v>2.46</v>
      </c>
      <c r="M311" t="s">
        <v>335</v>
      </c>
      <c r="N311" t="s">
        <v>53</v>
      </c>
      <c r="O311" t="s">
        <v>45</v>
      </c>
      <c r="P311">
        <v>63</v>
      </c>
      <c r="Q311">
        <v>58</v>
      </c>
    </row>
    <row r="312" spans="1:17" x14ac:dyDescent="0.25">
      <c r="A312">
        <v>2017</v>
      </c>
      <c r="B312" t="s">
        <v>8</v>
      </c>
      <c r="C312">
        <v>588</v>
      </c>
      <c r="D312">
        <v>1176.1964163625257</v>
      </c>
      <c r="E312" t="s">
        <v>45</v>
      </c>
      <c r="F312">
        <v>7.09</v>
      </c>
      <c r="G312" t="s">
        <v>323</v>
      </c>
      <c r="H312">
        <v>73.41</v>
      </c>
      <c r="I312">
        <v>53.67</v>
      </c>
      <c r="J312">
        <v>59.15</v>
      </c>
      <c r="K312">
        <v>68.77</v>
      </c>
      <c r="L312">
        <v>0.78</v>
      </c>
      <c r="M312" t="s">
        <v>138</v>
      </c>
      <c r="N312" t="s">
        <v>50</v>
      </c>
      <c r="O312" t="s">
        <v>45</v>
      </c>
      <c r="P312">
        <v>48</v>
      </c>
      <c r="Q312">
        <v>46</v>
      </c>
    </row>
    <row r="313" spans="1:17" x14ac:dyDescent="0.25">
      <c r="A313">
        <v>2018</v>
      </c>
      <c r="B313" t="s">
        <v>2</v>
      </c>
      <c r="C313">
        <v>1991</v>
      </c>
      <c r="D313">
        <v>6693.090980342904</v>
      </c>
      <c r="E313" t="s">
        <v>45</v>
      </c>
      <c r="F313">
        <v>2.8</v>
      </c>
      <c r="G313" t="s">
        <v>323</v>
      </c>
      <c r="H313">
        <v>80.010000000000005</v>
      </c>
      <c r="I313">
        <v>45.79</v>
      </c>
      <c r="J313">
        <v>84.34</v>
      </c>
      <c r="K313">
        <v>13.84</v>
      </c>
      <c r="L313">
        <v>1.44</v>
      </c>
      <c r="M313" t="s">
        <v>336</v>
      </c>
      <c r="N313" t="s">
        <v>57</v>
      </c>
      <c r="O313" t="s">
        <v>45</v>
      </c>
      <c r="P313">
        <v>76</v>
      </c>
      <c r="Q313">
        <v>28</v>
      </c>
    </row>
    <row r="314" spans="1:17" x14ac:dyDescent="0.25">
      <c r="A314">
        <v>2018</v>
      </c>
      <c r="B314" t="s">
        <v>2</v>
      </c>
      <c r="C314">
        <v>497</v>
      </c>
      <c r="D314">
        <v>975.84672943580711</v>
      </c>
      <c r="E314" t="s">
        <v>45</v>
      </c>
      <c r="F314">
        <v>2.57</v>
      </c>
      <c r="G314" t="s">
        <v>323</v>
      </c>
      <c r="H314">
        <v>70.400000000000006</v>
      </c>
      <c r="I314">
        <v>7</v>
      </c>
      <c r="J314">
        <v>84.49</v>
      </c>
      <c r="K314">
        <v>60.34</v>
      </c>
      <c r="L314">
        <v>1.39</v>
      </c>
      <c r="M314" t="s">
        <v>337</v>
      </c>
      <c r="N314" t="s">
        <v>63</v>
      </c>
      <c r="O314" t="s">
        <v>45</v>
      </c>
      <c r="P314">
        <v>70</v>
      </c>
      <c r="Q314">
        <v>42</v>
      </c>
    </row>
    <row r="315" spans="1:17" x14ac:dyDescent="0.25">
      <c r="A315">
        <v>2018</v>
      </c>
      <c r="B315" t="s">
        <v>4</v>
      </c>
      <c r="C315">
        <v>1380</v>
      </c>
      <c r="D315">
        <v>2774.1214657591377</v>
      </c>
      <c r="E315" t="s">
        <v>45</v>
      </c>
      <c r="F315">
        <v>3.39</v>
      </c>
      <c r="G315" t="s">
        <v>323</v>
      </c>
      <c r="H315">
        <v>42.09</v>
      </c>
      <c r="I315">
        <v>22.55</v>
      </c>
      <c r="J315">
        <v>70.98</v>
      </c>
      <c r="K315">
        <v>65.86</v>
      </c>
      <c r="L315">
        <v>1.65</v>
      </c>
      <c r="M315" t="s">
        <v>101</v>
      </c>
      <c r="N315" t="s">
        <v>63</v>
      </c>
      <c r="O315" t="s">
        <v>45</v>
      </c>
      <c r="P315">
        <v>49</v>
      </c>
      <c r="Q315">
        <v>59</v>
      </c>
    </row>
    <row r="316" spans="1:17" x14ac:dyDescent="0.25">
      <c r="A316">
        <v>2018</v>
      </c>
      <c r="B316" t="s">
        <v>1</v>
      </c>
      <c r="C316">
        <v>990</v>
      </c>
      <c r="D316">
        <v>1802.7989854992713</v>
      </c>
      <c r="E316" t="s">
        <v>45</v>
      </c>
      <c r="F316">
        <v>3.44</v>
      </c>
      <c r="G316" t="s">
        <v>323</v>
      </c>
      <c r="H316">
        <v>72.790000000000006</v>
      </c>
      <c r="I316">
        <v>31.3</v>
      </c>
      <c r="J316">
        <v>50.02</v>
      </c>
      <c r="K316">
        <v>19.66</v>
      </c>
      <c r="L316">
        <v>1.79</v>
      </c>
      <c r="M316" t="s">
        <v>219</v>
      </c>
      <c r="N316" t="s">
        <v>57</v>
      </c>
      <c r="O316" t="s">
        <v>45</v>
      </c>
      <c r="P316">
        <v>46</v>
      </c>
      <c r="Q316">
        <v>29</v>
      </c>
    </row>
    <row r="317" spans="1:17" x14ac:dyDescent="0.25">
      <c r="A317">
        <v>2019</v>
      </c>
      <c r="B317" t="s">
        <v>6</v>
      </c>
      <c r="C317">
        <v>53</v>
      </c>
      <c r="D317">
        <v>71.734261059736838</v>
      </c>
      <c r="E317" t="s">
        <v>45</v>
      </c>
      <c r="F317">
        <v>2.36</v>
      </c>
      <c r="G317" t="s">
        <v>323</v>
      </c>
      <c r="H317">
        <v>75.650000000000006</v>
      </c>
      <c r="I317">
        <v>60.91</v>
      </c>
      <c r="J317">
        <v>49.08</v>
      </c>
      <c r="K317">
        <v>34.83</v>
      </c>
      <c r="L317">
        <v>1.9</v>
      </c>
      <c r="M317" t="s">
        <v>338</v>
      </c>
      <c r="N317" t="s">
        <v>44</v>
      </c>
      <c r="O317" t="s">
        <v>45</v>
      </c>
      <c r="P317">
        <v>51</v>
      </c>
      <c r="Q317">
        <v>33</v>
      </c>
    </row>
    <row r="318" spans="1:17" x14ac:dyDescent="0.25">
      <c r="A318">
        <v>2019</v>
      </c>
      <c r="B318" t="s">
        <v>6</v>
      </c>
      <c r="C318">
        <v>549</v>
      </c>
      <c r="D318">
        <v>470.10445177107056</v>
      </c>
      <c r="E318" t="s">
        <v>45</v>
      </c>
      <c r="F318">
        <v>4.1500000000000004</v>
      </c>
      <c r="G318" t="s">
        <v>323</v>
      </c>
      <c r="H318">
        <v>20.75</v>
      </c>
      <c r="I318">
        <v>28.26</v>
      </c>
      <c r="J318">
        <v>96.26</v>
      </c>
      <c r="K318">
        <v>56.32</v>
      </c>
      <c r="L318">
        <v>0.86</v>
      </c>
      <c r="M318" t="s">
        <v>339</v>
      </c>
      <c r="N318" t="s">
        <v>44</v>
      </c>
      <c r="O318" t="s">
        <v>45</v>
      </c>
      <c r="P318">
        <v>66</v>
      </c>
      <c r="Q318">
        <v>48</v>
      </c>
    </row>
    <row r="319" spans="1:17" x14ac:dyDescent="0.25">
      <c r="A319">
        <v>2019</v>
      </c>
      <c r="B319" t="s">
        <v>9</v>
      </c>
      <c r="C319">
        <v>579</v>
      </c>
      <c r="D319">
        <v>1955.4819100935249</v>
      </c>
      <c r="E319" t="s">
        <v>45</v>
      </c>
      <c r="F319">
        <v>3.24</v>
      </c>
      <c r="G319" t="s">
        <v>323</v>
      </c>
      <c r="H319">
        <v>66.22</v>
      </c>
      <c r="I319">
        <v>68.48</v>
      </c>
      <c r="J319">
        <v>75.599999999999994</v>
      </c>
      <c r="K319">
        <v>7.13</v>
      </c>
      <c r="L319">
        <v>2.0699999999999998</v>
      </c>
      <c r="M319" t="s">
        <v>340</v>
      </c>
      <c r="N319" t="s">
        <v>53</v>
      </c>
      <c r="O319" t="s">
        <v>41</v>
      </c>
      <c r="P319">
        <v>47</v>
      </c>
      <c r="Q319">
        <v>50</v>
      </c>
    </row>
    <row r="320" spans="1:17" x14ac:dyDescent="0.25">
      <c r="A320">
        <v>2019</v>
      </c>
      <c r="B320" t="s">
        <v>9</v>
      </c>
      <c r="C320">
        <v>681</v>
      </c>
      <c r="D320">
        <v>1170.7194595785074</v>
      </c>
      <c r="E320" t="s">
        <v>45</v>
      </c>
      <c r="F320">
        <v>6.32</v>
      </c>
      <c r="G320" t="s">
        <v>323</v>
      </c>
      <c r="H320">
        <v>92.8</v>
      </c>
      <c r="I320">
        <v>47.81</v>
      </c>
      <c r="J320">
        <v>25.35</v>
      </c>
      <c r="K320">
        <v>67.400000000000006</v>
      </c>
      <c r="L320">
        <v>0.98</v>
      </c>
      <c r="M320" t="s">
        <v>209</v>
      </c>
      <c r="N320" t="s">
        <v>63</v>
      </c>
      <c r="O320" t="s">
        <v>45</v>
      </c>
      <c r="P320">
        <v>49</v>
      </c>
      <c r="Q320">
        <v>40</v>
      </c>
    </row>
    <row r="321" spans="1:17" x14ac:dyDescent="0.25">
      <c r="A321">
        <v>2019</v>
      </c>
      <c r="B321" t="s">
        <v>5</v>
      </c>
      <c r="C321">
        <v>189</v>
      </c>
      <c r="D321">
        <v>479.81381951483127</v>
      </c>
      <c r="E321" t="s">
        <v>45</v>
      </c>
      <c r="F321">
        <v>8.09</v>
      </c>
      <c r="G321" t="s">
        <v>323</v>
      </c>
      <c r="H321">
        <v>59.51</v>
      </c>
      <c r="I321">
        <v>45.1</v>
      </c>
      <c r="J321">
        <v>93.23</v>
      </c>
      <c r="K321">
        <v>63.3</v>
      </c>
      <c r="L321">
        <v>1.42</v>
      </c>
      <c r="M321" t="s">
        <v>341</v>
      </c>
      <c r="N321" t="s">
        <v>44</v>
      </c>
      <c r="O321" t="s">
        <v>45</v>
      </c>
      <c r="P321">
        <v>69</v>
      </c>
      <c r="Q321">
        <v>54</v>
      </c>
    </row>
    <row r="322" spans="1:17" x14ac:dyDescent="0.25">
      <c r="A322">
        <v>2019</v>
      </c>
      <c r="B322" t="s">
        <v>8</v>
      </c>
      <c r="C322">
        <v>2119</v>
      </c>
      <c r="D322">
        <v>1386.0148425923189</v>
      </c>
      <c r="E322" t="s">
        <v>45</v>
      </c>
      <c r="F322">
        <v>8.98</v>
      </c>
      <c r="G322" t="s">
        <v>323</v>
      </c>
      <c r="H322">
        <v>42.33</v>
      </c>
      <c r="I322">
        <v>43.45</v>
      </c>
      <c r="J322">
        <v>26.51</v>
      </c>
      <c r="K322">
        <v>12.14</v>
      </c>
      <c r="L322">
        <v>1.03</v>
      </c>
      <c r="M322" t="s">
        <v>303</v>
      </c>
      <c r="N322" t="s">
        <v>57</v>
      </c>
      <c r="O322" t="s">
        <v>41</v>
      </c>
      <c r="P322">
        <v>49</v>
      </c>
      <c r="Q322">
        <v>33</v>
      </c>
    </row>
    <row r="323" spans="1:17" x14ac:dyDescent="0.25">
      <c r="A323">
        <v>2019</v>
      </c>
      <c r="B323" t="s">
        <v>3</v>
      </c>
      <c r="C323">
        <v>1701</v>
      </c>
      <c r="D323">
        <v>4188.2401405227074</v>
      </c>
      <c r="E323" t="s">
        <v>45</v>
      </c>
      <c r="F323">
        <v>3.38</v>
      </c>
      <c r="G323" t="s">
        <v>323</v>
      </c>
      <c r="H323">
        <v>52.47</v>
      </c>
      <c r="I323">
        <v>9.51</v>
      </c>
      <c r="J323">
        <v>72.38</v>
      </c>
      <c r="K323">
        <v>69.760000000000005</v>
      </c>
      <c r="L323">
        <v>0.33</v>
      </c>
      <c r="M323" t="s">
        <v>342</v>
      </c>
      <c r="N323" t="s">
        <v>59</v>
      </c>
      <c r="O323" t="s">
        <v>41</v>
      </c>
      <c r="P323">
        <v>49</v>
      </c>
      <c r="Q323">
        <v>49</v>
      </c>
    </row>
    <row r="324" spans="1:17" x14ac:dyDescent="0.25">
      <c r="A324">
        <v>2020</v>
      </c>
      <c r="B324" t="s">
        <v>6</v>
      </c>
      <c r="C324">
        <v>1436</v>
      </c>
      <c r="D324">
        <v>2784.3961106864458</v>
      </c>
      <c r="E324" t="s">
        <v>45</v>
      </c>
      <c r="F324">
        <v>2.92</v>
      </c>
      <c r="G324" t="s">
        <v>323</v>
      </c>
      <c r="H324">
        <v>70.819999999999993</v>
      </c>
      <c r="I324">
        <v>37.729999999999997</v>
      </c>
      <c r="J324">
        <v>69.849999999999994</v>
      </c>
      <c r="K324">
        <v>30.11</v>
      </c>
      <c r="L324">
        <v>0.74</v>
      </c>
      <c r="M324" t="s">
        <v>343</v>
      </c>
      <c r="N324" t="s">
        <v>59</v>
      </c>
      <c r="O324" t="s">
        <v>41</v>
      </c>
      <c r="P324">
        <v>69</v>
      </c>
      <c r="Q324">
        <v>58</v>
      </c>
    </row>
    <row r="325" spans="1:17" x14ac:dyDescent="0.25">
      <c r="A325">
        <v>2020</v>
      </c>
      <c r="B325" t="s">
        <v>9</v>
      </c>
      <c r="C325">
        <v>1563</v>
      </c>
      <c r="D325">
        <v>1557.1818015943215</v>
      </c>
      <c r="E325" t="s">
        <v>45</v>
      </c>
      <c r="F325">
        <v>5.14</v>
      </c>
      <c r="G325" t="s">
        <v>323</v>
      </c>
      <c r="H325">
        <v>56.9</v>
      </c>
      <c r="I325">
        <v>26.36</v>
      </c>
      <c r="J325">
        <v>33.49</v>
      </c>
      <c r="K325">
        <v>36.770000000000003</v>
      </c>
      <c r="L325">
        <v>0.37</v>
      </c>
      <c r="M325" t="s">
        <v>344</v>
      </c>
      <c r="N325" t="s">
        <v>44</v>
      </c>
      <c r="O325" t="s">
        <v>41</v>
      </c>
      <c r="P325">
        <v>74</v>
      </c>
      <c r="Q325">
        <v>41</v>
      </c>
    </row>
    <row r="326" spans="1:17" x14ac:dyDescent="0.25">
      <c r="A326">
        <v>2020</v>
      </c>
      <c r="B326" t="s">
        <v>8</v>
      </c>
      <c r="C326">
        <v>1914</v>
      </c>
      <c r="D326">
        <v>4939.0709190535372</v>
      </c>
      <c r="E326" t="s">
        <v>45</v>
      </c>
      <c r="F326">
        <v>7.29</v>
      </c>
      <c r="G326" t="s">
        <v>323</v>
      </c>
      <c r="H326">
        <v>48.41</v>
      </c>
      <c r="I326">
        <v>60.93</v>
      </c>
      <c r="J326">
        <v>31.78</v>
      </c>
      <c r="K326">
        <v>18.77</v>
      </c>
      <c r="L326">
        <v>0.78</v>
      </c>
      <c r="M326" t="s">
        <v>130</v>
      </c>
      <c r="N326" t="s">
        <v>63</v>
      </c>
      <c r="O326" t="s">
        <v>41</v>
      </c>
      <c r="P326">
        <v>53</v>
      </c>
      <c r="Q326">
        <v>58</v>
      </c>
    </row>
    <row r="327" spans="1:17" x14ac:dyDescent="0.25">
      <c r="A327">
        <v>2020</v>
      </c>
      <c r="B327" t="s">
        <v>3</v>
      </c>
      <c r="C327">
        <v>2073</v>
      </c>
      <c r="D327">
        <v>4660.266002706262</v>
      </c>
      <c r="E327" t="s">
        <v>45</v>
      </c>
      <c r="F327">
        <v>5.42</v>
      </c>
      <c r="G327" t="s">
        <v>323</v>
      </c>
      <c r="H327">
        <v>70.099999999999994</v>
      </c>
      <c r="I327">
        <v>2.31</v>
      </c>
      <c r="J327">
        <v>26.63</v>
      </c>
      <c r="K327">
        <v>8.4700000000000006</v>
      </c>
      <c r="L327">
        <v>1.05</v>
      </c>
      <c r="M327" t="s">
        <v>345</v>
      </c>
      <c r="N327" t="s">
        <v>50</v>
      </c>
      <c r="O327" t="s">
        <v>41</v>
      </c>
      <c r="P327">
        <v>73</v>
      </c>
      <c r="Q327">
        <v>57</v>
      </c>
    </row>
    <row r="328" spans="1:17" x14ac:dyDescent="0.25">
      <c r="A328">
        <v>2020</v>
      </c>
      <c r="B328" t="s">
        <v>1</v>
      </c>
      <c r="C328">
        <v>751</v>
      </c>
      <c r="D328">
        <v>2561.8857274980678</v>
      </c>
      <c r="E328" t="s">
        <v>45</v>
      </c>
      <c r="F328">
        <v>5.76</v>
      </c>
      <c r="G328" t="s">
        <v>323</v>
      </c>
      <c r="H328">
        <v>39.58</v>
      </c>
      <c r="I328">
        <v>36.770000000000003</v>
      </c>
      <c r="J328">
        <v>59.32</v>
      </c>
      <c r="K328">
        <v>60.93</v>
      </c>
      <c r="L328">
        <v>1.0900000000000001</v>
      </c>
      <c r="M328" t="s">
        <v>346</v>
      </c>
      <c r="N328" t="s">
        <v>47</v>
      </c>
      <c r="O328" t="s">
        <v>45</v>
      </c>
      <c r="P328">
        <v>76</v>
      </c>
      <c r="Q328">
        <v>59</v>
      </c>
    </row>
    <row r="329" spans="1:17" x14ac:dyDescent="0.25">
      <c r="A329">
        <v>2021</v>
      </c>
      <c r="B329" t="s">
        <v>9</v>
      </c>
      <c r="C329">
        <v>1721</v>
      </c>
      <c r="D329">
        <v>4234.683115947515</v>
      </c>
      <c r="E329" t="s">
        <v>45</v>
      </c>
      <c r="F329">
        <v>2.19</v>
      </c>
      <c r="G329" t="s">
        <v>323</v>
      </c>
      <c r="H329">
        <v>77.67</v>
      </c>
      <c r="I329">
        <v>20.329999999999998</v>
      </c>
      <c r="J329">
        <v>65.95</v>
      </c>
      <c r="K329">
        <v>56.04</v>
      </c>
      <c r="L329">
        <v>1.82</v>
      </c>
      <c r="M329" t="s">
        <v>347</v>
      </c>
      <c r="N329" t="s">
        <v>57</v>
      </c>
      <c r="O329" t="s">
        <v>41</v>
      </c>
      <c r="P329">
        <v>48</v>
      </c>
      <c r="Q329">
        <v>25</v>
      </c>
    </row>
    <row r="330" spans="1:17" x14ac:dyDescent="0.25">
      <c r="A330">
        <v>2021</v>
      </c>
      <c r="B330" t="s">
        <v>2</v>
      </c>
      <c r="C330">
        <v>1040</v>
      </c>
      <c r="D330">
        <v>653.99272295721539</v>
      </c>
      <c r="E330" t="s">
        <v>45</v>
      </c>
      <c r="F330">
        <v>5.72</v>
      </c>
      <c r="G330" t="s">
        <v>323</v>
      </c>
      <c r="H330">
        <v>57.7</v>
      </c>
      <c r="I330">
        <v>9.2100000000000009</v>
      </c>
      <c r="J330">
        <v>76.69</v>
      </c>
      <c r="K330">
        <v>64.34</v>
      </c>
      <c r="L330">
        <v>2.1800000000000002</v>
      </c>
      <c r="M330" t="s">
        <v>348</v>
      </c>
      <c r="N330" t="s">
        <v>59</v>
      </c>
      <c r="O330" t="s">
        <v>41</v>
      </c>
      <c r="P330">
        <v>56</v>
      </c>
      <c r="Q330">
        <v>27</v>
      </c>
    </row>
    <row r="331" spans="1:17" x14ac:dyDescent="0.25">
      <c r="A331">
        <v>2021</v>
      </c>
      <c r="B331" t="s">
        <v>2</v>
      </c>
      <c r="C331">
        <v>2312</v>
      </c>
      <c r="D331">
        <v>7853.4392723860637</v>
      </c>
      <c r="E331" t="s">
        <v>45</v>
      </c>
      <c r="F331">
        <v>4.55</v>
      </c>
      <c r="G331" t="s">
        <v>323</v>
      </c>
      <c r="H331">
        <v>94.55</v>
      </c>
      <c r="I331">
        <v>49.37</v>
      </c>
      <c r="J331">
        <v>52.19</v>
      </c>
      <c r="K331">
        <v>56.65</v>
      </c>
      <c r="L331">
        <v>0.95</v>
      </c>
      <c r="M331" t="s">
        <v>164</v>
      </c>
      <c r="N331" t="s">
        <v>63</v>
      </c>
      <c r="O331" t="s">
        <v>45</v>
      </c>
      <c r="P331">
        <v>60</v>
      </c>
      <c r="Q331">
        <v>28</v>
      </c>
    </row>
    <row r="332" spans="1:17" x14ac:dyDescent="0.25">
      <c r="A332">
        <v>2021</v>
      </c>
      <c r="B332" t="s">
        <v>2</v>
      </c>
      <c r="C332">
        <v>609</v>
      </c>
      <c r="D332">
        <v>1587.4998620664901</v>
      </c>
      <c r="E332" t="s">
        <v>45</v>
      </c>
      <c r="F332">
        <v>7.76</v>
      </c>
      <c r="G332" t="s">
        <v>323</v>
      </c>
      <c r="H332">
        <v>82.52</v>
      </c>
      <c r="I332">
        <v>54.25</v>
      </c>
      <c r="J332">
        <v>27.34</v>
      </c>
      <c r="K332">
        <v>44.87</v>
      </c>
      <c r="L332">
        <v>0.44</v>
      </c>
      <c r="M332" t="s">
        <v>349</v>
      </c>
      <c r="N332" t="s">
        <v>47</v>
      </c>
      <c r="O332" t="s">
        <v>45</v>
      </c>
      <c r="P332">
        <v>68</v>
      </c>
      <c r="Q332">
        <v>29</v>
      </c>
    </row>
    <row r="333" spans="1:17" x14ac:dyDescent="0.25">
      <c r="A333">
        <v>2022</v>
      </c>
      <c r="B333" t="s">
        <v>6</v>
      </c>
      <c r="C333">
        <v>1503</v>
      </c>
      <c r="D333">
        <v>2240.18929907658</v>
      </c>
      <c r="E333" t="s">
        <v>45</v>
      </c>
      <c r="F333">
        <v>7.98</v>
      </c>
      <c r="G333" t="s">
        <v>323</v>
      </c>
      <c r="H333">
        <v>39.21</v>
      </c>
      <c r="I333">
        <v>58.33</v>
      </c>
      <c r="J333">
        <v>55.12</v>
      </c>
      <c r="K333">
        <v>47.19</v>
      </c>
      <c r="L333">
        <v>2.48</v>
      </c>
      <c r="M333" t="s">
        <v>350</v>
      </c>
      <c r="N333" t="s">
        <v>44</v>
      </c>
      <c r="O333" t="s">
        <v>41</v>
      </c>
      <c r="P333">
        <v>80</v>
      </c>
      <c r="Q333">
        <v>39</v>
      </c>
    </row>
    <row r="334" spans="1:17" x14ac:dyDescent="0.25">
      <c r="A334">
        <v>2022</v>
      </c>
      <c r="B334" t="s">
        <v>3</v>
      </c>
      <c r="C334">
        <v>1583</v>
      </c>
      <c r="D334">
        <v>2103.5453379468017</v>
      </c>
      <c r="E334" t="s">
        <v>45</v>
      </c>
      <c r="F334">
        <v>9.9600000000000009</v>
      </c>
      <c r="G334" t="s">
        <v>323</v>
      </c>
      <c r="H334">
        <v>94.52</v>
      </c>
      <c r="I334">
        <v>34.53</v>
      </c>
      <c r="J334">
        <v>65.83</v>
      </c>
      <c r="K334">
        <v>56.2</v>
      </c>
      <c r="L334">
        <v>1.06</v>
      </c>
      <c r="M334" t="s">
        <v>351</v>
      </c>
      <c r="N334" t="s">
        <v>63</v>
      </c>
      <c r="O334" t="s">
        <v>41</v>
      </c>
      <c r="P334">
        <v>46</v>
      </c>
      <c r="Q334">
        <v>22</v>
      </c>
    </row>
    <row r="335" spans="1:17" x14ac:dyDescent="0.25">
      <c r="A335">
        <v>2022</v>
      </c>
      <c r="B335" t="s">
        <v>7</v>
      </c>
      <c r="C335">
        <v>843</v>
      </c>
      <c r="D335">
        <v>1828.3344317290594</v>
      </c>
      <c r="E335" t="s">
        <v>45</v>
      </c>
      <c r="F335">
        <v>2.2599999999999998</v>
      </c>
      <c r="G335" t="s">
        <v>323</v>
      </c>
      <c r="H335">
        <v>86.71</v>
      </c>
      <c r="I335">
        <v>17.54</v>
      </c>
      <c r="J335">
        <v>28.19</v>
      </c>
      <c r="K335">
        <v>15.74</v>
      </c>
      <c r="L335">
        <v>1.53</v>
      </c>
      <c r="M335" t="s">
        <v>352</v>
      </c>
      <c r="N335" t="s">
        <v>63</v>
      </c>
      <c r="O335" t="s">
        <v>45</v>
      </c>
      <c r="P335">
        <v>75</v>
      </c>
      <c r="Q335">
        <v>28</v>
      </c>
    </row>
    <row r="336" spans="1:17" x14ac:dyDescent="0.25">
      <c r="A336">
        <v>2022</v>
      </c>
      <c r="B336" t="s">
        <v>1</v>
      </c>
      <c r="C336">
        <v>1917</v>
      </c>
      <c r="D336">
        <v>4260.6959757163968</v>
      </c>
      <c r="E336" t="s">
        <v>45</v>
      </c>
      <c r="F336">
        <v>6.76</v>
      </c>
      <c r="G336" t="s">
        <v>323</v>
      </c>
      <c r="H336">
        <v>35.51</v>
      </c>
      <c r="I336">
        <v>40.67</v>
      </c>
      <c r="J336">
        <v>97.51</v>
      </c>
      <c r="K336">
        <v>58.07</v>
      </c>
      <c r="L336">
        <v>1.41</v>
      </c>
      <c r="M336" t="s">
        <v>353</v>
      </c>
      <c r="N336" t="s">
        <v>53</v>
      </c>
      <c r="O336" t="s">
        <v>41</v>
      </c>
      <c r="P336">
        <v>53</v>
      </c>
      <c r="Q336">
        <v>21</v>
      </c>
    </row>
    <row r="337" spans="1:17" x14ac:dyDescent="0.25">
      <c r="A337">
        <v>2022</v>
      </c>
      <c r="B337" t="s">
        <v>1</v>
      </c>
      <c r="C337">
        <v>2224</v>
      </c>
      <c r="D337">
        <v>6743.0352619371988</v>
      </c>
      <c r="E337" t="s">
        <v>45</v>
      </c>
      <c r="F337">
        <v>9.8000000000000007</v>
      </c>
      <c r="G337" t="s">
        <v>323</v>
      </c>
      <c r="H337">
        <v>41.34</v>
      </c>
      <c r="I337">
        <v>7.5</v>
      </c>
      <c r="J337">
        <v>97.22</v>
      </c>
      <c r="K337">
        <v>13.31</v>
      </c>
      <c r="L337">
        <v>0.66</v>
      </c>
      <c r="M337" t="s">
        <v>354</v>
      </c>
      <c r="N337" t="s">
        <v>53</v>
      </c>
      <c r="O337" t="s">
        <v>45</v>
      </c>
      <c r="P337">
        <v>54</v>
      </c>
      <c r="Q337">
        <v>29</v>
      </c>
    </row>
    <row r="338" spans="1:17" x14ac:dyDescent="0.25">
      <c r="A338">
        <v>2023</v>
      </c>
      <c r="B338" t="s">
        <v>9</v>
      </c>
      <c r="C338">
        <v>2350</v>
      </c>
      <c r="D338">
        <v>4820.1989593403105</v>
      </c>
      <c r="E338" t="s">
        <v>45</v>
      </c>
      <c r="F338">
        <v>2.9</v>
      </c>
      <c r="G338" t="s">
        <v>323</v>
      </c>
      <c r="H338">
        <v>26.77</v>
      </c>
      <c r="I338">
        <v>14.99</v>
      </c>
      <c r="J338">
        <v>25.63</v>
      </c>
      <c r="K338">
        <v>7.5</v>
      </c>
      <c r="L338">
        <v>2.34</v>
      </c>
      <c r="M338" t="s">
        <v>355</v>
      </c>
      <c r="N338" t="s">
        <v>53</v>
      </c>
      <c r="O338" t="s">
        <v>41</v>
      </c>
      <c r="P338">
        <v>73</v>
      </c>
      <c r="Q338">
        <v>20</v>
      </c>
    </row>
    <row r="339" spans="1:17" x14ac:dyDescent="0.25">
      <c r="A339">
        <v>2023</v>
      </c>
      <c r="B339" t="s">
        <v>2</v>
      </c>
      <c r="C339">
        <v>1924</v>
      </c>
      <c r="D339">
        <v>3625.5547114981423</v>
      </c>
      <c r="E339" t="s">
        <v>45</v>
      </c>
      <c r="F339">
        <v>9.2200000000000006</v>
      </c>
      <c r="G339" t="s">
        <v>323</v>
      </c>
      <c r="H339">
        <v>59.84</v>
      </c>
      <c r="I339">
        <v>3.85</v>
      </c>
      <c r="J339">
        <v>35.659999999999997</v>
      </c>
      <c r="K339">
        <v>42.87</v>
      </c>
      <c r="L339">
        <v>0.2</v>
      </c>
      <c r="M339" t="s">
        <v>356</v>
      </c>
      <c r="N339" t="s">
        <v>59</v>
      </c>
      <c r="O339" t="s">
        <v>45</v>
      </c>
      <c r="P339">
        <v>72</v>
      </c>
      <c r="Q339">
        <v>22</v>
      </c>
    </row>
    <row r="340" spans="1:17" x14ac:dyDescent="0.25">
      <c r="A340">
        <v>2023</v>
      </c>
      <c r="B340" t="s">
        <v>8</v>
      </c>
      <c r="C340">
        <v>1128</v>
      </c>
      <c r="D340">
        <v>1634.0434745739155</v>
      </c>
      <c r="E340" t="s">
        <v>45</v>
      </c>
      <c r="F340">
        <v>4.92</v>
      </c>
      <c r="G340" t="s">
        <v>323</v>
      </c>
      <c r="H340">
        <v>24.24</v>
      </c>
      <c r="I340">
        <v>63.22</v>
      </c>
      <c r="J340">
        <v>84.51</v>
      </c>
      <c r="K340">
        <v>25.08</v>
      </c>
      <c r="L340">
        <v>2.19</v>
      </c>
      <c r="M340" t="s">
        <v>357</v>
      </c>
      <c r="N340" t="s">
        <v>57</v>
      </c>
      <c r="O340" t="s">
        <v>45</v>
      </c>
      <c r="P340">
        <v>71</v>
      </c>
      <c r="Q340">
        <v>50</v>
      </c>
    </row>
    <row r="341" spans="1:17" x14ac:dyDescent="0.25">
      <c r="A341">
        <v>2023</v>
      </c>
      <c r="B341" t="s">
        <v>4</v>
      </c>
      <c r="C341">
        <v>1785</v>
      </c>
      <c r="D341">
        <v>6190.6863987368688</v>
      </c>
      <c r="E341" t="s">
        <v>45</v>
      </c>
      <c r="F341">
        <v>9.23</v>
      </c>
      <c r="G341" t="s">
        <v>323</v>
      </c>
      <c r="H341">
        <v>77.489999999999995</v>
      </c>
      <c r="I341">
        <v>67.7</v>
      </c>
      <c r="J341">
        <v>57.82</v>
      </c>
      <c r="K341">
        <v>66.099999999999994</v>
      </c>
      <c r="L341">
        <v>0.35</v>
      </c>
      <c r="M341" t="s">
        <v>141</v>
      </c>
      <c r="N341" t="s">
        <v>50</v>
      </c>
      <c r="O341" t="s">
        <v>41</v>
      </c>
      <c r="P341">
        <v>62</v>
      </c>
      <c r="Q341">
        <v>20</v>
      </c>
    </row>
    <row r="342" spans="1:17" x14ac:dyDescent="0.25">
      <c r="A342">
        <v>2024</v>
      </c>
      <c r="B342" t="s">
        <v>6</v>
      </c>
      <c r="C342">
        <v>2030</v>
      </c>
      <c r="D342">
        <v>3630.6096164080836</v>
      </c>
      <c r="E342" t="s">
        <v>45</v>
      </c>
      <c r="F342">
        <v>2.66</v>
      </c>
      <c r="G342" t="s">
        <v>323</v>
      </c>
      <c r="H342">
        <v>48.9</v>
      </c>
      <c r="I342">
        <v>25.61</v>
      </c>
      <c r="J342">
        <v>81.64</v>
      </c>
      <c r="K342">
        <v>25.58</v>
      </c>
      <c r="L342">
        <v>0.97</v>
      </c>
      <c r="M342" t="s">
        <v>328</v>
      </c>
      <c r="N342" t="s">
        <v>50</v>
      </c>
      <c r="O342" t="s">
        <v>41</v>
      </c>
      <c r="P342">
        <v>79</v>
      </c>
      <c r="Q342">
        <v>25</v>
      </c>
    </row>
    <row r="343" spans="1:17" x14ac:dyDescent="0.25">
      <c r="A343">
        <v>2024</v>
      </c>
      <c r="B343" t="s">
        <v>3</v>
      </c>
      <c r="C343">
        <v>1310</v>
      </c>
      <c r="D343">
        <v>2593.348228352223</v>
      </c>
      <c r="E343" t="s">
        <v>45</v>
      </c>
      <c r="F343">
        <v>2.35</v>
      </c>
      <c r="G343" t="s">
        <v>323</v>
      </c>
      <c r="H343">
        <v>43.19</v>
      </c>
      <c r="I343">
        <v>31.7</v>
      </c>
      <c r="J343">
        <v>68.319999999999993</v>
      </c>
      <c r="K343">
        <v>5.01</v>
      </c>
      <c r="L343">
        <v>1.78</v>
      </c>
      <c r="M343" t="s">
        <v>358</v>
      </c>
      <c r="N343" t="s">
        <v>44</v>
      </c>
      <c r="O343" t="s">
        <v>45</v>
      </c>
      <c r="P343">
        <v>45</v>
      </c>
      <c r="Q343">
        <v>30</v>
      </c>
    </row>
    <row r="344" spans="1:17" x14ac:dyDescent="0.25">
      <c r="A344">
        <v>2024</v>
      </c>
      <c r="B344" t="s">
        <v>3</v>
      </c>
      <c r="C344">
        <v>1943</v>
      </c>
      <c r="D344">
        <v>2548.9728724084057</v>
      </c>
      <c r="E344" t="s">
        <v>45</v>
      </c>
      <c r="F344">
        <v>3.91</v>
      </c>
      <c r="G344" t="s">
        <v>323</v>
      </c>
      <c r="H344">
        <v>21.75</v>
      </c>
      <c r="I344">
        <v>4.04</v>
      </c>
      <c r="J344">
        <v>29.83</v>
      </c>
      <c r="K344">
        <v>27.79</v>
      </c>
      <c r="L344">
        <v>1.49</v>
      </c>
      <c r="M344" t="s">
        <v>359</v>
      </c>
      <c r="N344" t="s">
        <v>53</v>
      </c>
      <c r="O344" t="s">
        <v>45</v>
      </c>
      <c r="P344">
        <v>52</v>
      </c>
      <c r="Q344">
        <v>25</v>
      </c>
    </row>
    <row r="345" spans="1:17" x14ac:dyDescent="0.25">
      <c r="A345">
        <v>2024</v>
      </c>
      <c r="B345" t="s">
        <v>3</v>
      </c>
      <c r="C345">
        <v>2238</v>
      </c>
      <c r="D345">
        <v>4387.0170173970646</v>
      </c>
      <c r="E345" t="s">
        <v>45</v>
      </c>
      <c r="F345">
        <v>6.37</v>
      </c>
      <c r="G345" t="s">
        <v>323</v>
      </c>
      <c r="H345">
        <v>48.31</v>
      </c>
      <c r="I345">
        <v>10.8</v>
      </c>
      <c r="J345">
        <v>42.39</v>
      </c>
      <c r="K345">
        <v>57.52</v>
      </c>
      <c r="L345">
        <v>1.4</v>
      </c>
      <c r="M345" t="s">
        <v>360</v>
      </c>
      <c r="N345" t="s">
        <v>59</v>
      </c>
      <c r="O345" t="s">
        <v>45</v>
      </c>
      <c r="P345">
        <v>50</v>
      </c>
      <c r="Q345">
        <v>51</v>
      </c>
    </row>
    <row r="346" spans="1:17" x14ac:dyDescent="0.25">
      <c r="A346">
        <v>2024</v>
      </c>
      <c r="B346" t="s">
        <v>4</v>
      </c>
      <c r="C346">
        <v>1785</v>
      </c>
      <c r="D346">
        <v>3937.8299664009996</v>
      </c>
      <c r="E346" t="s">
        <v>45</v>
      </c>
      <c r="F346">
        <v>3.5</v>
      </c>
      <c r="G346" t="s">
        <v>323</v>
      </c>
      <c r="H346">
        <v>24.36</v>
      </c>
      <c r="I346">
        <v>7.14</v>
      </c>
      <c r="J346">
        <v>88.98</v>
      </c>
      <c r="K346">
        <v>19.45</v>
      </c>
      <c r="L346">
        <v>0.25</v>
      </c>
      <c r="M346" t="s">
        <v>361</v>
      </c>
      <c r="N346" t="s">
        <v>63</v>
      </c>
      <c r="O346" t="s">
        <v>41</v>
      </c>
      <c r="P346">
        <v>79</v>
      </c>
      <c r="Q346">
        <v>26</v>
      </c>
    </row>
    <row r="347" spans="1:17" x14ac:dyDescent="0.25">
      <c r="A347">
        <v>2025</v>
      </c>
      <c r="B347" t="s">
        <v>6</v>
      </c>
      <c r="C347">
        <v>2459</v>
      </c>
      <c r="D347">
        <v>7868.4224132060544</v>
      </c>
      <c r="E347" t="s">
        <v>45</v>
      </c>
      <c r="F347">
        <v>7.05</v>
      </c>
      <c r="G347" t="s">
        <v>323</v>
      </c>
      <c r="H347">
        <v>44.57</v>
      </c>
      <c r="I347">
        <v>48.83</v>
      </c>
      <c r="J347">
        <v>42.71</v>
      </c>
      <c r="K347">
        <v>34.049999999999997</v>
      </c>
      <c r="L347">
        <v>0.69</v>
      </c>
      <c r="M347" t="s">
        <v>362</v>
      </c>
      <c r="N347" t="s">
        <v>47</v>
      </c>
      <c r="O347" t="s">
        <v>41</v>
      </c>
      <c r="P347">
        <v>74</v>
      </c>
      <c r="Q347">
        <v>53</v>
      </c>
    </row>
    <row r="348" spans="1:17" x14ac:dyDescent="0.25">
      <c r="A348">
        <v>2025</v>
      </c>
      <c r="B348" t="s">
        <v>5</v>
      </c>
      <c r="C348">
        <v>1940</v>
      </c>
      <c r="D348">
        <v>3054.5403104952561</v>
      </c>
      <c r="E348" t="s">
        <v>45</v>
      </c>
      <c r="F348">
        <v>8.31</v>
      </c>
      <c r="G348" t="s">
        <v>323</v>
      </c>
      <c r="H348">
        <v>90.74</v>
      </c>
      <c r="I348">
        <v>29.6</v>
      </c>
      <c r="J348">
        <v>83.26</v>
      </c>
      <c r="K348">
        <v>7.88</v>
      </c>
      <c r="L348">
        <v>1.17</v>
      </c>
      <c r="M348" t="s">
        <v>363</v>
      </c>
      <c r="N348" t="s">
        <v>63</v>
      </c>
      <c r="O348" t="s">
        <v>41</v>
      </c>
      <c r="P348">
        <v>57</v>
      </c>
      <c r="Q348">
        <v>50</v>
      </c>
    </row>
    <row r="349" spans="1:17" x14ac:dyDescent="0.25">
      <c r="A349">
        <v>2025</v>
      </c>
      <c r="B349" t="s">
        <v>4</v>
      </c>
      <c r="C349">
        <v>1147</v>
      </c>
      <c r="D349">
        <v>3726.422041660755</v>
      </c>
      <c r="E349" t="s">
        <v>45</v>
      </c>
      <c r="F349">
        <v>8.98</v>
      </c>
      <c r="G349" t="s">
        <v>323</v>
      </c>
      <c r="H349">
        <v>64.36</v>
      </c>
      <c r="I349">
        <v>37.6</v>
      </c>
      <c r="J349">
        <v>34.869999999999997</v>
      </c>
      <c r="K349">
        <v>26.8</v>
      </c>
      <c r="L349">
        <v>0.24</v>
      </c>
      <c r="M349" t="s">
        <v>364</v>
      </c>
      <c r="N349" t="s">
        <v>47</v>
      </c>
      <c r="O349" t="s">
        <v>45</v>
      </c>
      <c r="P349">
        <v>54</v>
      </c>
      <c r="Q349">
        <v>60</v>
      </c>
    </row>
    <row r="350" spans="1:17" x14ac:dyDescent="0.25">
      <c r="A350">
        <v>2015</v>
      </c>
      <c r="B350" t="s">
        <v>10</v>
      </c>
      <c r="C350">
        <v>378</v>
      </c>
      <c r="D350">
        <v>276.30497656031667</v>
      </c>
      <c r="E350" t="s">
        <v>41</v>
      </c>
      <c r="F350">
        <v>2.93</v>
      </c>
      <c r="G350" t="s">
        <v>323</v>
      </c>
      <c r="H350">
        <v>27.1</v>
      </c>
      <c r="I350">
        <v>58.37</v>
      </c>
      <c r="J350">
        <v>89.17</v>
      </c>
      <c r="K350">
        <v>45</v>
      </c>
      <c r="L350">
        <v>1.34</v>
      </c>
      <c r="M350" t="s">
        <v>296</v>
      </c>
      <c r="N350" t="s">
        <v>50</v>
      </c>
      <c r="O350" t="s">
        <v>41</v>
      </c>
      <c r="P350">
        <v>69</v>
      </c>
      <c r="Q350">
        <v>39</v>
      </c>
    </row>
    <row r="351" spans="1:17" x14ac:dyDescent="0.25">
      <c r="A351">
        <v>2015</v>
      </c>
      <c r="B351" t="s">
        <v>2</v>
      </c>
      <c r="C351">
        <v>1996</v>
      </c>
      <c r="D351">
        <v>4704.7849034196115</v>
      </c>
      <c r="E351" t="s">
        <v>41</v>
      </c>
      <c r="F351">
        <v>6.43</v>
      </c>
      <c r="G351" t="s">
        <v>323</v>
      </c>
      <c r="H351">
        <v>51.61</v>
      </c>
      <c r="I351">
        <v>9.07</v>
      </c>
      <c r="J351">
        <v>65.819999999999993</v>
      </c>
      <c r="K351">
        <v>10.6</v>
      </c>
      <c r="L351">
        <v>2.19</v>
      </c>
      <c r="M351" t="s">
        <v>210</v>
      </c>
      <c r="N351" t="s">
        <v>47</v>
      </c>
      <c r="O351" t="s">
        <v>41</v>
      </c>
      <c r="P351">
        <v>53</v>
      </c>
      <c r="Q351">
        <v>43</v>
      </c>
    </row>
    <row r="352" spans="1:17" x14ac:dyDescent="0.25">
      <c r="A352">
        <v>2015</v>
      </c>
      <c r="B352" t="s">
        <v>8</v>
      </c>
      <c r="C352">
        <v>605</v>
      </c>
      <c r="D352">
        <v>701.58048303346823</v>
      </c>
      <c r="E352" t="s">
        <v>41</v>
      </c>
      <c r="F352">
        <v>7.15</v>
      </c>
      <c r="G352" t="s">
        <v>323</v>
      </c>
      <c r="H352">
        <v>79.09</v>
      </c>
      <c r="I352">
        <v>46</v>
      </c>
      <c r="J352">
        <v>45.95</v>
      </c>
      <c r="K352">
        <v>63.7</v>
      </c>
      <c r="L352">
        <v>1.75</v>
      </c>
      <c r="M352" t="s">
        <v>365</v>
      </c>
      <c r="N352" t="s">
        <v>53</v>
      </c>
      <c r="O352" t="s">
        <v>45</v>
      </c>
      <c r="P352">
        <v>69</v>
      </c>
      <c r="Q352">
        <v>45</v>
      </c>
    </row>
    <row r="353" spans="1:17" x14ac:dyDescent="0.25">
      <c r="A353">
        <v>2015</v>
      </c>
      <c r="B353" t="s">
        <v>3</v>
      </c>
      <c r="C353">
        <v>1839</v>
      </c>
      <c r="D353">
        <v>2146.2698559114419</v>
      </c>
      <c r="E353" t="s">
        <v>41</v>
      </c>
      <c r="F353">
        <v>6.88</v>
      </c>
      <c r="G353" t="s">
        <v>323</v>
      </c>
      <c r="H353">
        <v>30.36</v>
      </c>
      <c r="I353">
        <v>5.33</v>
      </c>
      <c r="J353">
        <v>54.01</v>
      </c>
      <c r="K353">
        <v>42.53</v>
      </c>
      <c r="L353">
        <v>1.48</v>
      </c>
      <c r="M353" t="s">
        <v>366</v>
      </c>
      <c r="N353" t="s">
        <v>59</v>
      </c>
      <c r="O353" t="s">
        <v>41</v>
      </c>
      <c r="P353">
        <v>42</v>
      </c>
      <c r="Q353">
        <v>47</v>
      </c>
    </row>
    <row r="354" spans="1:17" x14ac:dyDescent="0.25">
      <c r="A354">
        <v>2016</v>
      </c>
      <c r="B354" t="s">
        <v>10</v>
      </c>
      <c r="C354">
        <v>2248</v>
      </c>
      <c r="D354">
        <v>6255.5993813074383</v>
      </c>
      <c r="E354" t="s">
        <v>41</v>
      </c>
      <c r="F354">
        <v>6.38</v>
      </c>
      <c r="G354" t="s">
        <v>323</v>
      </c>
      <c r="H354">
        <v>38.880000000000003</v>
      </c>
      <c r="I354">
        <v>21.65</v>
      </c>
      <c r="J354">
        <v>44.14</v>
      </c>
      <c r="K354">
        <v>58.35</v>
      </c>
      <c r="L354">
        <v>1.95</v>
      </c>
      <c r="M354" t="s">
        <v>68</v>
      </c>
      <c r="N354" t="s">
        <v>57</v>
      </c>
      <c r="O354" t="s">
        <v>45</v>
      </c>
      <c r="P354">
        <v>72</v>
      </c>
      <c r="Q354">
        <v>38</v>
      </c>
    </row>
    <row r="355" spans="1:17" x14ac:dyDescent="0.25">
      <c r="A355">
        <v>2016</v>
      </c>
      <c r="B355" t="s">
        <v>10</v>
      </c>
      <c r="C355">
        <v>2265</v>
      </c>
      <c r="D355">
        <v>1614.3198947109111</v>
      </c>
      <c r="E355" t="s">
        <v>41</v>
      </c>
      <c r="F355">
        <v>2.56</v>
      </c>
      <c r="G355" t="s">
        <v>323</v>
      </c>
      <c r="H355">
        <v>28.78</v>
      </c>
      <c r="I355">
        <v>65.790000000000006</v>
      </c>
      <c r="J355">
        <v>70.03</v>
      </c>
      <c r="K355">
        <v>26.43</v>
      </c>
      <c r="L355">
        <v>1.1399999999999999</v>
      </c>
      <c r="M355" t="s">
        <v>367</v>
      </c>
      <c r="N355" t="s">
        <v>44</v>
      </c>
      <c r="O355" t="s">
        <v>45</v>
      </c>
      <c r="P355">
        <v>71</v>
      </c>
      <c r="Q355">
        <v>55</v>
      </c>
    </row>
    <row r="356" spans="1:17" x14ac:dyDescent="0.25">
      <c r="A356">
        <v>2016</v>
      </c>
      <c r="B356" t="s">
        <v>6</v>
      </c>
      <c r="C356">
        <v>1795</v>
      </c>
      <c r="D356">
        <v>1980.8152432566314</v>
      </c>
      <c r="E356" t="s">
        <v>41</v>
      </c>
      <c r="F356">
        <v>7.28</v>
      </c>
      <c r="G356" t="s">
        <v>323</v>
      </c>
      <c r="H356">
        <v>89.42</v>
      </c>
      <c r="I356">
        <v>21.79</v>
      </c>
      <c r="J356">
        <v>38.4</v>
      </c>
      <c r="K356">
        <v>14.56</v>
      </c>
      <c r="L356">
        <v>2.06</v>
      </c>
      <c r="M356" t="s">
        <v>368</v>
      </c>
      <c r="N356" t="s">
        <v>53</v>
      </c>
      <c r="O356" t="s">
        <v>45</v>
      </c>
      <c r="P356">
        <v>70</v>
      </c>
      <c r="Q356">
        <v>33</v>
      </c>
    </row>
    <row r="357" spans="1:17" x14ac:dyDescent="0.25">
      <c r="A357">
        <v>2016</v>
      </c>
      <c r="B357" t="s">
        <v>9</v>
      </c>
      <c r="C357">
        <v>1916</v>
      </c>
      <c r="D357">
        <v>3953.3301220015883</v>
      </c>
      <c r="E357" t="s">
        <v>41</v>
      </c>
      <c r="F357">
        <v>6.81</v>
      </c>
      <c r="G357" t="s">
        <v>323</v>
      </c>
      <c r="H357">
        <v>25.98</v>
      </c>
      <c r="I357">
        <v>54.79</v>
      </c>
      <c r="J357">
        <v>79.63</v>
      </c>
      <c r="K357">
        <v>23.84</v>
      </c>
      <c r="L357">
        <v>1.48</v>
      </c>
      <c r="M357" t="s">
        <v>369</v>
      </c>
      <c r="N357" t="s">
        <v>57</v>
      </c>
      <c r="O357" t="s">
        <v>41</v>
      </c>
      <c r="P357">
        <v>79</v>
      </c>
      <c r="Q357">
        <v>50</v>
      </c>
    </row>
    <row r="358" spans="1:17" x14ac:dyDescent="0.25">
      <c r="A358">
        <v>2016</v>
      </c>
      <c r="B358" t="s">
        <v>7</v>
      </c>
      <c r="C358">
        <v>546</v>
      </c>
      <c r="D358">
        <v>589.19320253403134</v>
      </c>
      <c r="E358" t="s">
        <v>41</v>
      </c>
      <c r="F358">
        <v>5</v>
      </c>
      <c r="G358" t="s">
        <v>323</v>
      </c>
      <c r="H358">
        <v>21.17</v>
      </c>
      <c r="I358">
        <v>46.03</v>
      </c>
      <c r="J358">
        <v>86.29</v>
      </c>
      <c r="K358">
        <v>37.229999999999997</v>
      </c>
      <c r="L358">
        <v>0.66</v>
      </c>
      <c r="M358" t="s">
        <v>370</v>
      </c>
      <c r="N358" t="s">
        <v>59</v>
      </c>
      <c r="O358" t="s">
        <v>45</v>
      </c>
      <c r="P358">
        <v>69</v>
      </c>
      <c r="Q358">
        <v>43</v>
      </c>
    </row>
    <row r="359" spans="1:17" x14ac:dyDescent="0.25">
      <c r="A359">
        <v>2016</v>
      </c>
      <c r="B359" t="s">
        <v>7</v>
      </c>
      <c r="C359">
        <v>1123</v>
      </c>
      <c r="D359">
        <v>3036.3431011280122</v>
      </c>
      <c r="E359" t="s">
        <v>41</v>
      </c>
      <c r="F359">
        <v>7.88</v>
      </c>
      <c r="G359" t="s">
        <v>323</v>
      </c>
      <c r="H359">
        <v>42.08</v>
      </c>
      <c r="I359">
        <v>47.04</v>
      </c>
      <c r="J359">
        <v>29.72</v>
      </c>
      <c r="K359">
        <v>5.74</v>
      </c>
      <c r="L359">
        <v>1.81</v>
      </c>
      <c r="M359" t="s">
        <v>371</v>
      </c>
      <c r="N359" t="s">
        <v>63</v>
      </c>
      <c r="O359" t="s">
        <v>45</v>
      </c>
      <c r="P359">
        <v>56</v>
      </c>
      <c r="Q359">
        <v>42</v>
      </c>
    </row>
    <row r="360" spans="1:17" x14ac:dyDescent="0.25">
      <c r="A360">
        <v>2016</v>
      </c>
      <c r="B360" t="s">
        <v>4</v>
      </c>
      <c r="C360">
        <v>1038</v>
      </c>
      <c r="D360">
        <v>1018.3807888775209</v>
      </c>
      <c r="E360" t="s">
        <v>41</v>
      </c>
      <c r="F360">
        <v>4.67</v>
      </c>
      <c r="G360" t="s">
        <v>323</v>
      </c>
      <c r="H360">
        <v>73.11</v>
      </c>
      <c r="I360">
        <v>28.94</v>
      </c>
      <c r="J360">
        <v>91.88</v>
      </c>
      <c r="K360">
        <v>11.4</v>
      </c>
      <c r="L360">
        <v>0.37</v>
      </c>
      <c r="M360" t="s">
        <v>372</v>
      </c>
      <c r="N360" t="s">
        <v>57</v>
      </c>
      <c r="O360" t="s">
        <v>45</v>
      </c>
      <c r="P360">
        <v>53</v>
      </c>
      <c r="Q360">
        <v>27</v>
      </c>
    </row>
    <row r="361" spans="1:17" x14ac:dyDescent="0.25">
      <c r="A361">
        <v>2017</v>
      </c>
      <c r="B361" t="s">
        <v>10</v>
      </c>
      <c r="C361">
        <v>275</v>
      </c>
      <c r="D361">
        <v>333.17765187144227</v>
      </c>
      <c r="E361" t="s">
        <v>41</v>
      </c>
      <c r="F361">
        <v>8.44</v>
      </c>
      <c r="G361" t="s">
        <v>323</v>
      </c>
      <c r="H361">
        <v>44.65</v>
      </c>
      <c r="I361">
        <v>28.43</v>
      </c>
      <c r="J361">
        <v>87.04</v>
      </c>
      <c r="K361">
        <v>34.729999999999997</v>
      </c>
      <c r="L361">
        <v>2.27</v>
      </c>
      <c r="M361" t="s">
        <v>373</v>
      </c>
      <c r="N361" t="s">
        <v>50</v>
      </c>
      <c r="O361" t="s">
        <v>45</v>
      </c>
      <c r="P361">
        <v>45</v>
      </c>
      <c r="Q361">
        <v>43</v>
      </c>
    </row>
    <row r="362" spans="1:17" x14ac:dyDescent="0.25">
      <c r="A362">
        <v>2017</v>
      </c>
      <c r="B362" t="s">
        <v>9</v>
      </c>
      <c r="C362">
        <v>1761</v>
      </c>
      <c r="D362">
        <v>3858.9225579778863</v>
      </c>
      <c r="E362" t="s">
        <v>41</v>
      </c>
      <c r="F362">
        <v>4.38</v>
      </c>
      <c r="G362" t="s">
        <v>323</v>
      </c>
      <c r="H362">
        <v>47.33</v>
      </c>
      <c r="I362">
        <v>22.31</v>
      </c>
      <c r="J362">
        <v>72.39</v>
      </c>
      <c r="K362">
        <v>11.15</v>
      </c>
      <c r="L362">
        <v>0.31</v>
      </c>
      <c r="M362" t="s">
        <v>374</v>
      </c>
      <c r="N362" t="s">
        <v>57</v>
      </c>
      <c r="O362" t="s">
        <v>45</v>
      </c>
      <c r="P362">
        <v>76</v>
      </c>
      <c r="Q362">
        <v>35</v>
      </c>
    </row>
    <row r="363" spans="1:17" x14ac:dyDescent="0.25">
      <c r="A363">
        <v>2017</v>
      </c>
      <c r="B363" t="s">
        <v>5</v>
      </c>
      <c r="C363">
        <v>1650</v>
      </c>
      <c r="D363">
        <v>5306.8205977352873</v>
      </c>
      <c r="E363" t="s">
        <v>41</v>
      </c>
      <c r="F363">
        <v>9.4499999999999993</v>
      </c>
      <c r="G363" t="s">
        <v>323</v>
      </c>
      <c r="H363">
        <v>26.24</v>
      </c>
      <c r="I363">
        <v>6.63</v>
      </c>
      <c r="J363">
        <v>54.68</v>
      </c>
      <c r="K363">
        <v>18.32</v>
      </c>
      <c r="L363">
        <v>0.49</v>
      </c>
      <c r="M363" t="s">
        <v>375</v>
      </c>
      <c r="N363" t="s">
        <v>47</v>
      </c>
      <c r="O363" t="s">
        <v>41</v>
      </c>
      <c r="P363">
        <v>80</v>
      </c>
      <c r="Q363">
        <v>33</v>
      </c>
    </row>
    <row r="364" spans="1:17" x14ac:dyDescent="0.25">
      <c r="A364">
        <v>2017</v>
      </c>
      <c r="B364" t="s">
        <v>4</v>
      </c>
      <c r="C364">
        <v>1760</v>
      </c>
      <c r="D364">
        <v>4804.2373364835385</v>
      </c>
      <c r="E364" t="s">
        <v>41</v>
      </c>
      <c r="F364">
        <v>2.13</v>
      </c>
      <c r="G364" t="s">
        <v>323</v>
      </c>
      <c r="H364">
        <v>63.81</v>
      </c>
      <c r="I364">
        <v>47.31</v>
      </c>
      <c r="J364">
        <v>70.930000000000007</v>
      </c>
      <c r="K364">
        <v>39.479999999999997</v>
      </c>
      <c r="L364">
        <v>0.26</v>
      </c>
      <c r="M364" t="s">
        <v>200</v>
      </c>
      <c r="N364" t="s">
        <v>50</v>
      </c>
      <c r="O364" t="s">
        <v>45</v>
      </c>
      <c r="P364">
        <v>40</v>
      </c>
      <c r="Q364">
        <v>47</v>
      </c>
    </row>
    <row r="365" spans="1:17" x14ac:dyDescent="0.25">
      <c r="A365">
        <v>2017</v>
      </c>
      <c r="B365" t="s">
        <v>1</v>
      </c>
      <c r="C365">
        <v>2270</v>
      </c>
      <c r="D365">
        <v>2261.9683043104551</v>
      </c>
      <c r="E365" t="s">
        <v>41</v>
      </c>
      <c r="F365">
        <v>8.9600000000000009</v>
      </c>
      <c r="G365" t="s">
        <v>323</v>
      </c>
      <c r="H365">
        <v>37.32</v>
      </c>
      <c r="I365">
        <v>23.82</v>
      </c>
      <c r="J365">
        <v>44.4</v>
      </c>
      <c r="K365">
        <v>38.14</v>
      </c>
      <c r="L365">
        <v>1.33</v>
      </c>
      <c r="M365" t="s">
        <v>376</v>
      </c>
      <c r="N365" t="s">
        <v>57</v>
      </c>
      <c r="O365" t="s">
        <v>41</v>
      </c>
      <c r="P365">
        <v>80</v>
      </c>
      <c r="Q365">
        <v>31</v>
      </c>
    </row>
    <row r="366" spans="1:17" x14ac:dyDescent="0.25">
      <c r="A366">
        <v>2018</v>
      </c>
      <c r="B366" t="s">
        <v>6</v>
      </c>
      <c r="C366">
        <v>290</v>
      </c>
      <c r="D366">
        <v>650.74503987074286</v>
      </c>
      <c r="E366" t="s">
        <v>41</v>
      </c>
      <c r="F366">
        <v>3.07</v>
      </c>
      <c r="G366" t="s">
        <v>323</v>
      </c>
      <c r="H366">
        <v>60.34</v>
      </c>
      <c r="I366">
        <v>42.14</v>
      </c>
      <c r="J366">
        <v>31.96</v>
      </c>
      <c r="K366">
        <v>5.61</v>
      </c>
      <c r="L366">
        <v>1.95</v>
      </c>
      <c r="M366" t="s">
        <v>377</v>
      </c>
      <c r="N366" t="s">
        <v>53</v>
      </c>
      <c r="O366" t="s">
        <v>41</v>
      </c>
      <c r="P366">
        <v>58</v>
      </c>
      <c r="Q366">
        <v>59</v>
      </c>
    </row>
    <row r="367" spans="1:17" x14ac:dyDescent="0.25">
      <c r="A367">
        <v>2018</v>
      </c>
      <c r="B367" t="s">
        <v>2</v>
      </c>
      <c r="C367">
        <v>316</v>
      </c>
      <c r="D367">
        <v>848.27616839292534</v>
      </c>
      <c r="E367" t="s">
        <v>41</v>
      </c>
      <c r="F367">
        <v>6.53</v>
      </c>
      <c r="G367" t="s">
        <v>323</v>
      </c>
      <c r="H367">
        <v>50.58</v>
      </c>
      <c r="I367">
        <v>66.59</v>
      </c>
      <c r="J367">
        <v>34.28</v>
      </c>
      <c r="K367">
        <v>62.61</v>
      </c>
      <c r="L367">
        <v>1.05</v>
      </c>
      <c r="M367" t="s">
        <v>378</v>
      </c>
      <c r="N367" t="s">
        <v>53</v>
      </c>
      <c r="O367" t="s">
        <v>41</v>
      </c>
      <c r="P367">
        <v>68</v>
      </c>
      <c r="Q367">
        <v>54</v>
      </c>
    </row>
    <row r="368" spans="1:17" x14ac:dyDescent="0.25">
      <c r="A368">
        <v>2018</v>
      </c>
      <c r="B368" t="s">
        <v>2</v>
      </c>
      <c r="C368">
        <v>1331</v>
      </c>
      <c r="D368">
        <v>4021.214039044552</v>
      </c>
      <c r="E368" t="s">
        <v>41</v>
      </c>
      <c r="F368">
        <v>2.86</v>
      </c>
      <c r="G368" t="s">
        <v>323</v>
      </c>
      <c r="H368">
        <v>78.930000000000007</v>
      </c>
      <c r="I368">
        <v>33.43</v>
      </c>
      <c r="J368">
        <v>35.1</v>
      </c>
      <c r="K368">
        <v>6.11</v>
      </c>
      <c r="L368">
        <v>2.1</v>
      </c>
      <c r="M368" t="s">
        <v>379</v>
      </c>
      <c r="N368" t="s">
        <v>59</v>
      </c>
      <c r="O368" t="s">
        <v>41</v>
      </c>
      <c r="P368">
        <v>44</v>
      </c>
      <c r="Q368">
        <v>50</v>
      </c>
    </row>
    <row r="369" spans="1:17" x14ac:dyDescent="0.25">
      <c r="A369">
        <v>2018</v>
      </c>
      <c r="B369" t="s">
        <v>5</v>
      </c>
      <c r="C369">
        <v>1301</v>
      </c>
      <c r="D369">
        <v>2857.6637198053131</v>
      </c>
      <c r="E369" t="s">
        <v>41</v>
      </c>
      <c r="F369">
        <v>5.84</v>
      </c>
      <c r="G369" t="s">
        <v>323</v>
      </c>
      <c r="H369">
        <v>54.91</v>
      </c>
      <c r="I369">
        <v>67.75</v>
      </c>
      <c r="J369">
        <v>55.94</v>
      </c>
      <c r="K369">
        <v>40.729999999999997</v>
      </c>
      <c r="L369">
        <v>0.96</v>
      </c>
      <c r="M369" t="s">
        <v>380</v>
      </c>
      <c r="N369" t="s">
        <v>63</v>
      </c>
      <c r="O369" t="s">
        <v>45</v>
      </c>
      <c r="P369">
        <v>44</v>
      </c>
      <c r="Q369">
        <v>33</v>
      </c>
    </row>
    <row r="370" spans="1:17" x14ac:dyDescent="0.25">
      <c r="A370">
        <v>2018</v>
      </c>
      <c r="B370" t="s">
        <v>7</v>
      </c>
      <c r="C370">
        <v>205</v>
      </c>
      <c r="D370">
        <v>517.23775899868656</v>
      </c>
      <c r="E370" t="s">
        <v>41</v>
      </c>
      <c r="F370">
        <v>3.07</v>
      </c>
      <c r="G370" t="s">
        <v>323</v>
      </c>
      <c r="H370">
        <v>24.64</v>
      </c>
      <c r="I370">
        <v>18.54</v>
      </c>
      <c r="J370">
        <v>85.88</v>
      </c>
      <c r="K370">
        <v>50.79</v>
      </c>
      <c r="L370">
        <v>0.5</v>
      </c>
      <c r="M370" t="s">
        <v>244</v>
      </c>
      <c r="N370" t="s">
        <v>53</v>
      </c>
      <c r="O370" t="s">
        <v>41</v>
      </c>
      <c r="P370">
        <v>46</v>
      </c>
      <c r="Q370">
        <v>32</v>
      </c>
    </row>
    <row r="371" spans="1:17" x14ac:dyDescent="0.25">
      <c r="A371">
        <v>2018</v>
      </c>
      <c r="B371" t="s">
        <v>4</v>
      </c>
      <c r="C371">
        <v>933</v>
      </c>
      <c r="D371">
        <v>2440.4420127542476</v>
      </c>
      <c r="E371" t="s">
        <v>41</v>
      </c>
      <c r="F371">
        <v>3.52</v>
      </c>
      <c r="G371" t="s">
        <v>323</v>
      </c>
      <c r="H371">
        <v>92.69</v>
      </c>
      <c r="I371">
        <v>54.22</v>
      </c>
      <c r="J371">
        <v>71.040000000000006</v>
      </c>
      <c r="K371">
        <v>17.05</v>
      </c>
      <c r="L371">
        <v>0.49</v>
      </c>
      <c r="M371" t="s">
        <v>381</v>
      </c>
      <c r="N371" t="s">
        <v>47</v>
      </c>
      <c r="O371" t="s">
        <v>41</v>
      </c>
      <c r="P371">
        <v>75</v>
      </c>
      <c r="Q371">
        <v>29</v>
      </c>
    </row>
    <row r="372" spans="1:17" x14ac:dyDescent="0.25">
      <c r="A372">
        <v>2019</v>
      </c>
      <c r="B372" t="s">
        <v>2</v>
      </c>
      <c r="C372">
        <v>1582</v>
      </c>
      <c r="D372">
        <v>5061.1944509614095</v>
      </c>
      <c r="E372" t="s">
        <v>41</v>
      </c>
      <c r="F372">
        <v>6.22</v>
      </c>
      <c r="G372" t="s">
        <v>323</v>
      </c>
      <c r="H372">
        <v>32.46</v>
      </c>
      <c r="I372">
        <v>10.47</v>
      </c>
      <c r="J372">
        <v>38.53</v>
      </c>
      <c r="K372">
        <v>31.07</v>
      </c>
      <c r="L372">
        <v>1.73</v>
      </c>
      <c r="M372" t="s">
        <v>382</v>
      </c>
      <c r="N372" t="s">
        <v>47</v>
      </c>
      <c r="O372" t="s">
        <v>41</v>
      </c>
      <c r="P372">
        <v>74</v>
      </c>
      <c r="Q372">
        <v>45</v>
      </c>
    </row>
    <row r="373" spans="1:17" x14ac:dyDescent="0.25">
      <c r="A373">
        <v>2019</v>
      </c>
      <c r="B373" t="s">
        <v>5</v>
      </c>
      <c r="C373">
        <v>911</v>
      </c>
      <c r="D373">
        <v>585.22981633684003</v>
      </c>
      <c r="E373" t="s">
        <v>41</v>
      </c>
      <c r="F373">
        <v>5.41</v>
      </c>
      <c r="G373" t="s">
        <v>323</v>
      </c>
      <c r="H373">
        <v>60.82</v>
      </c>
      <c r="I373">
        <v>56.44</v>
      </c>
      <c r="J373">
        <v>51.39</v>
      </c>
      <c r="K373">
        <v>20.16</v>
      </c>
      <c r="L373">
        <v>0.3</v>
      </c>
      <c r="M373" t="s">
        <v>383</v>
      </c>
      <c r="N373" t="s">
        <v>47</v>
      </c>
      <c r="O373" t="s">
        <v>41</v>
      </c>
      <c r="P373">
        <v>59</v>
      </c>
      <c r="Q373">
        <v>60</v>
      </c>
    </row>
    <row r="374" spans="1:17" x14ac:dyDescent="0.25">
      <c r="A374">
        <v>2019</v>
      </c>
      <c r="B374" t="s">
        <v>3</v>
      </c>
      <c r="C374">
        <v>553</v>
      </c>
      <c r="D374">
        <v>1910.210105232459</v>
      </c>
      <c r="E374" t="s">
        <v>41</v>
      </c>
      <c r="F374">
        <v>2.61</v>
      </c>
      <c r="G374" t="s">
        <v>323</v>
      </c>
      <c r="H374">
        <v>37.19</v>
      </c>
      <c r="I374">
        <v>32.520000000000003</v>
      </c>
      <c r="J374">
        <v>96.25</v>
      </c>
      <c r="K374">
        <v>27.94</v>
      </c>
      <c r="L374">
        <v>1.1000000000000001</v>
      </c>
      <c r="M374" t="s">
        <v>384</v>
      </c>
      <c r="N374" t="s">
        <v>44</v>
      </c>
      <c r="O374" t="s">
        <v>41</v>
      </c>
      <c r="P374">
        <v>65</v>
      </c>
      <c r="Q374">
        <v>23</v>
      </c>
    </row>
    <row r="375" spans="1:17" x14ac:dyDescent="0.25">
      <c r="A375">
        <v>2019</v>
      </c>
      <c r="B375" t="s">
        <v>7</v>
      </c>
      <c r="C375">
        <v>1546</v>
      </c>
      <c r="D375">
        <v>1799.3247277238031</v>
      </c>
      <c r="E375" t="s">
        <v>41</v>
      </c>
      <c r="F375">
        <v>5.43</v>
      </c>
      <c r="G375" t="s">
        <v>323</v>
      </c>
      <c r="H375">
        <v>51.32</v>
      </c>
      <c r="I375">
        <v>8.3800000000000008</v>
      </c>
      <c r="J375">
        <v>30.02</v>
      </c>
      <c r="K375">
        <v>52.65</v>
      </c>
      <c r="L375">
        <v>1.78</v>
      </c>
      <c r="M375" t="s">
        <v>385</v>
      </c>
      <c r="N375" t="s">
        <v>63</v>
      </c>
      <c r="O375" t="s">
        <v>41</v>
      </c>
      <c r="P375">
        <v>64</v>
      </c>
      <c r="Q375">
        <v>51</v>
      </c>
    </row>
    <row r="376" spans="1:17" x14ac:dyDescent="0.25">
      <c r="A376">
        <v>2019</v>
      </c>
      <c r="B376" t="s">
        <v>7</v>
      </c>
      <c r="C376">
        <v>1122</v>
      </c>
      <c r="D376">
        <v>3463.2404157580236</v>
      </c>
      <c r="E376" t="s">
        <v>41</v>
      </c>
      <c r="F376">
        <v>3.98</v>
      </c>
      <c r="G376" t="s">
        <v>323</v>
      </c>
      <c r="H376">
        <v>88.14</v>
      </c>
      <c r="I376">
        <v>56.32</v>
      </c>
      <c r="J376">
        <v>61.48</v>
      </c>
      <c r="K376">
        <v>35</v>
      </c>
      <c r="L376">
        <v>1.2</v>
      </c>
      <c r="M376" t="s">
        <v>254</v>
      </c>
      <c r="N376" t="s">
        <v>59</v>
      </c>
      <c r="O376" t="s">
        <v>41</v>
      </c>
      <c r="P376">
        <v>78</v>
      </c>
      <c r="Q376">
        <v>26</v>
      </c>
    </row>
    <row r="377" spans="1:17" x14ac:dyDescent="0.25">
      <c r="A377">
        <v>2019</v>
      </c>
      <c r="B377" t="s">
        <v>4</v>
      </c>
      <c r="C377">
        <v>2244</v>
      </c>
      <c r="D377">
        <v>2941.6414928566296</v>
      </c>
      <c r="E377" t="s">
        <v>41</v>
      </c>
      <c r="F377">
        <v>4.24</v>
      </c>
      <c r="G377" t="s">
        <v>323</v>
      </c>
      <c r="H377">
        <v>75.94</v>
      </c>
      <c r="I377">
        <v>60.54</v>
      </c>
      <c r="J377">
        <v>26.71</v>
      </c>
      <c r="K377">
        <v>47.85</v>
      </c>
      <c r="L377">
        <v>1.85</v>
      </c>
      <c r="M377" t="s">
        <v>386</v>
      </c>
      <c r="N377" t="s">
        <v>50</v>
      </c>
      <c r="O377" t="s">
        <v>41</v>
      </c>
      <c r="P377">
        <v>46</v>
      </c>
      <c r="Q377">
        <v>28</v>
      </c>
    </row>
    <row r="378" spans="1:17" x14ac:dyDescent="0.25">
      <c r="A378">
        <v>2019</v>
      </c>
      <c r="B378" t="s">
        <v>1</v>
      </c>
      <c r="C378">
        <v>199</v>
      </c>
      <c r="D378">
        <v>629.15942227683308</v>
      </c>
      <c r="E378" t="s">
        <v>41</v>
      </c>
      <c r="F378">
        <v>5.35</v>
      </c>
      <c r="G378" t="s">
        <v>323</v>
      </c>
      <c r="H378">
        <v>76.400000000000006</v>
      </c>
      <c r="I378">
        <v>68.209999999999994</v>
      </c>
      <c r="J378">
        <v>39.46</v>
      </c>
      <c r="K378">
        <v>28.83</v>
      </c>
      <c r="L378">
        <v>0.33</v>
      </c>
      <c r="M378" t="s">
        <v>187</v>
      </c>
      <c r="N378" t="s">
        <v>57</v>
      </c>
      <c r="O378" t="s">
        <v>45</v>
      </c>
      <c r="P378">
        <v>46</v>
      </c>
      <c r="Q378">
        <v>41</v>
      </c>
    </row>
    <row r="379" spans="1:17" x14ac:dyDescent="0.25">
      <c r="A379">
        <v>2019</v>
      </c>
      <c r="B379" t="s">
        <v>1</v>
      </c>
      <c r="C379">
        <v>253</v>
      </c>
      <c r="D379">
        <v>743.01199578448313</v>
      </c>
      <c r="E379" t="s">
        <v>41</v>
      </c>
      <c r="F379">
        <v>8.74</v>
      </c>
      <c r="G379" t="s">
        <v>323</v>
      </c>
      <c r="H379">
        <v>63.88</v>
      </c>
      <c r="I379">
        <v>43.48</v>
      </c>
      <c r="J379">
        <v>96.69</v>
      </c>
      <c r="K379">
        <v>34.61</v>
      </c>
      <c r="L379">
        <v>0.33</v>
      </c>
      <c r="M379" t="s">
        <v>387</v>
      </c>
      <c r="N379" t="s">
        <v>57</v>
      </c>
      <c r="O379" t="s">
        <v>41</v>
      </c>
      <c r="P379">
        <v>52</v>
      </c>
      <c r="Q379">
        <v>43</v>
      </c>
    </row>
    <row r="380" spans="1:17" x14ac:dyDescent="0.25">
      <c r="A380">
        <v>2020</v>
      </c>
      <c r="B380" t="s">
        <v>6</v>
      </c>
      <c r="C380">
        <v>793</v>
      </c>
      <c r="D380">
        <v>2421.9981792078866</v>
      </c>
      <c r="E380" t="s">
        <v>41</v>
      </c>
      <c r="F380">
        <v>7.77</v>
      </c>
      <c r="G380" t="s">
        <v>323</v>
      </c>
      <c r="H380">
        <v>23.1</v>
      </c>
      <c r="I380">
        <v>7.93</v>
      </c>
      <c r="J380">
        <v>31.25</v>
      </c>
      <c r="K380">
        <v>66.84</v>
      </c>
      <c r="L380">
        <v>0.94</v>
      </c>
      <c r="M380" t="s">
        <v>388</v>
      </c>
      <c r="N380" t="s">
        <v>59</v>
      </c>
      <c r="O380" t="s">
        <v>45</v>
      </c>
      <c r="P380">
        <v>52</v>
      </c>
      <c r="Q380">
        <v>40</v>
      </c>
    </row>
    <row r="381" spans="1:17" x14ac:dyDescent="0.25">
      <c r="A381">
        <v>2020</v>
      </c>
      <c r="B381" t="s">
        <v>9</v>
      </c>
      <c r="C381">
        <v>847</v>
      </c>
      <c r="D381">
        <v>2890.4220604750976</v>
      </c>
      <c r="E381" t="s">
        <v>41</v>
      </c>
      <c r="F381">
        <v>7.02</v>
      </c>
      <c r="G381" t="s">
        <v>323</v>
      </c>
      <c r="H381">
        <v>21.44</v>
      </c>
      <c r="I381">
        <v>14.42</v>
      </c>
      <c r="J381">
        <v>50.86</v>
      </c>
      <c r="K381">
        <v>35.340000000000003</v>
      </c>
      <c r="L381">
        <v>0.28999999999999998</v>
      </c>
      <c r="M381" t="s">
        <v>389</v>
      </c>
      <c r="N381" t="s">
        <v>50</v>
      </c>
      <c r="O381" t="s">
        <v>41</v>
      </c>
      <c r="P381">
        <v>51</v>
      </c>
      <c r="Q381">
        <v>43</v>
      </c>
    </row>
    <row r="382" spans="1:17" x14ac:dyDescent="0.25">
      <c r="A382">
        <v>2020</v>
      </c>
      <c r="B382" t="s">
        <v>2</v>
      </c>
      <c r="C382">
        <v>1349</v>
      </c>
      <c r="D382">
        <v>1907.8264352477215</v>
      </c>
      <c r="E382" t="s">
        <v>41</v>
      </c>
      <c r="F382">
        <v>7.35</v>
      </c>
      <c r="G382" t="s">
        <v>323</v>
      </c>
      <c r="H382">
        <v>26.42</v>
      </c>
      <c r="I382">
        <v>14.16</v>
      </c>
      <c r="J382">
        <v>84.86</v>
      </c>
      <c r="K382">
        <v>62.94</v>
      </c>
      <c r="L382">
        <v>1.05</v>
      </c>
      <c r="M382" t="s">
        <v>390</v>
      </c>
      <c r="N382" t="s">
        <v>47</v>
      </c>
      <c r="O382" t="s">
        <v>45</v>
      </c>
      <c r="P382">
        <v>70</v>
      </c>
      <c r="Q382">
        <v>52</v>
      </c>
    </row>
    <row r="383" spans="1:17" x14ac:dyDescent="0.25">
      <c r="A383">
        <v>2020</v>
      </c>
      <c r="B383" t="s">
        <v>8</v>
      </c>
      <c r="C383">
        <v>1875</v>
      </c>
      <c r="D383">
        <v>5332.9517280889486</v>
      </c>
      <c r="E383" t="s">
        <v>41</v>
      </c>
      <c r="F383">
        <v>6.89</v>
      </c>
      <c r="G383" t="s">
        <v>323</v>
      </c>
      <c r="H383">
        <v>75.84</v>
      </c>
      <c r="I383">
        <v>38.96</v>
      </c>
      <c r="J383">
        <v>75.19</v>
      </c>
      <c r="K383">
        <v>52.73</v>
      </c>
      <c r="L383">
        <v>1.86</v>
      </c>
      <c r="M383" t="s">
        <v>317</v>
      </c>
      <c r="N383" t="s">
        <v>50</v>
      </c>
      <c r="O383" t="s">
        <v>41</v>
      </c>
      <c r="P383">
        <v>52</v>
      </c>
      <c r="Q383">
        <v>50</v>
      </c>
    </row>
    <row r="384" spans="1:17" x14ac:dyDescent="0.25">
      <c r="A384">
        <v>2020</v>
      </c>
      <c r="B384" t="s">
        <v>3</v>
      </c>
      <c r="C384">
        <v>1195</v>
      </c>
      <c r="D384">
        <v>3702.5247750343565</v>
      </c>
      <c r="E384" t="s">
        <v>41</v>
      </c>
      <c r="F384">
        <v>8.74</v>
      </c>
      <c r="G384" t="s">
        <v>323</v>
      </c>
      <c r="H384">
        <v>51.51</v>
      </c>
      <c r="I384">
        <v>9.25</v>
      </c>
      <c r="J384">
        <v>59.52</v>
      </c>
      <c r="K384">
        <v>67.19</v>
      </c>
      <c r="L384">
        <v>1.6</v>
      </c>
      <c r="M384" t="s">
        <v>391</v>
      </c>
      <c r="N384" t="s">
        <v>59</v>
      </c>
      <c r="O384" t="s">
        <v>41</v>
      </c>
      <c r="P384">
        <v>63</v>
      </c>
      <c r="Q384">
        <v>24</v>
      </c>
    </row>
    <row r="385" spans="1:17" x14ac:dyDescent="0.25">
      <c r="A385">
        <v>2020</v>
      </c>
      <c r="B385" t="s">
        <v>7</v>
      </c>
      <c r="C385">
        <v>74</v>
      </c>
      <c r="D385">
        <v>236.03213086521811</v>
      </c>
      <c r="E385" t="s">
        <v>41</v>
      </c>
      <c r="F385">
        <v>8.48</v>
      </c>
      <c r="G385" t="s">
        <v>323</v>
      </c>
      <c r="H385">
        <v>23.45</v>
      </c>
      <c r="I385">
        <v>35.450000000000003</v>
      </c>
      <c r="J385">
        <v>46.91</v>
      </c>
      <c r="K385">
        <v>17.57</v>
      </c>
      <c r="L385">
        <v>2.2400000000000002</v>
      </c>
      <c r="M385" t="s">
        <v>392</v>
      </c>
      <c r="N385" t="s">
        <v>59</v>
      </c>
      <c r="O385" t="s">
        <v>45</v>
      </c>
      <c r="P385">
        <v>65</v>
      </c>
      <c r="Q385">
        <v>52</v>
      </c>
    </row>
    <row r="386" spans="1:17" x14ac:dyDescent="0.25">
      <c r="A386">
        <v>2020</v>
      </c>
      <c r="B386" t="s">
        <v>4</v>
      </c>
      <c r="C386">
        <v>475</v>
      </c>
      <c r="D386">
        <v>513.8824192995113</v>
      </c>
      <c r="E386" t="s">
        <v>41</v>
      </c>
      <c r="F386">
        <v>3.69</v>
      </c>
      <c r="G386" t="s">
        <v>323</v>
      </c>
      <c r="H386">
        <v>56.87</v>
      </c>
      <c r="I386">
        <v>56.14</v>
      </c>
      <c r="J386">
        <v>52.89</v>
      </c>
      <c r="K386">
        <v>34.57</v>
      </c>
      <c r="L386">
        <v>2.0699999999999998</v>
      </c>
      <c r="M386" t="s">
        <v>109</v>
      </c>
      <c r="N386" t="s">
        <v>53</v>
      </c>
      <c r="O386" t="s">
        <v>41</v>
      </c>
      <c r="P386">
        <v>76</v>
      </c>
      <c r="Q386">
        <v>51</v>
      </c>
    </row>
    <row r="387" spans="1:17" x14ac:dyDescent="0.25">
      <c r="A387">
        <v>2020</v>
      </c>
      <c r="B387" t="s">
        <v>4</v>
      </c>
      <c r="C387">
        <v>1115</v>
      </c>
      <c r="D387">
        <v>3547.8763563830807</v>
      </c>
      <c r="E387" t="s">
        <v>41</v>
      </c>
      <c r="F387">
        <v>3.61</v>
      </c>
      <c r="G387" t="s">
        <v>323</v>
      </c>
      <c r="H387">
        <v>43.64</v>
      </c>
      <c r="I387">
        <v>8.94</v>
      </c>
      <c r="J387">
        <v>95.39</v>
      </c>
      <c r="K387">
        <v>26.17</v>
      </c>
      <c r="L387">
        <v>2.16</v>
      </c>
      <c r="M387" t="s">
        <v>343</v>
      </c>
      <c r="N387" t="s">
        <v>50</v>
      </c>
      <c r="O387" t="s">
        <v>45</v>
      </c>
      <c r="P387">
        <v>69</v>
      </c>
      <c r="Q387">
        <v>58</v>
      </c>
    </row>
    <row r="388" spans="1:17" x14ac:dyDescent="0.25">
      <c r="A388">
        <v>2020</v>
      </c>
      <c r="B388" t="s">
        <v>4</v>
      </c>
      <c r="C388">
        <v>70</v>
      </c>
      <c r="D388">
        <v>242.63216208508132</v>
      </c>
      <c r="E388" t="s">
        <v>41</v>
      </c>
      <c r="F388">
        <v>6.83</v>
      </c>
      <c r="G388" t="s">
        <v>323</v>
      </c>
      <c r="H388">
        <v>68.97</v>
      </c>
      <c r="I388">
        <v>16.420000000000002</v>
      </c>
      <c r="J388">
        <v>86.24</v>
      </c>
      <c r="K388">
        <v>40.17</v>
      </c>
      <c r="L388">
        <v>0.42</v>
      </c>
      <c r="M388" t="s">
        <v>393</v>
      </c>
      <c r="N388" t="s">
        <v>47</v>
      </c>
      <c r="O388" t="s">
        <v>41</v>
      </c>
      <c r="P388">
        <v>67</v>
      </c>
      <c r="Q388">
        <v>45</v>
      </c>
    </row>
    <row r="389" spans="1:17" x14ac:dyDescent="0.25">
      <c r="A389">
        <v>2020</v>
      </c>
      <c r="B389" t="s">
        <v>1</v>
      </c>
      <c r="C389">
        <v>1125</v>
      </c>
      <c r="D389">
        <v>1915.3342293316687</v>
      </c>
      <c r="E389" t="s">
        <v>41</v>
      </c>
      <c r="F389">
        <v>6.88</v>
      </c>
      <c r="G389" t="s">
        <v>323</v>
      </c>
      <c r="H389">
        <v>93.83</v>
      </c>
      <c r="I389">
        <v>20.92</v>
      </c>
      <c r="J389">
        <v>82.96</v>
      </c>
      <c r="K389">
        <v>28.22</v>
      </c>
      <c r="L389">
        <v>2.13</v>
      </c>
      <c r="M389" t="s">
        <v>394</v>
      </c>
      <c r="N389" t="s">
        <v>50</v>
      </c>
      <c r="O389" t="s">
        <v>45</v>
      </c>
      <c r="P389">
        <v>73</v>
      </c>
      <c r="Q389">
        <v>22</v>
      </c>
    </row>
    <row r="390" spans="1:17" x14ac:dyDescent="0.25">
      <c r="A390">
        <v>2021</v>
      </c>
      <c r="B390" t="s">
        <v>2</v>
      </c>
      <c r="C390">
        <v>825</v>
      </c>
      <c r="D390">
        <v>2076.6616107474842</v>
      </c>
      <c r="E390" t="s">
        <v>41</v>
      </c>
      <c r="F390">
        <v>3.25</v>
      </c>
      <c r="G390" t="s">
        <v>323</v>
      </c>
      <c r="H390">
        <v>26.47</v>
      </c>
      <c r="I390">
        <v>58.14</v>
      </c>
      <c r="J390">
        <v>44.11</v>
      </c>
      <c r="K390">
        <v>33.369999999999997</v>
      </c>
      <c r="L390">
        <v>1.72</v>
      </c>
      <c r="M390" t="s">
        <v>395</v>
      </c>
      <c r="N390" t="s">
        <v>57</v>
      </c>
      <c r="O390" t="s">
        <v>45</v>
      </c>
      <c r="P390">
        <v>53</v>
      </c>
      <c r="Q390">
        <v>39</v>
      </c>
    </row>
    <row r="391" spans="1:17" x14ac:dyDescent="0.25">
      <c r="A391">
        <v>2021</v>
      </c>
      <c r="B391" t="s">
        <v>5</v>
      </c>
      <c r="C391">
        <v>2438</v>
      </c>
      <c r="D391">
        <v>8333.7118346074294</v>
      </c>
      <c r="E391" t="s">
        <v>41</v>
      </c>
      <c r="F391">
        <v>9.35</v>
      </c>
      <c r="G391" t="s">
        <v>323</v>
      </c>
      <c r="H391">
        <v>87.87</v>
      </c>
      <c r="I391">
        <v>29.71</v>
      </c>
      <c r="J391">
        <v>91.79</v>
      </c>
      <c r="K391">
        <v>52.23</v>
      </c>
      <c r="L391">
        <v>2.11</v>
      </c>
      <c r="M391" t="s">
        <v>396</v>
      </c>
      <c r="N391" t="s">
        <v>44</v>
      </c>
      <c r="O391" t="s">
        <v>45</v>
      </c>
      <c r="P391">
        <v>52</v>
      </c>
      <c r="Q391">
        <v>49</v>
      </c>
    </row>
    <row r="392" spans="1:17" x14ac:dyDescent="0.25">
      <c r="A392">
        <v>2021</v>
      </c>
      <c r="B392" t="s">
        <v>8</v>
      </c>
      <c r="C392">
        <v>1783</v>
      </c>
      <c r="D392">
        <v>3577.6923039362023</v>
      </c>
      <c r="E392" t="s">
        <v>41</v>
      </c>
      <c r="F392">
        <v>8.9499999999999993</v>
      </c>
      <c r="G392" t="s">
        <v>323</v>
      </c>
      <c r="H392">
        <v>34.6</v>
      </c>
      <c r="I392">
        <v>40.03</v>
      </c>
      <c r="J392">
        <v>77.11</v>
      </c>
      <c r="K392">
        <v>37.32</v>
      </c>
      <c r="L392">
        <v>0.72</v>
      </c>
      <c r="M392" t="s">
        <v>397</v>
      </c>
      <c r="N392" t="s">
        <v>57</v>
      </c>
      <c r="O392" t="s">
        <v>45</v>
      </c>
      <c r="P392">
        <v>47</v>
      </c>
      <c r="Q392">
        <v>55</v>
      </c>
    </row>
    <row r="393" spans="1:17" x14ac:dyDescent="0.25">
      <c r="A393">
        <v>2021</v>
      </c>
      <c r="B393" t="s">
        <v>3</v>
      </c>
      <c r="C393">
        <v>1098</v>
      </c>
      <c r="D393">
        <v>2533.6526163170106</v>
      </c>
      <c r="E393" t="s">
        <v>41</v>
      </c>
      <c r="F393">
        <v>4.2699999999999996</v>
      </c>
      <c r="G393" t="s">
        <v>323</v>
      </c>
      <c r="H393">
        <v>30.2</v>
      </c>
      <c r="I393">
        <v>63.74</v>
      </c>
      <c r="J393">
        <v>28.36</v>
      </c>
      <c r="K393">
        <v>13.14</v>
      </c>
      <c r="L393">
        <v>1.55</v>
      </c>
      <c r="M393" t="s">
        <v>67</v>
      </c>
      <c r="N393" t="s">
        <v>44</v>
      </c>
      <c r="O393" t="s">
        <v>41</v>
      </c>
      <c r="P393">
        <v>47</v>
      </c>
      <c r="Q393">
        <v>60</v>
      </c>
    </row>
    <row r="394" spans="1:17" x14ac:dyDescent="0.25">
      <c r="A394">
        <v>2021</v>
      </c>
      <c r="B394" t="s">
        <v>4</v>
      </c>
      <c r="C394">
        <v>51</v>
      </c>
      <c r="D394">
        <v>174.58823872909909</v>
      </c>
      <c r="E394" t="s">
        <v>41</v>
      </c>
      <c r="F394">
        <v>4.3099999999999996</v>
      </c>
      <c r="G394" t="s">
        <v>323</v>
      </c>
      <c r="H394">
        <v>16.21</v>
      </c>
      <c r="I394">
        <v>49.93</v>
      </c>
      <c r="J394">
        <v>65.94</v>
      </c>
      <c r="K394">
        <v>42.02</v>
      </c>
      <c r="L394">
        <v>0.23</v>
      </c>
      <c r="M394" t="s">
        <v>398</v>
      </c>
      <c r="N394" t="s">
        <v>53</v>
      </c>
      <c r="O394" t="s">
        <v>41</v>
      </c>
      <c r="P394">
        <v>78</v>
      </c>
      <c r="Q394">
        <v>58</v>
      </c>
    </row>
    <row r="395" spans="1:17" x14ac:dyDescent="0.25">
      <c r="A395">
        <v>2021</v>
      </c>
      <c r="B395" t="s">
        <v>1</v>
      </c>
      <c r="C395">
        <v>477</v>
      </c>
      <c r="D395">
        <v>1525.6967227149714</v>
      </c>
      <c r="E395" t="s">
        <v>41</v>
      </c>
      <c r="F395">
        <v>8.9</v>
      </c>
      <c r="G395" t="s">
        <v>323</v>
      </c>
      <c r="H395">
        <v>25.38</v>
      </c>
      <c r="I395">
        <v>46.33</v>
      </c>
      <c r="J395">
        <v>40.56</v>
      </c>
      <c r="K395">
        <v>28.31</v>
      </c>
      <c r="L395">
        <v>1.1499999999999999</v>
      </c>
      <c r="M395" t="s">
        <v>399</v>
      </c>
      <c r="N395" t="s">
        <v>63</v>
      </c>
      <c r="O395" t="s">
        <v>45</v>
      </c>
      <c r="P395">
        <v>44</v>
      </c>
      <c r="Q395">
        <v>39</v>
      </c>
    </row>
    <row r="396" spans="1:17" x14ac:dyDescent="0.25">
      <c r="A396">
        <v>2021</v>
      </c>
      <c r="B396" t="s">
        <v>1</v>
      </c>
      <c r="C396">
        <v>1246</v>
      </c>
      <c r="D396">
        <v>1177.8887608759821</v>
      </c>
      <c r="E396" t="s">
        <v>41</v>
      </c>
      <c r="F396">
        <v>6.14</v>
      </c>
      <c r="G396" t="s">
        <v>323</v>
      </c>
      <c r="H396">
        <v>57.85</v>
      </c>
      <c r="I396">
        <v>66.05</v>
      </c>
      <c r="J396">
        <v>86.22</v>
      </c>
      <c r="K396">
        <v>7.12</v>
      </c>
      <c r="L396">
        <v>1.69</v>
      </c>
      <c r="M396" t="s">
        <v>400</v>
      </c>
      <c r="N396" t="s">
        <v>50</v>
      </c>
      <c r="O396" t="s">
        <v>45</v>
      </c>
      <c r="P396">
        <v>78</v>
      </c>
      <c r="Q396">
        <v>40</v>
      </c>
    </row>
    <row r="397" spans="1:17" x14ac:dyDescent="0.25">
      <c r="A397">
        <v>2022</v>
      </c>
      <c r="B397" t="s">
        <v>10</v>
      </c>
      <c r="C397">
        <v>712</v>
      </c>
      <c r="D397">
        <v>2467.585961650504</v>
      </c>
      <c r="E397" t="s">
        <v>41</v>
      </c>
      <c r="F397">
        <v>2.21</v>
      </c>
      <c r="G397" t="s">
        <v>323</v>
      </c>
      <c r="H397">
        <v>48.32</v>
      </c>
      <c r="I397">
        <v>67.25</v>
      </c>
      <c r="J397">
        <v>26.7</v>
      </c>
      <c r="K397">
        <v>24.88</v>
      </c>
      <c r="L397">
        <v>1.51</v>
      </c>
      <c r="M397" t="s">
        <v>401</v>
      </c>
      <c r="N397" t="s">
        <v>53</v>
      </c>
      <c r="O397" t="s">
        <v>45</v>
      </c>
      <c r="P397">
        <v>53</v>
      </c>
      <c r="Q397">
        <v>54</v>
      </c>
    </row>
    <row r="398" spans="1:17" x14ac:dyDescent="0.25">
      <c r="A398">
        <v>2022</v>
      </c>
      <c r="B398" t="s">
        <v>6</v>
      </c>
      <c r="C398">
        <v>2007</v>
      </c>
      <c r="D398">
        <v>1308.9464883724318</v>
      </c>
      <c r="E398" t="s">
        <v>41</v>
      </c>
      <c r="F398">
        <v>9.3699999999999992</v>
      </c>
      <c r="G398" t="s">
        <v>323</v>
      </c>
      <c r="H398">
        <v>66.34</v>
      </c>
      <c r="I398">
        <v>45.01</v>
      </c>
      <c r="J398">
        <v>58.73</v>
      </c>
      <c r="K398">
        <v>38.67</v>
      </c>
      <c r="L398">
        <v>1.08</v>
      </c>
      <c r="M398" t="s">
        <v>402</v>
      </c>
      <c r="N398" t="s">
        <v>50</v>
      </c>
      <c r="O398" t="s">
        <v>45</v>
      </c>
      <c r="P398">
        <v>70</v>
      </c>
      <c r="Q398">
        <v>25</v>
      </c>
    </row>
    <row r="399" spans="1:17" x14ac:dyDescent="0.25">
      <c r="A399">
        <v>2022</v>
      </c>
      <c r="B399" t="s">
        <v>5</v>
      </c>
      <c r="C399">
        <v>401</v>
      </c>
      <c r="D399">
        <v>580.5620646478817</v>
      </c>
      <c r="E399" t="s">
        <v>41</v>
      </c>
      <c r="F399">
        <v>2.83</v>
      </c>
      <c r="G399" t="s">
        <v>323</v>
      </c>
      <c r="H399">
        <v>65.95</v>
      </c>
      <c r="I399">
        <v>42.2</v>
      </c>
      <c r="J399">
        <v>51.31</v>
      </c>
      <c r="K399">
        <v>44.56</v>
      </c>
      <c r="L399">
        <v>1.1599999999999999</v>
      </c>
      <c r="M399" t="s">
        <v>403</v>
      </c>
      <c r="N399" t="s">
        <v>50</v>
      </c>
      <c r="O399" t="s">
        <v>41</v>
      </c>
      <c r="P399">
        <v>61</v>
      </c>
      <c r="Q399">
        <v>27</v>
      </c>
    </row>
    <row r="400" spans="1:17" x14ac:dyDescent="0.25">
      <c r="A400">
        <v>2022</v>
      </c>
      <c r="B400" t="s">
        <v>8</v>
      </c>
      <c r="C400">
        <v>939</v>
      </c>
      <c r="D400">
        <v>749.80217247973076</v>
      </c>
      <c r="E400" t="s">
        <v>41</v>
      </c>
      <c r="F400">
        <v>4.08</v>
      </c>
      <c r="G400" t="s">
        <v>323</v>
      </c>
      <c r="H400">
        <v>37.380000000000003</v>
      </c>
      <c r="I400">
        <v>40.11</v>
      </c>
      <c r="J400">
        <v>61.54</v>
      </c>
      <c r="K400">
        <v>60.37</v>
      </c>
      <c r="L400">
        <v>2.4500000000000002</v>
      </c>
      <c r="M400" t="s">
        <v>279</v>
      </c>
      <c r="N400" t="s">
        <v>44</v>
      </c>
      <c r="O400" t="s">
        <v>45</v>
      </c>
      <c r="P400">
        <v>57</v>
      </c>
      <c r="Q400">
        <v>57</v>
      </c>
    </row>
    <row r="401" spans="1:17" x14ac:dyDescent="0.25">
      <c r="A401">
        <v>2022</v>
      </c>
      <c r="B401" t="s">
        <v>3</v>
      </c>
      <c r="C401">
        <v>650</v>
      </c>
      <c r="D401">
        <v>1620.8233718569261</v>
      </c>
      <c r="E401" t="s">
        <v>41</v>
      </c>
      <c r="F401">
        <v>8.5399999999999991</v>
      </c>
      <c r="G401" t="s">
        <v>323</v>
      </c>
      <c r="H401">
        <v>61.26</v>
      </c>
      <c r="I401">
        <v>38.26</v>
      </c>
      <c r="J401">
        <v>49.94</v>
      </c>
      <c r="K401">
        <v>15.58</v>
      </c>
      <c r="L401">
        <v>1.1299999999999999</v>
      </c>
      <c r="M401" t="s">
        <v>149</v>
      </c>
      <c r="N401" t="s">
        <v>44</v>
      </c>
      <c r="O401" t="s">
        <v>41</v>
      </c>
      <c r="P401">
        <v>53</v>
      </c>
      <c r="Q401">
        <v>28</v>
      </c>
    </row>
    <row r="402" spans="1:17" x14ac:dyDescent="0.25">
      <c r="A402">
        <v>2022</v>
      </c>
      <c r="B402" t="s">
        <v>7</v>
      </c>
      <c r="C402">
        <v>1622</v>
      </c>
      <c r="D402">
        <v>1525.3362140059328</v>
      </c>
      <c r="E402" t="s">
        <v>41</v>
      </c>
      <c r="F402">
        <v>9.44</v>
      </c>
      <c r="G402" t="s">
        <v>323</v>
      </c>
      <c r="H402">
        <v>18.239999999999998</v>
      </c>
      <c r="I402">
        <v>43.33</v>
      </c>
      <c r="J402">
        <v>33.76</v>
      </c>
      <c r="K402">
        <v>30.18</v>
      </c>
      <c r="L402">
        <v>1.83</v>
      </c>
      <c r="M402" t="s">
        <v>404</v>
      </c>
      <c r="N402" t="s">
        <v>57</v>
      </c>
      <c r="O402" t="s">
        <v>45</v>
      </c>
      <c r="P402">
        <v>56</v>
      </c>
      <c r="Q402">
        <v>39</v>
      </c>
    </row>
    <row r="403" spans="1:17" x14ac:dyDescent="0.25">
      <c r="A403">
        <v>2022</v>
      </c>
      <c r="B403" t="s">
        <v>4</v>
      </c>
      <c r="C403">
        <v>138</v>
      </c>
      <c r="D403">
        <v>351.09266606535999</v>
      </c>
      <c r="E403" t="s">
        <v>41</v>
      </c>
      <c r="F403">
        <v>8.6300000000000008</v>
      </c>
      <c r="G403" t="s">
        <v>323</v>
      </c>
      <c r="H403">
        <v>82.33</v>
      </c>
      <c r="I403">
        <v>14.78</v>
      </c>
      <c r="J403">
        <v>78.260000000000005</v>
      </c>
      <c r="K403">
        <v>12.77</v>
      </c>
      <c r="L403">
        <v>0.92</v>
      </c>
      <c r="M403" t="s">
        <v>189</v>
      </c>
      <c r="N403" t="s">
        <v>57</v>
      </c>
      <c r="O403" t="s">
        <v>41</v>
      </c>
      <c r="P403">
        <v>49</v>
      </c>
      <c r="Q403">
        <v>32</v>
      </c>
    </row>
    <row r="404" spans="1:17" x14ac:dyDescent="0.25">
      <c r="A404">
        <v>2022</v>
      </c>
      <c r="B404" t="s">
        <v>4</v>
      </c>
      <c r="C404">
        <v>1429</v>
      </c>
      <c r="D404">
        <v>4632.9501431177387</v>
      </c>
      <c r="E404" t="s">
        <v>41</v>
      </c>
      <c r="F404">
        <v>7.54</v>
      </c>
      <c r="G404" t="s">
        <v>323</v>
      </c>
      <c r="H404">
        <v>29.57</v>
      </c>
      <c r="I404">
        <v>56.81</v>
      </c>
      <c r="J404">
        <v>45.57</v>
      </c>
      <c r="K404">
        <v>15.71</v>
      </c>
      <c r="L404">
        <v>0.82</v>
      </c>
      <c r="M404" t="s">
        <v>405</v>
      </c>
      <c r="N404" t="s">
        <v>57</v>
      </c>
      <c r="O404" t="s">
        <v>41</v>
      </c>
      <c r="P404">
        <v>79</v>
      </c>
      <c r="Q404">
        <v>51</v>
      </c>
    </row>
    <row r="405" spans="1:17" x14ac:dyDescent="0.25">
      <c r="A405">
        <v>2023</v>
      </c>
      <c r="B405" t="s">
        <v>6</v>
      </c>
      <c r="C405">
        <v>745</v>
      </c>
      <c r="D405">
        <v>2555.0620944709931</v>
      </c>
      <c r="E405" t="s">
        <v>41</v>
      </c>
      <c r="F405">
        <v>8.08</v>
      </c>
      <c r="G405" t="s">
        <v>323</v>
      </c>
      <c r="H405">
        <v>79.349999999999994</v>
      </c>
      <c r="I405">
        <v>30.13</v>
      </c>
      <c r="J405">
        <v>95.86</v>
      </c>
      <c r="K405">
        <v>65.900000000000006</v>
      </c>
      <c r="L405">
        <v>1.1399999999999999</v>
      </c>
      <c r="M405" t="s">
        <v>406</v>
      </c>
      <c r="N405" t="s">
        <v>57</v>
      </c>
      <c r="O405" t="s">
        <v>45</v>
      </c>
      <c r="P405">
        <v>60</v>
      </c>
      <c r="Q405">
        <v>57</v>
      </c>
    </row>
    <row r="406" spans="1:17" x14ac:dyDescent="0.25">
      <c r="A406">
        <v>2023</v>
      </c>
      <c r="B406" t="s">
        <v>2</v>
      </c>
      <c r="C406">
        <v>2218</v>
      </c>
      <c r="D406">
        <v>6899.7261700759764</v>
      </c>
      <c r="E406" t="s">
        <v>41</v>
      </c>
      <c r="F406">
        <v>5.17</v>
      </c>
      <c r="G406" t="s">
        <v>323</v>
      </c>
      <c r="H406">
        <v>21.25</v>
      </c>
      <c r="I406">
        <v>40.08</v>
      </c>
      <c r="J406">
        <v>40.130000000000003</v>
      </c>
      <c r="K406">
        <v>13.37</v>
      </c>
      <c r="L406">
        <v>0.53</v>
      </c>
      <c r="M406" t="s">
        <v>407</v>
      </c>
      <c r="N406" t="s">
        <v>59</v>
      </c>
      <c r="O406" t="s">
        <v>41</v>
      </c>
      <c r="P406">
        <v>58</v>
      </c>
      <c r="Q406">
        <v>24</v>
      </c>
    </row>
    <row r="407" spans="1:17" x14ac:dyDescent="0.25">
      <c r="A407">
        <v>2023</v>
      </c>
      <c r="B407" t="s">
        <v>5</v>
      </c>
      <c r="C407">
        <v>1018</v>
      </c>
      <c r="D407">
        <v>3024.3564021504176</v>
      </c>
      <c r="E407" t="s">
        <v>41</v>
      </c>
      <c r="F407">
        <v>5.39</v>
      </c>
      <c r="G407" t="s">
        <v>323</v>
      </c>
      <c r="H407">
        <v>31.95</v>
      </c>
      <c r="I407">
        <v>39.81</v>
      </c>
      <c r="J407">
        <v>68.599999999999994</v>
      </c>
      <c r="K407">
        <v>66.55</v>
      </c>
      <c r="L407">
        <v>2.31</v>
      </c>
      <c r="M407" t="s">
        <v>408</v>
      </c>
      <c r="N407" t="s">
        <v>63</v>
      </c>
      <c r="O407" t="s">
        <v>41</v>
      </c>
      <c r="P407">
        <v>46</v>
      </c>
      <c r="Q407">
        <v>33</v>
      </c>
    </row>
    <row r="408" spans="1:17" x14ac:dyDescent="0.25">
      <c r="A408">
        <v>2023</v>
      </c>
      <c r="B408" t="s">
        <v>5</v>
      </c>
      <c r="C408">
        <v>756</v>
      </c>
      <c r="D408">
        <v>432.9220383520929</v>
      </c>
      <c r="E408" t="s">
        <v>41</v>
      </c>
      <c r="F408">
        <v>2.72</v>
      </c>
      <c r="G408" t="s">
        <v>323</v>
      </c>
      <c r="H408">
        <v>36.04</v>
      </c>
      <c r="I408">
        <v>9.7799999999999994</v>
      </c>
      <c r="J408">
        <v>41.55</v>
      </c>
      <c r="K408">
        <v>52.71</v>
      </c>
      <c r="L408">
        <v>2.46</v>
      </c>
      <c r="M408" t="s">
        <v>409</v>
      </c>
      <c r="N408" t="s">
        <v>47</v>
      </c>
      <c r="O408" t="s">
        <v>41</v>
      </c>
      <c r="P408">
        <v>78</v>
      </c>
      <c r="Q408">
        <v>42</v>
      </c>
    </row>
    <row r="409" spans="1:17" x14ac:dyDescent="0.25">
      <c r="A409">
        <v>2023</v>
      </c>
      <c r="B409" t="s">
        <v>8</v>
      </c>
      <c r="C409">
        <v>999</v>
      </c>
      <c r="D409">
        <v>801.58924272285299</v>
      </c>
      <c r="E409" t="s">
        <v>41</v>
      </c>
      <c r="F409">
        <v>6.75</v>
      </c>
      <c r="G409" t="s">
        <v>323</v>
      </c>
      <c r="H409">
        <v>86.1</v>
      </c>
      <c r="I409">
        <v>37.93</v>
      </c>
      <c r="J409">
        <v>57.89</v>
      </c>
      <c r="K409">
        <v>35.520000000000003</v>
      </c>
      <c r="L409">
        <v>2.11</v>
      </c>
      <c r="M409" t="s">
        <v>410</v>
      </c>
      <c r="N409" t="s">
        <v>59</v>
      </c>
      <c r="O409" t="s">
        <v>41</v>
      </c>
      <c r="P409">
        <v>43</v>
      </c>
      <c r="Q409">
        <v>29</v>
      </c>
    </row>
    <row r="410" spans="1:17" x14ac:dyDescent="0.25">
      <c r="A410">
        <v>2023</v>
      </c>
      <c r="B410" t="s">
        <v>8</v>
      </c>
      <c r="C410">
        <v>2006</v>
      </c>
      <c r="D410">
        <v>2767.5667635218924</v>
      </c>
      <c r="E410" t="s">
        <v>41</v>
      </c>
      <c r="F410">
        <v>9.9</v>
      </c>
      <c r="G410" t="s">
        <v>323</v>
      </c>
      <c r="H410">
        <v>42.18</v>
      </c>
      <c r="I410">
        <v>53.27</v>
      </c>
      <c r="J410">
        <v>51.45</v>
      </c>
      <c r="K410">
        <v>48.73</v>
      </c>
      <c r="L410">
        <v>1.05</v>
      </c>
      <c r="M410" t="s">
        <v>411</v>
      </c>
      <c r="N410" t="s">
        <v>53</v>
      </c>
      <c r="O410" t="s">
        <v>45</v>
      </c>
      <c r="P410">
        <v>53</v>
      </c>
      <c r="Q410">
        <v>55</v>
      </c>
    </row>
    <row r="411" spans="1:17" x14ac:dyDescent="0.25">
      <c r="A411">
        <v>2023</v>
      </c>
      <c r="B411" t="s">
        <v>3</v>
      </c>
      <c r="C411">
        <v>72</v>
      </c>
      <c r="D411">
        <v>125.35706473292583</v>
      </c>
      <c r="E411" t="s">
        <v>41</v>
      </c>
      <c r="F411">
        <v>7.52</v>
      </c>
      <c r="G411" t="s">
        <v>323</v>
      </c>
      <c r="H411">
        <v>58.91</v>
      </c>
      <c r="I411">
        <v>5.79</v>
      </c>
      <c r="J411">
        <v>49.08</v>
      </c>
      <c r="K411">
        <v>11.27</v>
      </c>
      <c r="L411">
        <v>0.47</v>
      </c>
      <c r="M411" t="s">
        <v>412</v>
      </c>
      <c r="N411" t="s">
        <v>53</v>
      </c>
      <c r="O411" t="s">
        <v>41</v>
      </c>
      <c r="P411">
        <v>74</v>
      </c>
      <c r="Q411">
        <v>43</v>
      </c>
    </row>
    <row r="412" spans="1:17" x14ac:dyDescent="0.25">
      <c r="A412">
        <v>2023</v>
      </c>
      <c r="B412" t="s">
        <v>7</v>
      </c>
      <c r="C412">
        <v>2115</v>
      </c>
      <c r="D412">
        <v>3327.5981515573349</v>
      </c>
      <c r="E412" t="s">
        <v>41</v>
      </c>
      <c r="F412">
        <v>7.82</v>
      </c>
      <c r="G412" t="s">
        <v>323</v>
      </c>
      <c r="H412">
        <v>15.76</v>
      </c>
      <c r="I412">
        <v>28.81</v>
      </c>
      <c r="J412">
        <v>64.09</v>
      </c>
      <c r="K412">
        <v>48.29</v>
      </c>
      <c r="L412">
        <v>1.48</v>
      </c>
      <c r="M412" t="s">
        <v>413</v>
      </c>
      <c r="N412" t="s">
        <v>47</v>
      </c>
      <c r="O412" t="s">
        <v>45</v>
      </c>
      <c r="P412">
        <v>42</v>
      </c>
      <c r="Q412">
        <v>36</v>
      </c>
    </row>
    <row r="413" spans="1:17" x14ac:dyDescent="0.25">
      <c r="A413">
        <v>2024</v>
      </c>
      <c r="B413" t="s">
        <v>6</v>
      </c>
      <c r="C413">
        <v>783</v>
      </c>
      <c r="D413">
        <v>1518.5350641505097</v>
      </c>
      <c r="E413" t="s">
        <v>41</v>
      </c>
      <c r="F413">
        <v>8.4700000000000006</v>
      </c>
      <c r="G413" t="s">
        <v>323</v>
      </c>
      <c r="H413">
        <v>49.28</v>
      </c>
      <c r="I413">
        <v>41.92</v>
      </c>
      <c r="J413">
        <v>98.71</v>
      </c>
      <c r="K413">
        <v>67.5</v>
      </c>
      <c r="L413">
        <v>2.39</v>
      </c>
      <c r="M413" t="s">
        <v>295</v>
      </c>
      <c r="N413" t="s">
        <v>57</v>
      </c>
      <c r="O413" t="s">
        <v>41</v>
      </c>
      <c r="P413">
        <v>73</v>
      </c>
      <c r="Q413">
        <v>42</v>
      </c>
    </row>
    <row r="414" spans="1:17" x14ac:dyDescent="0.25">
      <c r="A414">
        <v>2024</v>
      </c>
      <c r="B414" t="s">
        <v>2</v>
      </c>
      <c r="C414">
        <v>2259</v>
      </c>
      <c r="D414">
        <v>3826.7828707414465</v>
      </c>
      <c r="E414" t="s">
        <v>41</v>
      </c>
      <c r="F414">
        <v>5.64</v>
      </c>
      <c r="G414" t="s">
        <v>323</v>
      </c>
      <c r="H414">
        <v>77.790000000000006</v>
      </c>
      <c r="I414">
        <v>4.72</v>
      </c>
      <c r="J414">
        <v>92.83</v>
      </c>
      <c r="K414">
        <v>69.39</v>
      </c>
      <c r="L414">
        <v>2.4</v>
      </c>
      <c r="M414" t="s">
        <v>414</v>
      </c>
      <c r="N414" t="s">
        <v>59</v>
      </c>
      <c r="O414" t="s">
        <v>41</v>
      </c>
      <c r="P414">
        <v>63</v>
      </c>
      <c r="Q414">
        <v>54</v>
      </c>
    </row>
    <row r="415" spans="1:17" x14ac:dyDescent="0.25">
      <c r="A415">
        <v>2024</v>
      </c>
      <c r="B415" t="s">
        <v>2</v>
      </c>
      <c r="C415">
        <v>517</v>
      </c>
      <c r="D415">
        <v>1258.3349717828053</v>
      </c>
      <c r="E415" t="s">
        <v>41</v>
      </c>
      <c r="F415">
        <v>7.65</v>
      </c>
      <c r="G415" t="s">
        <v>323</v>
      </c>
      <c r="H415">
        <v>21.55</v>
      </c>
      <c r="I415">
        <v>36.799999999999997</v>
      </c>
      <c r="J415">
        <v>28.57</v>
      </c>
      <c r="K415">
        <v>62.4</v>
      </c>
      <c r="L415">
        <v>2.12</v>
      </c>
      <c r="M415" t="s">
        <v>415</v>
      </c>
      <c r="N415" t="s">
        <v>59</v>
      </c>
      <c r="O415" t="s">
        <v>41</v>
      </c>
      <c r="P415">
        <v>50</v>
      </c>
      <c r="Q415">
        <v>38</v>
      </c>
    </row>
    <row r="416" spans="1:17" x14ac:dyDescent="0.25">
      <c r="A416">
        <v>2024</v>
      </c>
      <c r="B416" t="s">
        <v>2</v>
      </c>
      <c r="C416">
        <v>587</v>
      </c>
      <c r="D416">
        <v>1518.3413792337765</v>
      </c>
      <c r="E416" t="s">
        <v>41</v>
      </c>
      <c r="F416">
        <v>9.68</v>
      </c>
      <c r="G416" t="s">
        <v>323</v>
      </c>
      <c r="H416">
        <v>82</v>
      </c>
      <c r="I416">
        <v>65.349999999999994</v>
      </c>
      <c r="J416">
        <v>54.36</v>
      </c>
      <c r="K416">
        <v>28.15</v>
      </c>
      <c r="L416">
        <v>2.33</v>
      </c>
      <c r="M416" t="s">
        <v>416</v>
      </c>
      <c r="N416" t="s">
        <v>53</v>
      </c>
      <c r="O416" t="s">
        <v>45</v>
      </c>
      <c r="P416">
        <v>70</v>
      </c>
      <c r="Q416">
        <v>29</v>
      </c>
    </row>
    <row r="417" spans="1:17" x14ac:dyDescent="0.25">
      <c r="A417">
        <v>2024</v>
      </c>
      <c r="B417" t="s">
        <v>4</v>
      </c>
      <c r="C417">
        <v>755</v>
      </c>
      <c r="D417">
        <v>1297.7887905153086</v>
      </c>
      <c r="E417" t="s">
        <v>41</v>
      </c>
      <c r="F417">
        <v>6.71</v>
      </c>
      <c r="G417" t="s">
        <v>323</v>
      </c>
      <c r="H417">
        <v>53.83</v>
      </c>
      <c r="I417">
        <v>68.66</v>
      </c>
      <c r="J417">
        <v>47.85</v>
      </c>
      <c r="K417">
        <v>5.68</v>
      </c>
      <c r="L417">
        <v>1.34</v>
      </c>
      <c r="M417" t="s">
        <v>417</v>
      </c>
      <c r="N417" t="s">
        <v>63</v>
      </c>
      <c r="O417" t="s">
        <v>45</v>
      </c>
      <c r="P417">
        <v>79</v>
      </c>
      <c r="Q417">
        <v>24</v>
      </c>
    </row>
    <row r="418" spans="1:17" x14ac:dyDescent="0.25">
      <c r="A418">
        <v>2024</v>
      </c>
      <c r="B418" t="s">
        <v>4</v>
      </c>
      <c r="C418">
        <v>2246</v>
      </c>
      <c r="D418">
        <v>1390.0234674762094</v>
      </c>
      <c r="E418" t="s">
        <v>41</v>
      </c>
      <c r="F418">
        <v>6.28</v>
      </c>
      <c r="G418" t="s">
        <v>323</v>
      </c>
      <c r="H418">
        <v>34.76</v>
      </c>
      <c r="I418">
        <v>52.76</v>
      </c>
      <c r="J418">
        <v>42.5</v>
      </c>
      <c r="K418">
        <v>43.34</v>
      </c>
      <c r="L418">
        <v>2.17</v>
      </c>
      <c r="M418" t="s">
        <v>418</v>
      </c>
      <c r="N418" t="s">
        <v>44</v>
      </c>
      <c r="O418" t="s">
        <v>45</v>
      </c>
      <c r="P418">
        <v>74</v>
      </c>
      <c r="Q418">
        <v>21</v>
      </c>
    </row>
    <row r="419" spans="1:17" x14ac:dyDescent="0.25">
      <c r="A419">
        <v>2024</v>
      </c>
      <c r="B419" t="s">
        <v>1</v>
      </c>
      <c r="C419">
        <v>1256</v>
      </c>
      <c r="D419">
        <v>3994.2986073201851</v>
      </c>
      <c r="E419" t="s">
        <v>41</v>
      </c>
      <c r="F419">
        <v>3.59</v>
      </c>
      <c r="G419" t="s">
        <v>323</v>
      </c>
      <c r="H419">
        <v>73.790000000000006</v>
      </c>
      <c r="I419">
        <v>9.0399999999999991</v>
      </c>
      <c r="J419">
        <v>40.86</v>
      </c>
      <c r="K419">
        <v>43.39</v>
      </c>
      <c r="L419">
        <v>0.65</v>
      </c>
      <c r="M419" t="s">
        <v>82</v>
      </c>
      <c r="N419" t="s">
        <v>53</v>
      </c>
      <c r="O419" t="s">
        <v>41</v>
      </c>
      <c r="P419">
        <v>63</v>
      </c>
      <c r="Q419">
        <v>29</v>
      </c>
    </row>
    <row r="420" spans="1:17" x14ac:dyDescent="0.25">
      <c r="A420">
        <v>2024</v>
      </c>
      <c r="B420" t="s">
        <v>1</v>
      </c>
      <c r="C420">
        <v>2220</v>
      </c>
      <c r="D420">
        <v>3299.4177707409813</v>
      </c>
      <c r="E420" t="s">
        <v>41</v>
      </c>
      <c r="F420">
        <v>5.95</v>
      </c>
      <c r="G420" t="s">
        <v>323</v>
      </c>
      <c r="H420">
        <v>90.76</v>
      </c>
      <c r="I420">
        <v>40.01</v>
      </c>
      <c r="J420">
        <v>93.79</v>
      </c>
      <c r="K420">
        <v>48.25</v>
      </c>
      <c r="L420">
        <v>1.1299999999999999</v>
      </c>
      <c r="M420" t="s">
        <v>419</v>
      </c>
      <c r="N420" t="s">
        <v>57</v>
      </c>
      <c r="O420" t="s">
        <v>45</v>
      </c>
      <c r="P420">
        <v>59</v>
      </c>
      <c r="Q420">
        <v>30</v>
      </c>
    </row>
    <row r="421" spans="1:17" x14ac:dyDescent="0.25">
      <c r="A421">
        <v>2025</v>
      </c>
      <c r="B421" t="s">
        <v>10</v>
      </c>
      <c r="C421">
        <v>1067</v>
      </c>
      <c r="D421">
        <v>950.85049940679153</v>
      </c>
      <c r="E421" t="s">
        <v>41</v>
      </c>
      <c r="F421">
        <v>7.06</v>
      </c>
      <c r="G421" t="s">
        <v>323</v>
      </c>
      <c r="H421">
        <v>80.819999999999993</v>
      </c>
      <c r="I421">
        <v>31.19</v>
      </c>
      <c r="J421">
        <v>94.32</v>
      </c>
      <c r="K421">
        <v>44.4</v>
      </c>
      <c r="L421">
        <v>0.3</v>
      </c>
      <c r="M421" t="s">
        <v>420</v>
      </c>
      <c r="N421" t="s">
        <v>63</v>
      </c>
      <c r="O421" t="s">
        <v>41</v>
      </c>
      <c r="P421">
        <v>56</v>
      </c>
      <c r="Q421">
        <v>40</v>
      </c>
    </row>
    <row r="422" spans="1:17" x14ac:dyDescent="0.25">
      <c r="A422">
        <v>2025</v>
      </c>
      <c r="B422" t="s">
        <v>10</v>
      </c>
      <c r="C422">
        <v>2336</v>
      </c>
      <c r="D422">
        <v>5989.750066964968</v>
      </c>
      <c r="E422" t="s">
        <v>41</v>
      </c>
      <c r="F422">
        <v>3.44</v>
      </c>
      <c r="G422" t="s">
        <v>323</v>
      </c>
      <c r="H422">
        <v>34.31</v>
      </c>
      <c r="I422">
        <v>66.790000000000006</v>
      </c>
      <c r="J422">
        <v>58.56</v>
      </c>
      <c r="K422">
        <v>29.98</v>
      </c>
      <c r="L422">
        <v>1.59</v>
      </c>
      <c r="M422" t="s">
        <v>421</v>
      </c>
      <c r="N422" t="s">
        <v>53</v>
      </c>
      <c r="O422" t="s">
        <v>45</v>
      </c>
      <c r="P422">
        <v>63</v>
      </c>
      <c r="Q422">
        <v>59</v>
      </c>
    </row>
    <row r="423" spans="1:17" x14ac:dyDescent="0.25">
      <c r="A423">
        <v>2025</v>
      </c>
      <c r="B423" t="s">
        <v>6</v>
      </c>
      <c r="C423">
        <v>1254</v>
      </c>
      <c r="D423">
        <v>2350.1677842486292</v>
      </c>
      <c r="E423" t="s">
        <v>41</v>
      </c>
      <c r="F423">
        <v>3.3</v>
      </c>
      <c r="G423" t="s">
        <v>323</v>
      </c>
      <c r="H423">
        <v>27.09</v>
      </c>
      <c r="I423">
        <v>10.61</v>
      </c>
      <c r="J423">
        <v>80.36</v>
      </c>
      <c r="K423">
        <v>25.68</v>
      </c>
      <c r="L423">
        <v>0.56999999999999995</v>
      </c>
      <c r="M423" t="s">
        <v>422</v>
      </c>
      <c r="N423" t="s">
        <v>59</v>
      </c>
      <c r="O423" t="s">
        <v>45</v>
      </c>
      <c r="P423">
        <v>43</v>
      </c>
      <c r="Q423">
        <v>32</v>
      </c>
    </row>
    <row r="424" spans="1:17" x14ac:dyDescent="0.25">
      <c r="A424">
        <v>2025</v>
      </c>
      <c r="B424" t="s">
        <v>2</v>
      </c>
      <c r="C424">
        <v>2359</v>
      </c>
      <c r="D424">
        <v>4762.1545821497175</v>
      </c>
      <c r="E424" t="s">
        <v>41</v>
      </c>
      <c r="F424">
        <v>5.81</v>
      </c>
      <c r="G424" t="s">
        <v>323</v>
      </c>
      <c r="H424">
        <v>52.39</v>
      </c>
      <c r="I424">
        <v>11.25</v>
      </c>
      <c r="J424">
        <v>28.29</v>
      </c>
      <c r="K424">
        <v>32.700000000000003</v>
      </c>
      <c r="L424">
        <v>1.55</v>
      </c>
      <c r="M424" t="s">
        <v>423</v>
      </c>
      <c r="N424" t="s">
        <v>53</v>
      </c>
      <c r="O424" t="s">
        <v>41</v>
      </c>
      <c r="P424">
        <v>74</v>
      </c>
      <c r="Q424">
        <v>51</v>
      </c>
    </row>
    <row r="425" spans="1:17" x14ac:dyDescent="0.25">
      <c r="A425">
        <v>2025</v>
      </c>
      <c r="B425" t="s">
        <v>7</v>
      </c>
      <c r="C425">
        <v>1410</v>
      </c>
      <c r="D425">
        <v>2618.8606147023115</v>
      </c>
      <c r="E425" t="s">
        <v>41</v>
      </c>
      <c r="F425">
        <v>6.61</v>
      </c>
      <c r="G425" t="s">
        <v>323</v>
      </c>
      <c r="H425">
        <v>22.81</v>
      </c>
      <c r="I425">
        <v>46.35</v>
      </c>
      <c r="J425">
        <v>60.44</v>
      </c>
      <c r="K425">
        <v>10.48</v>
      </c>
      <c r="L425">
        <v>0.98</v>
      </c>
      <c r="M425" t="s">
        <v>424</v>
      </c>
      <c r="N425" t="s">
        <v>63</v>
      </c>
      <c r="O425" t="s">
        <v>45</v>
      </c>
      <c r="P425">
        <v>57</v>
      </c>
      <c r="Q425">
        <v>38</v>
      </c>
    </row>
    <row r="426" spans="1:17" x14ac:dyDescent="0.25">
      <c r="A426">
        <v>2015</v>
      </c>
      <c r="B426" t="s">
        <v>10</v>
      </c>
      <c r="C426">
        <v>2496</v>
      </c>
      <c r="D426">
        <v>6564.2223326838312</v>
      </c>
      <c r="E426" t="s">
        <v>45</v>
      </c>
      <c r="F426">
        <v>5.26</v>
      </c>
      <c r="G426" t="s">
        <v>425</v>
      </c>
      <c r="H426">
        <v>56.21</v>
      </c>
      <c r="I426">
        <v>42.23</v>
      </c>
      <c r="J426">
        <v>56.13</v>
      </c>
      <c r="K426">
        <v>59.52</v>
      </c>
      <c r="L426">
        <v>2.2999999999999998</v>
      </c>
      <c r="M426" t="s">
        <v>426</v>
      </c>
      <c r="N426" t="s">
        <v>63</v>
      </c>
      <c r="O426" t="s">
        <v>45</v>
      </c>
      <c r="P426">
        <v>46</v>
      </c>
      <c r="Q426">
        <v>54</v>
      </c>
    </row>
    <row r="427" spans="1:17" x14ac:dyDescent="0.25">
      <c r="A427">
        <v>2015</v>
      </c>
      <c r="B427" t="s">
        <v>10</v>
      </c>
      <c r="C427">
        <v>1437</v>
      </c>
      <c r="D427">
        <v>4993.8921247809958</v>
      </c>
      <c r="E427" t="s">
        <v>45</v>
      </c>
      <c r="F427">
        <v>3.63</v>
      </c>
      <c r="G427" t="s">
        <v>425</v>
      </c>
      <c r="H427">
        <v>89.71</v>
      </c>
      <c r="I427">
        <v>55.86</v>
      </c>
      <c r="J427">
        <v>78.36</v>
      </c>
      <c r="K427">
        <v>56.83</v>
      </c>
      <c r="L427">
        <v>2.48</v>
      </c>
      <c r="M427" t="s">
        <v>427</v>
      </c>
      <c r="N427" t="s">
        <v>53</v>
      </c>
      <c r="O427" t="s">
        <v>41</v>
      </c>
      <c r="P427">
        <v>49</v>
      </c>
      <c r="Q427">
        <v>57</v>
      </c>
    </row>
    <row r="428" spans="1:17" x14ac:dyDescent="0.25">
      <c r="A428">
        <v>2015</v>
      </c>
      <c r="B428" t="s">
        <v>10</v>
      </c>
      <c r="C428">
        <v>1923</v>
      </c>
      <c r="D428">
        <v>5355.1523133369574</v>
      </c>
      <c r="E428" t="s">
        <v>45</v>
      </c>
      <c r="F428">
        <v>5.71</v>
      </c>
      <c r="G428" t="s">
        <v>425</v>
      </c>
      <c r="H428">
        <v>86.96</v>
      </c>
      <c r="I428">
        <v>7.82</v>
      </c>
      <c r="J428">
        <v>37.61</v>
      </c>
      <c r="K428">
        <v>47.99</v>
      </c>
      <c r="L428">
        <v>0.34</v>
      </c>
      <c r="M428" t="s">
        <v>131</v>
      </c>
      <c r="N428" t="s">
        <v>59</v>
      </c>
      <c r="O428" t="s">
        <v>45</v>
      </c>
      <c r="P428">
        <v>40</v>
      </c>
      <c r="Q428">
        <v>29</v>
      </c>
    </row>
    <row r="429" spans="1:17" x14ac:dyDescent="0.25">
      <c r="A429">
        <v>2015</v>
      </c>
      <c r="B429" t="s">
        <v>6</v>
      </c>
      <c r="C429">
        <v>1273</v>
      </c>
      <c r="D429">
        <v>4200.7547875883056</v>
      </c>
      <c r="E429" t="s">
        <v>41</v>
      </c>
      <c r="F429">
        <v>9.48</v>
      </c>
      <c r="G429" t="s">
        <v>425</v>
      </c>
      <c r="H429">
        <v>69.16</v>
      </c>
      <c r="I429">
        <v>56.18</v>
      </c>
      <c r="J429">
        <v>60.86</v>
      </c>
      <c r="K429">
        <v>5.07</v>
      </c>
      <c r="L429">
        <v>1.52</v>
      </c>
      <c r="M429" t="s">
        <v>428</v>
      </c>
      <c r="N429" t="s">
        <v>50</v>
      </c>
      <c r="O429" t="s">
        <v>41</v>
      </c>
      <c r="P429">
        <v>73</v>
      </c>
      <c r="Q429">
        <v>48</v>
      </c>
    </row>
    <row r="430" spans="1:17" x14ac:dyDescent="0.25">
      <c r="A430">
        <v>2015</v>
      </c>
      <c r="B430" t="s">
        <v>6</v>
      </c>
      <c r="C430">
        <v>116</v>
      </c>
      <c r="D430">
        <v>103.44636687174751</v>
      </c>
      <c r="E430" t="s">
        <v>41</v>
      </c>
      <c r="F430">
        <v>3.15</v>
      </c>
      <c r="G430" t="s">
        <v>425</v>
      </c>
      <c r="H430">
        <v>17.97</v>
      </c>
      <c r="I430">
        <v>43.23</v>
      </c>
      <c r="J430">
        <v>54.99</v>
      </c>
      <c r="K430">
        <v>61.79</v>
      </c>
      <c r="L430">
        <v>1.33</v>
      </c>
      <c r="M430" t="s">
        <v>429</v>
      </c>
      <c r="N430" t="s">
        <v>63</v>
      </c>
      <c r="O430" t="s">
        <v>41</v>
      </c>
      <c r="P430">
        <v>58</v>
      </c>
      <c r="Q430">
        <v>29</v>
      </c>
    </row>
    <row r="431" spans="1:17" x14ac:dyDescent="0.25">
      <c r="A431">
        <v>2015</v>
      </c>
      <c r="B431" t="s">
        <v>6</v>
      </c>
      <c r="C431">
        <v>1774</v>
      </c>
      <c r="D431">
        <v>5508.8941468407065</v>
      </c>
      <c r="E431" t="s">
        <v>45</v>
      </c>
      <c r="F431">
        <v>9.09</v>
      </c>
      <c r="G431" t="s">
        <v>425</v>
      </c>
      <c r="H431">
        <v>94.18</v>
      </c>
      <c r="I431">
        <v>67.430000000000007</v>
      </c>
      <c r="J431">
        <v>79.34</v>
      </c>
      <c r="K431">
        <v>11.33</v>
      </c>
      <c r="L431">
        <v>1.28</v>
      </c>
      <c r="M431" t="s">
        <v>430</v>
      </c>
      <c r="N431" t="s">
        <v>59</v>
      </c>
      <c r="O431" t="s">
        <v>45</v>
      </c>
      <c r="P431">
        <v>72</v>
      </c>
      <c r="Q431">
        <v>28</v>
      </c>
    </row>
    <row r="432" spans="1:17" x14ac:dyDescent="0.25">
      <c r="A432">
        <v>2015</v>
      </c>
      <c r="B432" t="s">
        <v>6</v>
      </c>
      <c r="C432">
        <v>127</v>
      </c>
      <c r="D432">
        <v>201.71685070256302</v>
      </c>
      <c r="E432" t="s">
        <v>45</v>
      </c>
      <c r="F432">
        <v>4.79</v>
      </c>
      <c r="G432" t="s">
        <v>425</v>
      </c>
      <c r="H432">
        <v>27.39</v>
      </c>
      <c r="I432">
        <v>69.19</v>
      </c>
      <c r="J432">
        <v>59.64</v>
      </c>
      <c r="K432">
        <v>17.670000000000002</v>
      </c>
      <c r="L432">
        <v>1.1499999999999999</v>
      </c>
      <c r="M432" t="s">
        <v>431</v>
      </c>
      <c r="N432" t="s">
        <v>59</v>
      </c>
      <c r="O432" t="s">
        <v>45</v>
      </c>
      <c r="P432">
        <v>48</v>
      </c>
      <c r="Q432">
        <v>57</v>
      </c>
    </row>
    <row r="433" spans="1:17" x14ac:dyDescent="0.25">
      <c r="A433">
        <v>2015</v>
      </c>
      <c r="B433" t="s">
        <v>9</v>
      </c>
      <c r="C433">
        <v>1263</v>
      </c>
      <c r="D433">
        <v>2851.2734996669196</v>
      </c>
      <c r="E433" t="s">
        <v>45</v>
      </c>
      <c r="F433">
        <v>6.56</v>
      </c>
      <c r="G433" t="s">
        <v>425</v>
      </c>
      <c r="H433">
        <v>43.5</v>
      </c>
      <c r="I433">
        <v>54.81</v>
      </c>
      <c r="J433">
        <v>80.09</v>
      </c>
      <c r="K433">
        <v>20.96</v>
      </c>
      <c r="L433">
        <v>2.42</v>
      </c>
      <c r="M433" t="s">
        <v>432</v>
      </c>
      <c r="N433" t="s">
        <v>53</v>
      </c>
      <c r="O433" t="s">
        <v>45</v>
      </c>
      <c r="P433">
        <v>40</v>
      </c>
      <c r="Q433">
        <v>45</v>
      </c>
    </row>
    <row r="434" spans="1:17" x14ac:dyDescent="0.25">
      <c r="A434">
        <v>2015</v>
      </c>
      <c r="B434" t="s">
        <v>2</v>
      </c>
      <c r="C434">
        <v>485</v>
      </c>
      <c r="D434">
        <v>1628.5402657368338</v>
      </c>
      <c r="E434" t="s">
        <v>41</v>
      </c>
      <c r="F434">
        <v>9.59</v>
      </c>
      <c r="G434" t="s">
        <v>425</v>
      </c>
      <c r="H434">
        <v>58.46</v>
      </c>
      <c r="I434">
        <v>58.27</v>
      </c>
      <c r="J434">
        <v>56.32</v>
      </c>
      <c r="K434">
        <v>50.07</v>
      </c>
      <c r="L434">
        <v>1.65</v>
      </c>
      <c r="M434" t="s">
        <v>290</v>
      </c>
      <c r="N434" t="s">
        <v>47</v>
      </c>
      <c r="O434" t="s">
        <v>41</v>
      </c>
      <c r="P434">
        <v>67</v>
      </c>
      <c r="Q434">
        <v>50</v>
      </c>
    </row>
    <row r="435" spans="1:17" x14ac:dyDescent="0.25">
      <c r="A435">
        <v>2015</v>
      </c>
      <c r="B435" t="s">
        <v>5</v>
      </c>
      <c r="C435">
        <v>524</v>
      </c>
      <c r="D435">
        <v>1202.0702744726391</v>
      </c>
      <c r="E435" t="s">
        <v>45</v>
      </c>
      <c r="F435">
        <v>6.33</v>
      </c>
      <c r="G435" t="s">
        <v>425</v>
      </c>
      <c r="H435">
        <v>52.95</v>
      </c>
      <c r="I435">
        <v>22.36</v>
      </c>
      <c r="J435">
        <v>80.38</v>
      </c>
      <c r="K435">
        <v>5.42</v>
      </c>
      <c r="L435">
        <v>0.4</v>
      </c>
      <c r="M435" t="s">
        <v>433</v>
      </c>
      <c r="N435" t="s">
        <v>53</v>
      </c>
      <c r="O435" t="s">
        <v>41</v>
      </c>
      <c r="P435">
        <v>56</v>
      </c>
      <c r="Q435">
        <v>47</v>
      </c>
    </row>
    <row r="436" spans="1:17" x14ac:dyDescent="0.25">
      <c r="A436">
        <v>2015</v>
      </c>
      <c r="B436" t="s">
        <v>5</v>
      </c>
      <c r="C436">
        <v>549</v>
      </c>
      <c r="D436">
        <v>1613.1179879485271</v>
      </c>
      <c r="E436" t="s">
        <v>41</v>
      </c>
      <c r="F436">
        <v>7.01</v>
      </c>
      <c r="G436" t="s">
        <v>425</v>
      </c>
      <c r="H436">
        <v>84.54</v>
      </c>
      <c r="I436">
        <v>58.93</v>
      </c>
      <c r="J436">
        <v>60.6</v>
      </c>
      <c r="K436">
        <v>5.23</v>
      </c>
      <c r="L436">
        <v>2.27</v>
      </c>
      <c r="M436" t="s">
        <v>434</v>
      </c>
      <c r="N436" t="s">
        <v>59</v>
      </c>
      <c r="O436" t="s">
        <v>41</v>
      </c>
      <c r="P436">
        <v>80</v>
      </c>
      <c r="Q436">
        <v>29</v>
      </c>
    </row>
    <row r="437" spans="1:17" x14ac:dyDescent="0.25">
      <c r="A437">
        <v>2015</v>
      </c>
      <c r="B437" t="s">
        <v>5</v>
      </c>
      <c r="C437">
        <v>371</v>
      </c>
      <c r="D437">
        <v>795.75791318262793</v>
      </c>
      <c r="E437" t="s">
        <v>41</v>
      </c>
      <c r="F437">
        <v>5.33</v>
      </c>
      <c r="G437" t="s">
        <v>425</v>
      </c>
      <c r="H437">
        <v>64.5</v>
      </c>
      <c r="I437">
        <v>15.13</v>
      </c>
      <c r="J437">
        <v>63.85</v>
      </c>
      <c r="K437">
        <v>46.39</v>
      </c>
      <c r="L437">
        <v>0.91</v>
      </c>
      <c r="M437" t="s">
        <v>435</v>
      </c>
      <c r="N437" t="s">
        <v>53</v>
      </c>
      <c r="O437" t="s">
        <v>45</v>
      </c>
      <c r="P437">
        <v>51</v>
      </c>
      <c r="Q437">
        <v>59</v>
      </c>
    </row>
    <row r="438" spans="1:17" x14ac:dyDescent="0.25">
      <c r="A438">
        <v>2015</v>
      </c>
      <c r="B438" t="s">
        <v>8</v>
      </c>
      <c r="C438">
        <v>725</v>
      </c>
      <c r="D438">
        <v>1847.8771106451888</v>
      </c>
      <c r="E438" t="s">
        <v>45</v>
      </c>
      <c r="F438">
        <v>4.22</v>
      </c>
      <c r="G438" t="s">
        <v>425</v>
      </c>
      <c r="H438">
        <v>23.93</v>
      </c>
      <c r="I438">
        <v>40.82</v>
      </c>
      <c r="J438">
        <v>61.54</v>
      </c>
      <c r="K438">
        <v>32.71</v>
      </c>
      <c r="L438">
        <v>2.31</v>
      </c>
      <c r="M438" t="s">
        <v>436</v>
      </c>
      <c r="N438" t="s">
        <v>57</v>
      </c>
      <c r="O438" t="s">
        <v>41</v>
      </c>
      <c r="P438">
        <v>66</v>
      </c>
      <c r="Q438">
        <v>49</v>
      </c>
    </row>
    <row r="439" spans="1:17" x14ac:dyDescent="0.25">
      <c r="A439">
        <v>2015</v>
      </c>
      <c r="B439" t="s">
        <v>8</v>
      </c>
      <c r="C439">
        <v>1499</v>
      </c>
      <c r="D439">
        <v>4935.7984923654585</v>
      </c>
      <c r="E439" t="s">
        <v>41</v>
      </c>
      <c r="F439">
        <v>8.33</v>
      </c>
      <c r="G439" t="s">
        <v>425</v>
      </c>
      <c r="H439">
        <v>29.08</v>
      </c>
      <c r="I439">
        <v>66.12</v>
      </c>
      <c r="J439">
        <v>92.64</v>
      </c>
      <c r="K439">
        <v>29.76</v>
      </c>
      <c r="L439">
        <v>0.56000000000000005</v>
      </c>
      <c r="M439" t="s">
        <v>437</v>
      </c>
      <c r="N439" t="s">
        <v>59</v>
      </c>
      <c r="O439" t="s">
        <v>41</v>
      </c>
      <c r="P439">
        <v>43</v>
      </c>
      <c r="Q439">
        <v>24</v>
      </c>
    </row>
    <row r="440" spans="1:17" x14ac:dyDescent="0.25">
      <c r="A440">
        <v>2015</v>
      </c>
      <c r="B440" t="s">
        <v>7</v>
      </c>
      <c r="C440">
        <v>315</v>
      </c>
      <c r="D440">
        <v>677.34629357809558</v>
      </c>
      <c r="E440" t="s">
        <v>45</v>
      </c>
      <c r="F440">
        <v>2.2200000000000002</v>
      </c>
      <c r="G440" t="s">
        <v>425</v>
      </c>
      <c r="H440">
        <v>23.08</v>
      </c>
      <c r="I440">
        <v>41.37</v>
      </c>
      <c r="J440">
        <v>78.94</v>
      </c>
      <c r="K440">
        <v>25.28</v>
      </c>
      <c r="L440">
        <v>0.5</v>
      </c>
      <c r="M440" t="s">
        <v>438</v>
      </c>
      <c r="N440" t="s">
        <v>63</v>
      </c>
      <c r="O440" t="s">
        <v>45</v>
      </c>
      <c r="P440">
        <v>45</v>
      </c>
      <c r="Q440">
        <v>38</v>
      </c>
    </row>
    <row r="441" spans="1:17" x14ac:dyDescent="0.25">
      <c r="A441">
        <v>2015</v>
      </c>
      <c r="B441" t="s">
        <v>4</v>
      </c>
      <c r="C441">
        <v>1818</v>
      </c>
      <c r="D441">
        <v>2255.018472921286</v>
      </c>
      <c r="E441" t="s">
        <v>45</v>
      </c>
      <c r="F441">
        <v>2.97</v>
      </c>
      <c r="G441" t="s">
        <v>425</v>
      </c>
      <c r="H441">
        <v>60.76</v>
      </c>
      <c r="I441">
        <v>28.5</v>
      </c>
      <c r="J441">
        <v>71.84</v>
      </c>
      <c r="K441">
        <v>65.25</v>
      </c>
      <c r="L441">
        <v>0.78</v>
      </c>
      <c r="M441" t="s">
        <v>439</v>
      </c>
      <c r="N441" t="s">
        <v>63</v>
      </c>
      <c r="O441" t="s">
        <v>45</v>
      </c>
      <c r="P441">
        <v>80</v>
      </c>
      <c r="Q441">
        <v>52</v>
      </c>
    </row>
    <row r="442" spans="1:17" x14ac:dyDescent="0.25">
      <c r="A442">
        <v>2015</v>
      </c>
      <c r="B442" t="s">
        <v>1</v>
      </c>
      <c r="C442">
        <v>585</v>
      </c>
      <c r="D442">
        <v>1207.7692149430611</v>
      </c>
      <c r="E442" t="s">
        <v>41</v>
      </c>
      <c r="F442">
        <v>9.5299999999999994</v>
      </c>
      <c r="G442" t="s">
        <v>425</v>
      </c>
      <c r="H442">
        <v>89.91</v>
      </c>
      <c r="I442">
        <v>25.59</v>
      </c>
      <c r="J442">
        <v>96.38</v>
      </c>
      <c r="K442">
        <v>50.86</v>
      </c>
      <c r="L442">
        <v>0.34</v>
      </c>
      <c r="M442" t="s">
        <v>440</v>
      </c>
      <c r="N442" t="s">
        <v>63</v>
      </c>
      <c r="O442" t="s">
        <v>45</v>
      </c>
      <c r="P442">
        <v>65</v>
      </c>
      <c r="Q442">
        <v>39</v>
      </c>
    </row>
    <row r="443" spans="1:17" x14ac:dyDescent="0.25">
      <c r="A443">
        <v>2016</v>
      </c>
      <c r="B443" t="s">
        <v>10</v>
      </c>
      <c r="C443">
        <v>2060</v>
      </c>
      <c r="D443">
        <v>4645.6235523396008</v>
      </c>
      <c r="E443" t="s">
        <v>45</v>
      </c>
      <c r="F443">
        <v>3.7</v>
      </c>
      <c r="G443" t="s">
        <v>425</v>
      </c>
      <c r="H443">
        <v>26.57</v>
      </c>
      <c r="I443">
        <v>18.66</v>
      </c>
      <c r="J443">
        <v>72.790000000000006</v>
      </c>
      <c r="K443">
        <v>51.59</v>
      </c>
      <c r="L443">
        <v>1.41</v>
      </c>
      <c r="M443" t="s">
        <v>324</v>
      </c>
      <c r="N443" t="s">
        <v>50</v>
      </c>
      <c r="O443" t="s">
        <v>45</v>
      </c>
      <c r="P443">
        <v>59</v>
      </c>
      <c r="Q443">
        <v>35</v>
      </c>
    </row>
    <row r="444" spans="1:17" x14ac:dyDescent="0.25">
      <c r="A444">
        <v>2016</v>
      </c>
      <c r="B444" t="s">
        <v>2</v>
      </c>
      <c r="C444">
        <v>982</v>
      </c>
      <c r="D444">
        <v>3219.2264463862552</v>
      </c>
      <c r="E444" t="s">
        <v>41</v>
      </c>
      <c r="F444">
        <v>6.22</v>
      </c>
      <c r="G444" t="s">
        <v>425</v>
      </c>
      <c r="H444">
        <v>59.4</v>
      </c>
      <c r="I444">
        <v>49.44</v>
      </c>
      <c r="J444">
        <v>76.02</v>
      </c>
      <c r="K444">
        <v>6.85</v>
      </c>
      <c r="L444">
        <v>1.82</v>
      </c>
      <c r="M444" t="s">
        <v>441</v>
      </c>
      <c r="N444" t="s">
        <v>47</v>
      </c>
      <c r="O444" t="s">
        <v>41</v>
      </c>
      <c r="P444">
        <v>65</v>
      </c>
      <c r="Q444">
        <v>28</v>
      </c>
    </row>
    <row r="445" spans="1:17" x14ac:dyDescent="0.25">
      <c r="A445">
        <v>2016</v>
      </c>
      <c r="B445" t="s">
        <v>7</v>
      </c>
      <c r="C445">
        <v>525</v>
      </c>
      <c r="D445">
        <v>1329.2031990765458</v>
      </c>
      <c r="E445" t="s">
        <v>45</v>
      </c>
      <c r="F445">
        <v>3.71</v>
      </c>
      <c r="G445" t="s">
        <v>425</v>
      </c>
      <c r="H445">
        <v>22.33</v>
      </c>
      <c r="I445">
        <v>30.68</v>
      </c>
      <c r="J445">
        <v>73.209999999999994</v>
      </c>
      <c r="K445">
        <v>28.78</v>
      </c>
      <c r="L445">
        <v>0.94</v>
      </c>
      <c r="M445" t="s">
        <v>442</v>
      </c>
      <c r="N445" t="s">
        <v>50</v>
      </c>
      <c r="O445" t="s">
        <v>41</v>
      </c>
      <c r="P445">
        <v>65</v>
      </c>
      <c r="Q445">
        <v>34</v>
      </c>
    </row>
    <row r="446" spans="1:17" x14ac:dyDescent="0.25">
      <c r="A446">
        <v>2016</v>
      </c>
      <c r="B446" t="s">
        <v>1</v>
      </c>
      <c r="C446">
        <v>1499</v>
      </c>
      <c r="D446">
        <v>2661.9986342077855</v>
      </c>
      <c r="E446" t="s">
        <v>41</v>
      </c>
      <c r="F446">
        <v>4.7699999999999996</v>
      </c>
      <c r="G446" t="s">
        <v>425</v>
      </c>
      <c r="H446">
        <v>67.73</v>
      </c>
      <c r="I446">
        <v>55.77</v>
      </c>
      <c r="J446">
        <v>52.59</v>
      </c>
      <c r="K446">
        <v>30.84</v>
      </c>
      <c r="L446">
        <v>2.17</v>
      </c>
      <c r="M446" t="s">
        <v>443</v>
      </c>
      <c r="N446" t="s">
        <v>50</v>
      </c>
      <c r="O446" t="s">
        <v>41</v>
      </c>
      <c r="P446">
        <v>67</v>
      </c>
      <c r="Q446">
        <v>47</v>
      </c>
    </row>
    <row r="447" spans="1:17" x14ac:dyDescent="0.25">
      <c r="A447">
        <v>2016</v>
      </c>
      <c r="B447" t="s">
        <v>1</v>
      </c>
      <c r="C447">
        <v>139</v>
      </c>
      <c r="D447">
        <v>221.03625518926091</v>
      </c>
      <c r="E447" t="s">
        <v>45</v>
      </c>
      <c r="F447">
        <v>9.3800000000000008</v>
      </c>
      <c r="G447" t="s">
        <v>425</v>
      </c>
      <c r="H447">
        <v>44.64</v>
      </c>
      <c r="I447">
        <v>44.14</v>
      </c>
      <c r="J447">
        <v>65.45</v>
      </c>
      <c r="K447">
        <v>29.31</v>
      </c>
      <c r="L447">
        <v>0.64</v>
      </c>
      <c r="M447" t="s">
        <v>444</v>
      </c>
      <c r="N447" t="s">
        <v>50</v>
      </c>
      <c r="O447" t="s">
        <v>45</v>
      </c>
      <c r="P447">
        <v>78</v>
      </c>
      <c r="Q447">
        <v>54</v>
      </c>
    </row>
    <row r="448" spans="1:17" x14ac:dyDescent="0.25">
      <c r="A448">
        <v>2016</v>
      </c>
      <c r="B448" t="s">
        <v>1</v>
      </c>
      <c r="C448">
        <v>588</v>
      </c>
      <c r="D448">
        <v>488.54697327200381</v>
      </c>
      <c r="E448" t="s">
        <v>41</v>
      </c>
      <c r="F448">
        <v>8.44</v>
      </c>
      <c r="G448" t="s">
        <v>425</v>
      </c>
      <c r="H448">
        <v>15.41</v>
      </c>
      <c r="I448">
        <v>9.9</v>
      </c>
      <c r="J448">
        <v>40.840000000000003</v>
      </c>
      <c r="K448">
        <v>12.71</v>
      </c>
      <c r="L448">
        <v>0.64</v>
      </c>
      <c r="M448" t="s">
        <v>424</v>
      </c>
      <c r="N448" t="s">
        <v>53</v>
      </c>
      <c r="O448" t="s">
        <v>45</v>
      </c>
      <c r="P448">
        <v>57</v>
      </c>
      <c r="Q448">
        <v>38</v>
      </c>
    </row>
    <row r="449" spans="1:17" x14ac:dyDescent="0.25">
      <c r="A449">
        <v>2017</v>
      </c>
      <c r="B449" t="s">
        <v>10</v>
      </c>
      <c r="C449">
        <v>636</v>
      </c>
      <c r="D449">
        <v>1348.457814662617</v>
      </c>
      <c r="E449" t="s">
        <v>45</v>
      </c>
      <c r="F449">
        <v>8.86</v>
      </c>
      <c r="G449" t="s">
        <v>425</v>
      </c>
      <c r="H449">
        <v>45.28</v>
      </c>
      <c r="I449">
        <v>52.55</v>
      </c>
      <c r="J449">
        <v>90.44</v>
      </c>
      <c r="K449">
        <v>68.680000000000007</v>
      </c>
      <c r="L449">
        <v>1.67</v>
      </c>
      <c r="M449" t="s">
        <v>445</v>
      </c>
      <c r="N449" t="s">
        <v>47</v>
      </c>
      <c r="O449" t="s">
        <v>41</v>
      </c>
      <c r="P449">
        <v>43</v>
      </c>
      <c r="Q449">
        <v>58</v>
      </c>
    </row>
    <row r="450" spans="1:17" x14ac:dyDescent="0.25">
      <c r="A450">
        <v>2017</v>
      </c>
      <c r="B450" t="s">
        <v>10</v>
      </c>
      <c r="C450">
        <v>355</v>
      </c>
      <c r="D450">
        <v>553.92145047473377</v>
      </c>
      <c r="E450" t="s">
        <v>41</v>
      </c>
      <c r="F450">
        <v>4.5199999999999996</v>
      </c>
      <c r="G450" t="s">
        <v>425</v>
      </c>
      <c r="H450">
        <v>20.3</v>
      </c>
      <c r="I450">
        <v>50.31</v>
      </c>
      <c r="J450">
        <v>94.76</v>
      </c>
      <c r="K450">
        <v>53.68</v>
      </c>
      <c r="L450">
        <v>1.47</v>
      </c>
      <c r="M450" t="s">
        <v>446</v>
      </c>
      <c r="N450" t="s">
        <v>44</v>
      </c>
      <c r="O450" t="s">
        <v>41</v>
      </c>
      <c r="P450">
        <v>60</v>
      </c>
      <c r="Q450">
        <v>20</v>
      </c>
    </row>
    <row r="451" spans="1:17" x14ac:dyDescent="0.25">
      <c r="A451">
        <v>2017</v>
      </c>
      <c r="B451" t="s">
        <v>6</v>
      </c>
      <c r="C451">
        <v>1897</v>
      </c>
      <c r="D451">
        <v>4448.562332062771</v>
      </c>
      <c r="E451" t="s">
        <v>45</v>
      </c>
      <c r="F451">
        <v>9.61</v>
      </c>
      <c r="G451" t="s">
        <v>425</v>
      </c>
      <c r="H451">
        <v>18.47</v>
      </c>
      <c r="I451">
        <v>41.79</v>
      </c>
      <c r="J451">
        <v>27.03</v>
      </c>
      <c r="K451">
        <v>65.44</v>
      </c>
      <c r="L451">
        <v>1.97</v>
      </c>
      <c r="M451" t="s">
        <v>378</v>
      </c>
      <c r="N451" t="s">
        <v>53</v>
      </c>
      <c r="O451" t="s">
        <v>41</v>
      </c>
      <c r="P451">
        <v>68</v>
      </c>
      <c r="Q451">
        <v>54</v>
      </c>
    </row>
    <row r="452" spans="1:17" x14ac:dyDescent="0.25">
      <c r="A452">
        <v>2017</v>
      </c>
      <c r="B452" t="s">
        <v>6</v>
      </c>
      <c r="C452">
        <v>1766</v>
      </c>
      <c r="D452">
        <v>2737.8662040267127</v>
      </c>
      <c r="E452" t="s">
        <v>41</v>
      </c>
      <c r="F452">
        <v>2.09</v>
      </c>
      <c r="G452" t="s">
        <v>425</v>
      </c>
      <c r="H452">
        <v>94.07</v>
      </c>
      <c r="I452">
        <v>61.71</v>
      </c>
      <c r="J452">
        <v>35.770000000000003</v>
      </c>
      <c r="K452">
        <v>63.51</v>
      </c>
      <c r="L452">
        <v>0.62</v>
      </c>
      <c r="M452" t="s">
        <v>447</v>
      </c>
      <c r="N452" t="s">
        <v>59</v>
      </c>
      <c r="O452" t="s">
        <v>45</v>
      </c>
      <c r="P452">
        <v>51</v>
      </c>
      <c r="Q452">
        <v>32</v>
      </c>
    </row>
    <row r="453" spans="1:17" x14ac:dyDescent="0.25">
      <c r="A453">
        <v>2017</v>
      </c>
      <c r="B453" t="s">
        <v>9</v>
      </c>
      <c r="C453">
        <v>1198</v>
      </c>
      <c r="D453">
        <v>1102.7567467869474</v>
      </c>
      <c r="E453" t="s">
        <v>45</v>
      </c>
      <c r="F453">
        <v>9.6999999999999993</v>
      </c>
      <c r="G453" t="s">
        <v>425</v>
      </c>
      <c r="H453">
        <v>91.37</v>
      </c>
      <c r="I453">
        <v>63.27</v>
      </c>
      <c r="J453">
        <v>73.73</v>
      </c>
      <c r="K453">
        <v>34.94</v>
      </c>
      <c r="L453">
        <v>2.44</v>
      </c>
      <c r="M453" t="s">
        <v>223</v>
      </c>
      <c r="N453" t="s">
        <v>59</v>
      </c>
      <c r="O453" t="s">
        <v>41</v>
      </c>
      <c r="P453">
        <v>50</v>
      </c>
      <c r="Q453">
        <v>59</v>
      </c>
    </row>
    <row r="454" spans="1:17" x14ac:dyDescent="0.25">
      <c r="A454">
        <v>2017</v>
      </c>
      <c r="B454" t="s">
        <v>9</v>
      </c>
      <c r="C454">
        <v>2475</v>
      </c>
      <c r="D454">
        <v>4587.938448166944</v>
      </c>
      <c r="E454" t="s">
        <v>41</v>
      </c>
      <c r="F454">
        <v>3.8</v>
      </c>
      <c r="G454" t="s">
        <v>425</v>
      </c>
      <c r="H454">
        <v>70.78</v>
      </c>
      <c r="I454">
        <v>63.15</v>
      </c>
      <c r="J454">
        <v>95</v>
      </c>
      <c r="K454">
        <v>21.74</v>
      </c>
      <c r="L454">
        <v>2.23</v>
      </c>
      <c r="M454" t="s">
        <v>448</v>
      </c>
      <c r="N454" t="s">
        <v>53</v>
      </c>
      <c r="O454" t="s">
        <v>45</v>
      </c>
      <c r="P454">
        <v>40</v>
      </c>
      <c r="Q454">
        <v>53</v>
      </c>
    </row>
    <row r="455" spans="1:17" x14ac:dyDescent="0.25">
      <c r="A455">
        <v>2017</v>
      </c>
      <c r="B455" t="s">
        <v>2</v>
      </c>
      <c r="C455">
        <v>90</v>
      </c>
      <c r="D455">
        <v>133.79195680572664</v>
      </c>
      <c r="E455" t="s">
        <v>45</v>
      </c>
      <c r="F455">
        <v>8.86</v>
      </c>
      <c r="G455" t="s">
        <v>425</v>
      </c>
      <c r="H455">
        <v>55.26</v>
      </c>
      <c r="I455">
        <v>54.41</v>
      </c>
      <c r="J455">
        <v>43.86</v>
      </c>
      <c r="K455">
        <v>7.86</v>
      </c>
      <c r="L455">
        <v>2.1</v>
      </c>
      <c r="M455" t="s">
        <v>346</v>
      </c>
      <c r="N455" t="s">
        <v>44</v>
      </c>
      <c r="O455" t="s">
        <v>41</v>
      </c>
      <c r="P455">
        <v>76</v>
      </c>
      <c r="Q455">
        <v>59</v>
      </c>
    </row>
    <row r="456" spans="1:17" x14ac:dyDescent="0.25">
      <c r="A456">
        <v>2017</v>
      </c>
      <c r="B456" t="s">
        <v>5</v>
      </c>
      <c r="C456">
        <v>1671</v>
      </c>
      <c r="D456">
        <v>1220.6039501895052</v>
      </c>
      <c r="E456" t="s">
        <v>41</v>
      </c>
      <c r="F456">
        <v>5.03</v>
      </c>
      <c r="G456" t="s">
        <v>425</v>
      </c>
      <c r="H456">
        <v>82.44</v>
      </c>
      <c r="I456">
        <v>22.96</v>
      </c>
      <c r="J456">
        <v>27.54</v>
      </c>
      <c r="K456">
        <v>40.75</v>
      </c>
      <c r="L456">
        <v>1.28</v>
      </c>
      <c r="M456" t="s">
        <v>449</v>
      </c>
      <c r="N456" t="s">
        <v>47</v>
      </c>
      <c r="O456" t="s">
        <v>45</v>
      </c>
      <c r="P456">
        <v>74</v>
      </c>
      <c r="Q456">
        <v>30</v>
      </c>
    </row>
    <row r="457" spans="1:17" x14ac:dyDescent="0.25">
      <c r="A457">
        <v>2017</v>
      </c>
      <c r="B457" t="s">
        <v>5</v>
      </c>
      <c r="C457">
        <v>110</v>
      </c>
      <c r="D457">
        <v>105.75904498087961</v>
      </c>
      <c r="E457" t="s">
        <v>45</v>
      </c>
      <c r="F457">
        <v>5.5</v>
      </c>
      <c r="G457" t="s">
        <v>425</v>
      </c>
      <c r="H457">
        <v>76.27</v>
      </c>
      <c r="I457">
        <v>38.39</v>
      </c>
      <c r="J457">
        <v>62.04</v>
      </c>
      <c r="K457">
        <v>66.790000000000006</v>
      </c>
      <c r="L457">
        <v>1.33</v>
      </c>
      <c r="M457" t="s">
        <v>450</v>
      </c>
      <c r="N457" t="s">
        <v>47</v>
      </c>
      <c r="O457" t="s">
        <v>45</v>
      </c>
      <c r="P457">
        <v>50</v>
      </c>
      <c r="Q457">
        <v>20</v>
      </c>
    </row>
    <row r="458" spans="1:17" x14ac:dyDescent="0.25">
      <c r="A458">
        <v>2017</v>
      </c>
      <c r="B458" t="s">
        <v>8</v>
      </c>
      <c r="C458">
        <v>636</v>
      </c>
      <c r="D458">
        <v>1184.9389001195013</v>
      </c>
      <c r="E458" t="s">
        <v>41</v>
      </c>
      <c r="F458">
        <v>7.84</v>
      </c>
      <c r="G458" t="s">
        <v>425</v>
      </c>
      <c r="H458">
        <v>66.05</v>
      </c>
      <c r="I458">
        <v>22.17</v>
      </c>
      <c r="J458">
        <v>70.430000000000007</v>
      </c>
      <c r="K458">
        <v>50.52</v>
      </c>
      <c r="L458">
        <v>2.2400000000000002</v>
      </c>
      <c r="M458" t="s">
        <v>340</v>
      </c>
      <c r="N458" t="s">
        <v>50</v>
      </c>
      <c r="O458" t="s">
        <v>45</v>
      </c>
      <c r="P458">
        <v>47</v>
      </c>
      <c r="Q458">
        <v>50</v>
      </c>
    </row>
    <row r="459" spans="1:17" x14ac:dyDescent="0.25">
      <c r="A459">
        <v>2017</v>
      </c>
      <c r="B459" t="s">
        <v>3</v>
      </c>
      <c r="C459">
        <v>2378</v>
      </c>
      <c r="D459">
        <v>3598.0107960395112</v>
      </c>
      <c r="E459" t="s">
        <v>41</v>
      </c>
      <c r="F459">
        <v>9.4</v>
      </c>
      <c r="G459" t="s">
        <v>425</v>
      </c>
      <c r="H459">
        <v>17.760000000000002</v>
      </c>
      <c r="I459">
        <v>14.91</v>
      </c>
      <c r="J459">
        <v>64.489999999999995</v>
      </c>
      <c r="K459">
        <v>7.61</v>
      </c>
      <c r="L459">
        <v>1.03</v>
      </c>
      <c r="M459" t="s">
        <v>451</v>
      </c>
      <c r="N459" t="s">
        <v>53</v>
      </c>
      <c r="O459" t="s">
        <v>41</v>
      </c>
      <c r="P459">
        <v>41</v>
      </c>
      <c r="Q459">
        <v>35</v>
      </c>
    </row>
    <row r="460" spans="1:17" x14ac:dyDescent="0.25">
      <c r="A460">
        <v>2017</v>
      </c>
      <c r="B460" t="s">
        <v>7</v>
      </c>
      <c r="C460">
        <v>67</v>
      </c>
      <c r="D460">
        <v>34.656205520350227</v>
      </c>
      <c r="E460" t="s">
        <v>41</v>
      </c>
      <c r="F460">
        <v>2.54</v>
      </c>
      <c r="G460" t="s">
        <v>425</v>
      </c>
      <c r="H460">
        <v>74.19</v>
      </c>
      <c r="I460">
        <v>29.4</v>
      </c>
      <c r="J460">
        <v>29.85</v>
      </c>
      <c r="K460">
        <v>52.66</v>
      </c>
      <c r="L460">
        <v>1.86</v>
      </c>
      <c r="M460" t="s">
        <v>318</v>
      </c>
      <c r="N460" t="s">
        <v>63</v>
      </c>
      <c r="O460" t="s">
        <v>41</v>
      </c>
      <c r="P460">
        <v>74</v>
      </c>
      <c r="Q460">
        <v>58</v>
      </c>
    </row>
    <row r="461" spans="1:17" x14ac:dyDescent="0.25">
      <c r="A461">
        <v>2017</v>
      </c>
      <c r="B461" t="s">
        <v>7</v>
      </c>
      <c r="C461">
        <v>1405</v>
      </c>
      <c r="D461">
        <v>3647.1571136007237</v>
      </c>
      <c r="E461" t="s">
        <v>45</v>
      </c>
      <c r="F461">
        <v>7.11</v>
      </c>
      <c r="G461" t="s">
        <v>425</v>
      </c>
      <c r="H461">
        <v>32.29</v>
      </c>
      <c r="I461">
        <v>19.100000000000001</v>
      </c>
      <c r="J461">
        <v>65.19</v>
      </c>
      <c r="K461">
        <v>29.94</v>
      </c>
      <c r="L461">
        <v>2.2000000000000002</v>
      </c>
      <c r="M461" t="s">
        <v>452</v>
      </c>
      <c r="N461" t="s">
        <v>59</v>
      </c>
      <c r="O461" t="s">
        <v>41</v>
      </c>
      <c r="P461">
        <v>71</v>
      </c>
      <c r="Q461">
        <v>33</v>
      </c>
    </row>
    <row r="462" spans="1:17" x14ac:dyDescent="0.25">
      <c r="A462">
        <v>2017</v>
      </c>
      <c r="B462" t="s">
        <v>7</v>
      </c>
      <c r="C462">
        <v>1889</v>
      </c>
      <c r="D462">
        <v>1123.86756086335</v>
      </c>
      <c r="E462" t="s">
        <v>41</v>
      </c>
      <c r="F462">
        <v>9.4499999999999993</v>
      </c>
      <c r="G462" t="s">
        <v>425</v>
      </c>
      <c r="H462">
        <v>48.09</v>
      </c>
      <c r="I462">
        <v>31.01</v>
      </c>
      <c r="J462">
        <v>41.69</v>
      </c>
      <c r="K462">
        <v>68.959999999999994</v>
      </c>
      <c r="L462">
        <v>0.49</v>
      </c>
      <c r="M462" t="s">
        <v>453</v>
      </c>
      <c r="N462" t="s">
        <v>59</v>
      </c>
      <c r="O462" t="s">
        <v>41</v>
      </c>
      <c r="P462">
        <v>69</v>
      </c>
      <c r="Q462">
        <v>50</v>
      </c>
    </row>
    <row r="463" spans="1:17" x14ac:dyDescent="0.25">
      <c r="A463">
        <v>2017</v>
      </c>
      <c r="B463" t="s">
        <v>7</v>
      </c>
      <c r="C463">
        <v>625</v>
      </c>
      <c r="D463">
        <v>800.20574344449631</v>
      </c>
      <c r="E463" t="s">
        <v>45</v>
      </c>
      <c r="F463">
        <v>3.83</v>
      </c>
      <c r="G463" t="s">
        <v>425</v>
      </c>
      <c r="H463">
        <v>89.27</v>
      </c>
      <c r="I463">
        <v>31.94</v>
      </c>
      <c r="J463">
        <v>81.38</v>
      </c>
      <c r="K463">
        <v>63.18</v>
      </c>
      <c r="L463">
        <v>1.56</v>
      </c>
      <c r="M463" t="s">
        <v>454</v>
      </c>
      <c r="N463" t="s">
        <v>57</v>
      </c>
      <c r="O463" t="s">
        <v>45</v>
      </c>
      <c r="P463">
        <v>58</v>
      </c>
      <c r="Q463">
        <v>57</v>
      </c>
    </row>
    <row r="464" spans="1:17" x14ac:dyDescent="0.25">
      <c r="A464">
        <v>2017</v>
      </c>
      <c r="B464" t="s">
        <v>4</v>
      </c>
      <c r="C464">
        <v>1561</v>
      </c>
      <c r="D464">
        <v>2693.1218330401166</v>
      </c>
      <c r="E464" t="s">
        <v>45</v>
      </c>
      <c r="F464">
        <v>2.83</v>
      </c>
      <c r="G464" t="s">
        <v>425</v>
      </c>
      <c r="H464">
        <v>88.11</v>
      </c>
      <c r="I464">
        <v>59.26</v>
      </c>
      <c r="J464">
        <v>62.95</v>
      </c>
      <c r="K464">
        <v>31.46</v>
      </c>
      <c r="L464">
        <v>1.35</v>
      </c>
      <c r="M464" t="s">
        <v>117</v>
      </c>
      <c r="N464" t="s">
        <v>59</v>
      </c>
      <c r="O464" t="s">
        <v>41</v>
      </c>
      <c r="P464">
        <v>58</v>
      </c>
      <c r="Q464">
        <v>50</v>
      </c>
    </row>
    <row r="465" spans="1:17" x14ac:dyDescent="0.25">
      <c r="A465">
        <v>2017</v>
      </c>
      <c r="B465" t="s">
        <v>1</v>
      </c>
      <c r="C465">
        <v>1896</v>
      </c>
      <c r="D465">
        <v>2081.2817972016946</v>
      </c>
      <c r="E465" t="s">
        <v>45</v>
      </c>
      <c r="F465">
        <v>8.65</v>
      </c>
      <c r="G465" t="s">
        <v>425</v>
      </c>
      <c r="H465">
        <v>22.85</v>
      </c>
      <c r="I465">
        <v>5.38</v>
      </c>
      <c r="J465">
        <v>63.44</v>
      </c>
      <c r="K465">
        <v>20.11</v>
      </c>
      <c r="L465">
        <v>1.63</v>
      </c>
      <c r="M465" t="s">
        <v>455</v>
      </c>
      <c r="N465" t="s">
        <v>50</v>
      </c>
      <c r="O465" t="s">
        <v>45</v>
      </c>
      <c r="P465">
        <v>69</v>
      </c>
      <c r="Q465">
        <v>31</v>
      </c>
    </row>
    <row r="466" spans="1:17" x14ac:dyDescent="0.25">
      <c r="A466">
        <v>2018</v>
      </c>
      <c r="B466" t="s">
        <v>6</v>
      </c>
      <c r="C466">
        <v>122</v>
      </c>
      <c r="D466">
        <v>226.89397937482556</v>
      </c>
      <c r="E466" t="s">
        <v>45</v>
      </c>
      <c r="F466">
        <v>6.76</v>
      </c>
      <c r="G466" t="s">
        <v>425</v>
      </c>
      <c r="H466">
        <v>26.41</v>
      </c>
      <c r="I466">
        <v>23.53</v>
      </c>
      <c r="J466">
        <v>73.84</v>
      </c>
      <c r="K466">
        <v>24.42</v>
      </c>
      <c r="L466">
        <v>2.2799999999999998</v>
      </c>
      <c r="M466" t="s">
        <v>456</v>
      </c>
      <c r="N466" t="s">
        <v>57</v>
      </c>
      <c r="O466" t="s">
        <v>45</v>
      </c>
      <c r="P466">
        <v>44</v>
      </c>
      <c r="Q466">
        <v>60</v>
      </c>
    </row>
    <row r="467" spans="1:17" x14ac:dyDescent="0.25">
      <c r="A467">
        <v>2018</v>
      </c>
      <c r="B467" t="s">
        <v>9</v>
      </c>
      <c r="C467">
        <v>2192</v>
      </c>
      <c r="D467">
        <v>7238.4407139542445</v>
      </c>
      <c r="E467" t="s">
        <v>45</v>
      </c>
      <c r="F467">
        <v>8.3000000000000007</v>
      </c>
      <c r="G467" t="s">
        <v>425</v>
      </c>
      <c r="H467">
        <v>78.36</v>
      </c>
      <c r="I467">
        <v>5.04</v>
      </c>
      <c r="J467">
        <v>88.9</v>
      </c>
      <c r="K467">
        <v>25.7</v>
      </c>
      <c r="L467">
        <v>1.57</v>
      </c>
      <c r="M467" t="s">
        <v>457</v>
      </c>
      <c r="N467" t="s">
        <v>57</v>
      </c>
      <c r="O467" t="s">
        <v>41</v>
      </c>
      <c r="P467">
        <v>65</v>
      </c>
      <c r="Q467">
        <v>58</v>
      </c>
    </row>
    <row r="468" spans="1:17" x14ac:dyDescent="0.25">
      <c r="A468">
        <v>2018</v>
      </c>
      <c r="B468" t="s">
        <v>9</v>
      </c>
      <c r="C468">
        <v>364</v>
      </c>
      <c r="D468">
        <v>1235.8143128785657</v>
      </c>
      <c r="E468" t="s">
        <v>41</v>
      </c>
      <c r="F468">
        <v>6.08</v>
      </c>
      <c r="G468" t="s">
        <v>425</v>
      </c>
      <c r="H468">
        <v>26.73</v>
      </c>
      <c r="I468">
        <v>30.88</v>
      </c>
      <c r="J468">
        <v>77.39</v>
      </c>
      <c r="K468">
        <v>18.63</v>
      </c>
      <c r="L468">
        <v>0.82</v>
      </c>
      <c r="M468" t="s">
        <v>458</v>
      </c>
      <c r="N468" t="s">
        <v>50</v>
      </c>
      <c r="O468" t="s">
        <v>41</v>
      </c>
      <c r="P468">
        <v>54</v>
      </c>
      <c r="Q468">
        <v>22</v>
      </c>
    </row>
    <row r="469" spans="1:17" x14ac:dyDescent="0.25">
      <c r="A469">
        <v>2018</v>
      </c>
      <c r="B469" t="s">
        <v>5</v>
      </c>
      <c r="C469">
        <v>744</v>
      </c>
      <c r="D469">
        <v>1669.8134096662914</v>
      </c>
      <c r="E469" t="s">
        <v>45</v>
      </c>
      <c r="F469">
        <v>5.39</v>
      </c>
      <c r="G469" t="s">
        <v>425</v>
      </c>
      <c r="H469">
        <v>45.66</v>
      </c>
      <c r="I469">
        <v>68.77</v>
      </c>
      <c r="J469">
        <v>33.76</v>
      </c>
      <c r="K469">
        <v>43.23</v>
      </c>
      <c r="L469">
        <v>1.01</v>
      </c>
      <c r="M469" t="s">
        <v>459</v>
      </c>
      <c r="N469" t="s">
        <v>59</v>
      </c>
      <c r="O469" t="s">
        <v>41</v>
      </c>
      <c r="P469">
        <v>40</v>
      </c>
      <c r="Q469">
        <v>59</v>
      </c>
    </row>
    <row r="470" spans="1:17" x14ac:dyDescent="0.25">
      <c r="A470">
        <v>2018</v>
      </c>
      <c r="B470" t="s">
        <v>5</v>
      </c>
      <c r="C470">
        <v>1468</v>
      </c>
      <c r="D470">
        <v>828.78333141233043</v>
      </c>
      <c r="E470" t="s">
        <v>45</v>
      </c>
      <c r="F470">
        <v>4.93</v>
      </c>
      <c r="G470" t="s">
        <v>425</v>
      </c>
      <c r="H470">
        <v>91.65</v>
      </c>
      <c r="I470">
        <v>67.8</v>
      </c>
      <c r="J470">
        <v>98.51</v>
      </c>
      <c r="K470">
        <v>42.93</v>
      </c>
      <c r="L470">
        <v>1.28</v>
      </c>
      <c r="M470" t="s">
        <v>460</v>
      </c>
      <c r="N470" t="s">
        <v>53</v>
      </c>
      <c r="O470" t="s">
        <v>45</v>
      </c>
      <c r="P470">
        <v>77</v>
      </c>
      <c r="Q470">
        <v>52</v>
      </c>
    </row>
    <row r="471" spans="1:17" x14ac:dyDescent="0.25">
      <c r="A471">
        <v>2018</v>
      </c>
      <c r="B471" t="s">
        <v>8</v>
      </c>
      <c r="C471">
        <v>1119</v>
      </c>
      <c r="D471">
        <v>2424.6598392845585</v>
      </c>
      <c r="E471" t="s">
        <v>41</v>
      </c>
      <c r="F471">
        <v>8.1</v>
      </c>
      <c r="G471" t="s">
        <v>425</v>
      </c>
      <c r="H471">
        <v>30.74</v>
      </c>
      <c r="I471">
        <v>54.38</v>
      </c>
      <c r="J471">
        <v>59.64</v>
      </c>
      <c r="K471">
        <v>69.56</v>
      </c>
      <c r="L471">
        <v>0.81</v>
      </c>
      <c r="M471" t="s">
        <v>225</v>
      </c>
      <c r="N471" t="s">
        <v>59</v>
      </c>
      <c r="O471" t="s">
        <v>41</v>
      </c>
      <c r="P471">
        <v>73</v>
      </c>
      <c r="Q471">
        <v>56</v>
      </c>
    </row>
    <row r="472" spans="1:17" x14ac:dyDescent="0.25">
      <c r="A472">
        <v>2018</v>
      </c>
      <c r="B472" t="s">
        <v>3</v>
      </c>
      <c r="C472">
        <v>316</v>
      </c>
      <c r="D472">
        <v>519.42896382417359</v>
      </c>
      <c r="E472" t="s">
        <v>41</v>
      </c>
      <c r="F472">
        <v>6.44</v>
      </c>
      <c r="G472" t="s">
        <v>425</v>
      </c>
      <c r="H472">
        <v>50.39</v>
      </c>
      <c r="I472">
        <v>67.39</v>
      </c>
      <c r="J472">
        <v>31.73</v>
      </c>
      <c r="K472">
        <v>46.51</v>
      </c>
      <c r="L472">
        <v>0.65</v>
      </c>
      <c r="M472" t="s">
        <v>461</v>
      </c>
      <c r="N472" t="s">
        <v>53</v>
      </c>
      <c r="O472" t="s">
        <v>41</v>
      </c>
      <c r="P472">
        <v>61</v>
      </c>
      <c r="Q472">
        <v>20</v>
      </c>
    </row>
    <row r="473" spans="1:17" x14ac:dyDescent="0.25">
      <c r="A473">
        <v>2018</v>
      </c>
      <c r="B473" t="s">
        <v>1</v>
      </c>
      <c r="C473">
        <v>1946</v>
      </c>
      <c r="D473">
        <v>1650.1430107620101</v>
      </c>
      <c r="E473" t="s">
        <v>45</v>
      </c>
      <c r="F473">
        <v>5.58</v>
      </c>
      <c r="G473" t="s">
        <v>425</v>
      </c>
      <c r="H473">
        <v>26.28</v>
      </c>
      <c r="I473">
        <v>47.66</v>
      </c>
      <c r="J473">
        <v>25.56</v>
      </c>
      <c r="K473">
        <v>54.13</v>
      </c>
      <c r="L473">
        <v>2.2999999999999998</v>
      </c>
      <c r="M473" t="s">
        <v>462</v>
      </c>
      <c r="N473" t="s">
        <v>63</v>
      </c>
      <c r="O473" t="s">
        <v>41</v>
      </c>
      <c r="P473">
        <v>75</v>
      </c>
      <c r="Q473">
        <v>44</v>
      </c>
    </row>
    <row r="474" spans="1:17" x14ac:dyDescent="0.25">
      <c r="A474">
        <v>2018</v>
      </c>
      <c r="B474" t="s">
        <v>1</v>
      </c>
      <c r="C474">
        <v>784</v>
      </c>
      <c r="D474">
        <v>508.20084316943013</v>
      </c>
      <c r="E474" t="s">
        <v>45</v>
      </c>
      <c r="F474">
        <v>9.42</v>
      </c>
      <c r="G474" t="s">
        <v>425</v>
      </c>
      <c r="H474">
        <v>43.2</v>
      </c>
      <c r="I474">
        <v>32.630000000000003</v>
      </c>
      <c r="J474">
        <v>96.97</v>
      </c>
      <c r="K474">
        <v>52.59</v>
      </c>
      <c r="L474">
        <v>0.84</v>
      </c>
      <c r="M474" t="s">
        <v>463</v>
      </c>
      <c r="N474" t="s">
        <v>53</v>
      </c>
      <c r="O474" t="s">
        <v>45</v>
      </c>
      <c r="P474">
        <v>46</v>
      </c>
      <c r="Q474">
        <v>56</v>
      </c>
    </row>
    <row r="475" spans="1:17" x14ac:dyDescent="0.25">
      <c r="A475">
        <v>2018</v>
      </c>
      <c r="B475" t="s">
        <v>1</v>
      </c>
      <c r="C475">
        <v>250</v>
      </c>
      <c r="D475">
        <v>535.76295725210161</v>
      </c>
      <c r="E475" t="s">
        <v>45</v>
      </c>
      <c r="F475">
        <v>7.14</v>
      </c>
      <c r="G475" t="s">
        <v>425</v>
      </c>
      <c r="H475">
        <v>68.59</v>
      </c>
      <c r="I475">
        <v>62.19</v>
      </c>
      <c r="J475">
        <v>73.87</v>
      </c>
      <c r="K475">
        <v>57.01</v>
      </c>
      <c r="L475">
        <v>2.44</v>
      </c>
      <c r="M475" t="s">
        <v>464</v>
      </c>
      <c r="N475" t="s">
        <v>53</v>
      </c>
      <c r="O475" t="s">
        <v>45</v>
      </c>
      <c r="P475">
        <v>49</v>
      </c>
      <c r="Q475">
        <v>54</v>
      </c>
    </row>
    <row r="476" spans="1:17" x14ac:dyDescent="0.25">
      <c r="A476">
        <v>2019</v>
      </c>
      <c r="B476" t="s">
        <v>10</v>
      </c>
      <c r="C476">
        <v>2326</v>
      </c>
      <c r="D476">
        <v>1736.0913692825377</v>
      </c>
      <c r="E476" t="s">
        <v>41</v>
      </c>
      <c r="F476">
        <v>3.56</v>
      </c>
      <c r="G476" t="s">
        <v>425</v>
      </c>
      <c r="H476">
        <v>82.61</v>
      </c>
      <c r="I476">
        <v>16.16</v>
      </c>
      <c r="J476">
        <v>47.71</v>
      </c>
      <c r="K476">
        <v>8.65</v>
      </c>
      <c r="L476">
        <v>0.85</v>
      </c>
      <c r="M476" t="s">
        <v>465</v>
      </c>
      <c r="N476" t="s">
        <v>44</v>
      </c>
      <c r="O476" t="s">
        <v>45</v>
      </c>
      <c r="P476">
        <v>75</v>
      </c>
      <c r="Q476">
        <v>36</v>
      </c>
    </row>
    <row r="477" spans="1:17" x14ac:dyDescent="0.25">
      <c r="A477">
        <v>2019</v>
      </c>
      <c r="B477" t="s">
        <v>6</v>
      </c>
      <c r="C477">
        <v>58</v>
      </c>
      <c r="D477">
        <v>149.76510755773114</v>
      </c>
      <c r="E477" t="s">
        <v>41</v>
      </c>
      <c r="F477">
        <v>8.5</v>
      </c>
      <c r="G477" t="s">
        <v>425</v>
      </c>
      <c r="H477">
        <v>55.12</v>
      </c>
      <c r="I477">
        <v>35.450000000000003</v>
      </c>
      <c r="J477">
        <v>76.27</v>
      </c>
      <c r="K477">
        <v>64.59</v>
      </c>
      <c r="L477">
        <v>0.23</v>
      </c>
      <c r="M477" t="s">
        <v>289</v>
      </c>
      <c r="N477" t="s">
        <v>44</v>
      </c>
      <c r="O477" t="s">
        <v>45</v>
      </c>
      <c r="P477">
        <v>68</v>
      </c>
      <c r="Q477">
        <v>48</v>
      </c>
    </row>
    <row r="478" spans="1:17" x14ac:dyDescent="0.25">
      <c r="A478">
        <v>2019</v>
      </c>
      <c r="B478" t="s">
        <v>9</v>
      </c>
      <c r="C478">
        <v>291</v>
      </c>
      <c r="D478">
        <v>706.36182423750665</v>
      </c>
      <c r="E478" t="s">
        <v>41</v>
      </c>
      <c r="F478">
        <v>4.2</v>
      </c>
      <c r="G478" t="s">
        <v>425</v>
      </c>
      <c r="H478">
        <v>55.17</v>
      </c>
      <c r="I478">
        <v>6.76</v>
      </c>
      <c r="J478">
        <v>52.79</v>
      </c>
      <c r="K478">
        <v>32.229999999999997</v>
      </c>
      <c r="L478">
        <v>1.55</v>
      </c>
      <c r="M478" t="s">
        <v>466</v>
      </c>
      <c r="N478" t="s">
        <v>50</v>
      </c>
      <c r="O478" t="s">
        <v>41</v>
      </c>
      <c r="P478">
        <v>53</v>
      </c>
      <c r="Q478">
        <v>40</v>
      </c>
    </row>
    <row r="479" spans="1:17" x14ac:dyDescent="0.25">
      <c r="A479">
        <v>2019</v>
      </c>
      <c r="B479" t="s">
        <v>2</v>
      </c>
      <c r="C479">
        <v>312</v>
      </c>
      <c r="D479">
        <v>191.20310716327936</v>
      </c>
      <c r="E479" t="s">
        <v>41</v>
      </c>
      <c r="F479">
        <v>6.26</v>
      </c>
      <c r="G479" t="s">
        <v>425</v>
      </c>
      <c r="H479">
        <v>36.22</v>
      </c>
      <c r="I479">
        <v>20.58</v>
      </c>
      <c r="J479">
        <v>88.65</v>
      </c>
      <c r="K479">
        <v>15.14</v>
      </c>
      <c r="L479">
        <v>0.87</v>
      </c>
      <c r="M479" t="s">
        <v>467</v>
      </c>
      <c r="N479" t="s">
        <v>53</v>
      </c>
      <c r="O479" t="s">
        <v>45</v>
      </c>
      <c r="P479">
        <v>78</v>
      </c>
      <c r="Q479">
        <v>20</v>
      </c>
    </row>
    <row r="480" spans="1:17" x14ac:dyDescent="0.25">
      <c r="A480">
        <v>2019</v>
      </c>
      <c r="B480" t="s">
        <v>5</v>
      </c>
      <c r="C480">
        <v>1892</v>
      </c>
      <c r="D480">
        <v>6251.0596783020474</v>
      </c>
      <c r="E480" t="s">
        <v>41</v>
      </c>
      <c r="F480">
        <v>2.41</v>
      </c>
      <c r="G480" t="s">
        <v>425</v>
      </c>
      <c r="H480">
        <v>64.42</v>
      </c>
      <c r="I480">
        <v>6.85</v>
      </c>
      <c r="J480">
        <v>61.85</v>
      </c>
      <c r="K480">
        <v>24.46</v>
      </c>
      <c r="L480">
        <v>1.39</v>
      </c>
      <c r="M480" t="s">
        <v>455</v>
      </c>
      <c r="N480" t="s">
        <v>47</v>
      </c>
      <c r="O480" t="s">
        <v>41</v>
      </c>
      <c r="P480">
        <v>69</v>
      </c>
      <c r="Q480">
        <v>31</v>
      </c>
    </row>
    <row r="481" spans="1:17" x14ac:dyDescent="0.25">
      <c r="A481">
        <v>2019</v>
      </c>
      <c r="B481" t="s">
        <v>5</v>
      </c>
      <c r="C481">
        <v>2102</v>
      </c>
      <c r="D481">
        <v>7160.3523964813048</v>
      </c>
      <c r="E481" t="s">
        <v>45</v>
      </c>
      <c r="F481">
        <v>5.3</v>
      </c>
      <c r="G481" t="s">
        <v>425</v>
      </c>
      <c r="H481">
        <v>84.23</v>
      </c>
      <c r="I481">
        <v>7.77</v>
      </c>
      <c r="J481">
        <v>42.1</v>
      </c>
      <c r="K481">
        <v>21.99</v>
      </c>
      <c r="L481">
        <v>0.37</v>
      </c>
      <c r="M481" t="s">
        <v>282</v>
      </c>
      <c r="N481" t="s">
        <v>59</v>
      </c>
      <c r="O481" t="s">
        <v>45</v>
      </c>
      <c r="P481">
        <v>58</v>
      </c>
      <c r="Q481">
        <v>32</v>
      </c>
    </row>
    <row r="482" spans="1:17" x14ac:dyDescent="0.25">
      <c r="A482">
        <v>2019</v>
      </c>
      <c r="B482" t="s">
        <v>8</v>
      </c>
      <c r="C482">
        <v>591</v>
      </c>
      <c r="D482">
        <v>1182.4700942601003</v>
      </c>
      <c r="E482" t="s">
        <v>41</v>
      </c>
      <c r="F482">
        <v>9.77</v>
      </c>
      <c r="G482" t="s">
        <v>425</v>
      </c>
      <c r="H482">
        <v>50.49</v>
      </c>
      <c r="I482">
        <v>60.12</v>
      </c>
      <c r="J482">
        <v>27.06</v>
      </c>
      <c r="K482">
        <v>37.729999999999997</v>
      </c>
      <c r="L482">
        <v>0.7</v>
      </c>
      <c r="M482" t="s">
        <v>218</v>
      </c>
      <c r="N482" t="s">
        <v>53</v>
      </c>
      <c r="O482" t="s">
        <v>41</v>
      </c>
      <c r="P482">
        <v>68</v>
      </c>
      <c r="Q482">
        <v>56</v>
      </c>
    </row>
    <row r="483" spans="1:17" x14ac:dyDescent="0.25">
      <c r="A483">
        <v>2019</v>
      </c>
      <c r="B483" t="s">
        <v>3</v>
      </c>
      <c r="C483">
        <v>2192</v>
      </c>
      <c r="D483">
        <v>3488.7563485128253</v>
      </c>
      <c r="E483" t="s">
        <v>41</v>
      </c>
      <c r="F483">
        <v>2.89</v>
      </c>
      <c r="G483" t="s">
        <v>425</v>
      </c>
      <c r="H483">
        <v>60.27</v>
      </c>
      <c r="I483">
        <v>45.48</v>
      </c>
      <c r="J483">
        <v>31.6</v>
      </c>
      <c r="K483">
        <v>36.58</v>
      </c>
      <c r="L483">
        <v>1.19</v>
      </c>
      <c r="M483" t="s">
        <v>468</v>
      </c>
      <c r="N483" t="s">
        <v>63</v>
      </c>
      <c r="O483" t="s">
        <v>45</v>
      </c>
      <c r="P483">
        <v>74</v>
      </c>
      <c r="Q483">
        <v>47</v>
      </c>
    </row>
    <row r="484" spans="1:17" x14ac:dyDescent="0.25">
      <c r="A484">
        <v>2019</v>
      </c>
      <c r="B484" t="s">
        <v>3</v>
      </c>
      <c r="C484">
        <v>592</v>
      </c>
      <c r="D484">
        <v>1781.1573472174564</v>
      </c>
      <c r="E484" t="s">
        <v>41</v>
      </c>
      <c r="F484">
        <v>6.04</v>
      </c>
      <c r="G484" t="s">
        <v>425</v>
      </c>
      <c r="H484">
        <v>86.97</v>
      </c>
      <c r="I484">
        <v>18.8</v>
      </c>
      <c r="J484">
        <v>84.42</v>
      </c>
      <c r="K484">
        <v>63.57</v>
      </c>
      <c r="L484">
        <v>0.8</v>
      </c>
      <c r="M484" t="s">
        <v>416</v>
      </c>
      <c r="N484" t="s">
        <v>47</v>
      </c>
      <c r="O484" t="s">
        <v>41</v>
      </c>
      <c r="P484">
        <v>70</v>
      </c>
      <c r="Q484">
        <v>29</v>
      </c>
    </row>
    <row r="485" spans="1:17" x14ac:dyDescent="0.25">
      <c r="A485">
        <v>2019</v>
      </c>
      <c r="B485" t="s">
        <v>7</v>
      </c>
      <c r="C485">
        <v>907</v>
      </c>
      <c r="D485">
        <v>664.33778795544333</v>
      </c>
      <c r="E485" t="s">
        <v>41</v>
      </c>
      <c r="F485">
        <v>8.6999999999999993</v>
      </c>
      <c r="G485" t="s">
        <v>425</v>
      </c>
      <c r="H485">
        <v>34.82</v>
      </c>
      <c r="I485">
        <v>20.38</v>
      </c>
      <c r="J485">
        <v>74.59</v>
      </c>
      <c r="K485">
        <v>68.650000000000006</v>
      </c>
      <c r="L485">
        <v>0.53</v>
      </c>
      <c r="M485" t="s">
        <v>469</v>
      </c>
      <c r="N485" t="s">
        <v>47</v>
      </c>
      <c r="O485" t="s">
        <v>41</v>
      </c>
      <c r="P485">
        <v>61</v>
      </c>
      <c r="Q485">
        <v>36</v>
      </c>
    </row>
    <row r="486" spans="1:17" x14ac:dyDescent="0.25">
      <c r="A486">
        <v>2020</v>
      </c>
      <c r="B486" t="s">
        <v>10</v>
      </c>
      <c r="C486">
        <v>1558</v>
      </c>
      <c r="D486">
        <v>3720.0575216445241</v>
      </c>
      <c r="E486" t="s">
        <v>41</v>
      </c>
      <c r="F486">
        <v>2.93</v>
      </c>
      <c r="G486" t="s">
        <v>425</v>
      </c>
      <c r="H486">
        <v>28.26</v>
      </c>
      <c r="I486">
        <v>41.58</v>
      </c>
      <c r="J486">
        <v>71.459999999999994</v>
      </c>
      <c r="K486">
        <v>52.67</v>
      </c>
      <c r="L486">
        <v>1.04</v>
      </c>
      <c r="M486" t="s">
        <v>470</v>
      </c>
      <c r="N486" t="s">
        <v>44</v>
      </c>
      <c r="O486" t="s">
        <v>45</v>
      </c>
      <c r="P486">
        <v>75</v>
      </c>
      <c r="Q486">
        <v>33</v>
      </c>
    </row>
    <row r="487" spans="1:17" x14ac:dyDescent="0.25">
      <c r="A487">
        <v>2020</v>
      </c>
      <c r="B487" t="s">
        <v>10</v>
      </c>
      <c r="C487">
        <v>1519</v>
      </c>
      <c r="D487">
        <v>2622.0330604538458</v>
      </c>
      <c r="E487" t="s">
        <v>41</v>
      </c>
      <c r="F487">
        <v>2.8</v>
      </c>
      <c r="G487" t="s">
        <v>425</v>
      </c>
      <c r="H487">
        <v>91.89</v>
      </c>
      <c r="I487">
        <v>48.15</v>
      </c>
      <c r="J487">
        <v>51.09</v>
      </c>
      <c r="K487">
        <v>51.62</v>
      </c>
      <c r="L487">
        <v>1.26</v>
      </c>
      <c r="M487" t="s">
        <v>471</v>
      </c>
      <c r="N487" t="s">
        <v>53</v>
      </c>
      <c r="O487" t="s">
        <v>41</v>
      </c>
      <c r="P487">
        <v>47</v>
      </c>
      <c r="Q487">
        <v>58</v>
      </c>
    </row>
    <row r="488" spans="1:17" x14ac:dyDescent="0.25">
      <c r="A488">
        <v>2020</v>
      </c>
      <c r="B488" t="s">
        <v>10</v>
      </c>
      <c r="C488">
        <v>262</v>
      </c>
      <c r="D488">
        <v>898.56651243078136</v>
      </c>
      <c r="E488" t="s">
        <v>45</v>
      </c>
      <c r="F488">
        <v>2.79</v>
      </c>
      <c r="G488" t="s">
        <v>425</v>
      </c>
      <c r="H488">
        <v>31.46</v>
      </c>
      <c r="I488">
        <v>55.96</v>
      </c>
      <c r="J488">
        <v>44.75</v>
      </c>
      <c r="K488">
        <v>19.75</v>
      </c>
      <c r="L488">
        <v>0.44</v>
      </c>
      <c r="M488" t="s">
        <v>472</v>
      </c>
      <c r="N488" t="s">
        <v>57</v>
      </c>
      <c r="O488" t="s">
        <v>45</v>
      </c>
      <c r="P488">
        <v>67</v>
      </c>
      <c r="Q488">
        <v>25</v>
      </c>
    </row>
    <row r="489" spans="1:17" x14ac:dyDescent="0.25">
      <c r="A489">
        <v>2020</v>
      </c>
      <c r="B489" t="s">
        <v>6</v>
      </c>
      <c r="C489">
        <v>1509</v>
      </c>
      <c r="D489">
        <v>4449.0585646787122</v>
      </c>
      <c r="E489" t="s">
        <v>41</v>
      </c>
      <c r="F489">
        <v>4.38</v>
      </c>
      <c r="G489" t="s">
        <v>425</v>
      </c>
      <c r="H489">
        <v>28.87</v>
      </c>
      <c r="I489">
        <v>3.91</v>
      </c>
      <c r="J489">
        <v>73.790000000000006</v>
      </c>
      <c r="K489">
        <v>63.25</v>
      </c>
      <c r="L489">
        <v>0.87</v>
      </c>
      <c r="M489" t="s">
        <v>473</v>
      </c>
      <c r="N489" t="s">
        <v>57</v>
      </c>
      <c r="O489" t="s">
        <v>41</v>
      </c>
      <c r="P489">
        <v>80</v>
      </c>
      <c r="Q489">
        <v>46</v>
      </c>
    </row>
    <row r="490" spans="1:17" x14ac:dyDescent="0.25">
      <c r="A490">
        <v>2020</v>
      </c>
      <c r="B490" t="s">
        <v>5</v>
      </c>
      <c r="C490">
        <v>2108</v>
      </c>
      <c r="D490">
        <v>2762.9117828138346</v>
      </c>
      <c r="E490" t="s">
        <v>41</v>
      </c>
      <c r="F490">
        <v>4.8899999999999997</v>
      </c>
      <c r="G490" t="s">
        <v>425</v>
      </c>
      <c r="H490">
        <v>16.46</v>
      </c>
      <c r="I490">
        <v>48.17</v>
      </c>
      <c r="J490">
        <v>79.36</v>
      </c>
      <c r="K490">
        <v>47.02</v>
      </c>
      <c r="L490">
        <v>0.62</v>
      </c>
      <c r="M490" t="s">
        <v>474</v>
      </c>
      <c r="N490" t="s">
        <v>59</v>
      </c>
      <c r="O490" t="s">
        <v>41</v>
      </c>
      <c r="P490">
        <v>45</v>
      </c>
      <c r="Q490">
        <v>46</v>
      </c>
    </row>
    <row r="491" spans="1:17" x14ac:dyDescent="0.25">
      <c r="A491">
        <v>2020</v>
      </c>
      <c r="B491" t="s">
        <v>8</v>
      </c>
      <c r="C491">
        <v>706</v>
      </c>
      <c r="D491">
        <v>736.51982071418081</v>
      </c>
      <c r="E491" t="s">
        <v>41</v>
      </c>
      <c r="F491">
        <v>5.59</v>
      </c>
      <c r="G491" t="s">
        <v>425</v>
      </c>
      <c r="H491">
        <v>77.73</v>
      </c>
      <c r="I491">
        <v>36.83</v>
      </c>
      <c r="J491">
        <v>86.18</v>
      </c>
      <c r="K491">
        <v>20.2</v>
      </c>
      <c r="L491">
        <v>1.5</v>
      </c>
      <c r="M491" t="s">
        <v>475</v>
      </c>
      <c r="N491" t="s">
        <v>47</v>
      </c>
      <c r="O491" t="s">
        <v>41</v>
      </c>
      <c r="P491">
        <v>71</v>
      </c>
      <c r="Q491">
        <v>60</v>
      </c>
    </row>
    <row r="492" spans="1:17" x14ac:dyDescent="0.25">
      <c r="A492">
        <v>2020</v>
      </c>
      <c r="B492" t="s">
        <v>8</v>
      </c>
      <c r="C492">
        <v>2310</v>
      </c>
      <c r="D492">
        <v>6209.2189070531986</v>
      </c>
      <c r="E492" t="s">
        <v>41</v>
      </c>
      <c r="F492">
        <v>8.73</v>
      </c>
      <c r="G492" t="s">
        <v>425</v>
      </c>
      <c r="H492">
        <v>32.619999999999997</v>
      </c>
      <c r="I492">
        <v>15.9</v>
      </c>
      <c r="J492">
        <v>83.97</v>
      </c>
      <c r="K492">
        <v>38.9</v>
      </c>
      <c r="L492">
        <v>2.0099999999999998</v>
      </c>
      <c r="M492" t="s">
        <v>476</v>
      </c>
      <c r="N492" t="s">
        <v>50</v>
      </c>
      <c r="O492" t="s">
        <v>45</v>
      </c>
      <c r="P492">
        <v>64</v>
      </c>
      <c r="Q492">
        <v>45</v>
      </c>
    </row>
    <row r="493" spans="1:17" x14ac:dyDescent="0.25">
      <c r="A493">
        <v>2020</v>
      </c>
      <c r="B493" t="s">
        <v>7</v>
      </c>
      <c r="C493">
        <v>1072</v>
      </c>
      <c r="D493">
        <v>1967.0562130676055</v>
      </c>
      <c r="E493" t="s">
        <v>41</v>
      </c>
      <c r="F493">
        <v>6.67</v>
      </c>
      <c r="G493" t="s">
        <v>425</v>
      </c>
      <c r="H493">
        <v>71.040000000000006</v>
      </c>
      <c r="I493">
        <v>5.55</v>
      </c>
      <c r="J493">
        <v>26.72</v>
      </c>
      <c r="K493">
        <v>39.26</v>
      </c>
      <c r="L493">
        <v>0.62</v>
      </c>
      <c r="M493" t="s">
        <v>477</v>
      </c>
      <c r="N493" t="s">
        <v>63</v>
      </c>
      <c r="O493" t="s">
        <v>41</v>
      </c>
      <c r="P493">
        <v>47</v>
      </c>
      <c r="Q493">
        <v>34</v>
      </c>
    </row>
    <row r="494" spans="1:17" x14ac:dyDescent="0.25">
      <c r="A494">
        <v>2020</v>
      </c>
      <c r="B494" t="s">
        <v>7</v>
      </c>
      <c r="C494">
        <v>119</v>
      </c>
      <c r="D494">
        <v>198.35674610005483</v>
      </c>
      <c r="E494" t="s">
        <v>45</v>
      </c>
      <c r="F494">
        <v>8.31</v>
      </c>
      <c r="G494" t="s">
        <v>425</v>
      </c>
      <c r="H494">
        <v>68.31</v>
      </c>
      <c r="I494">
        <v>19.87</v>
      </c>
      <c r="J494">
        <v>51.88</v>
      </c>
      <c r="K494">
        <v>60.52</v>
      </c>
      <c r="L494">
        <v>1.97</v>
      </c>
      <c r="M494" t="s">
        <v>478</v>
      </c>
      <c r="N494" t="s">
        <v>53</v>
      </c>
      <c r="O494" t="s">
        <v>41</v>
      </c>
      <c r="P494">
        <v>63</v>
      </c>
      <c r="Q494">
        <v>33</v>
      </c>
    </row>
    <row r="495" spans="1:17" x14ac:dyDescent="0.25">
      <c r="A495">
        <v>2020</v>
      </c>
      <c r="B495" t="s">
        <v>1</v>
      </c>
      <c r="C495">
        <v>133</v>
      </c>
      <c r="D495">
        <v>168.45354251543304</v>
      </c>
      <c r="E495" t="s">
        <v>41</v>
      </c>
      <c r="F495">
        <v>9.4499999999999993</v>
      </c>
      <c r="G495" t="s">
        <v>425</v>
      </c>
      <c r="H495">
        <v>24.3</v>
      </c>
      <c r="I495">
        <v>14.38</v>
      </c>
      <c r="J495">
        <v>34.17</v>
      </c>
      <c r="K495">
        <v>44.32</v>
      </c>
      <c r="L495">
        <v>1.89</v>
      </c>
      <c r="M495" t="s">
        <v>479</v>
      </c>
      <c r="N495" t="s">
        <v>47</v>
      </c>
      <c r="O495" t="s">
        <v>41</v>
      </c>
      <c r="P495">
        <v>60</v>
      </c>
      <c r="Q495">
        <v>39</v>
      </c>
    </row>
    <row r="496" spans="1:17" x14ac:dyDescent="0.25">
      <c r="A496">
        <v>2021</v>
      </c>
      <c r="B496" t="s">
        <v>10</v>
      </c>
      <c r="C496">
        <v>1949</v>
      </c>
      <c r="D496">
        <v>2565.8103085355319</v>
      </c>
      <c r="E496" t="s">
        <v>41</v>
      </c>
      <c r="F496">
        <v>7.53</v>
      </c>
      <c r="G496" t="s">
        <v>425</v>
      </c>
      <c r="H496">
        <v>76.41</v>
      </c>
      <c r="I496">
        <v>4.07</v>
      </c>
      <c r="J496">
        <v>58.86</v>
      </c>
      <c r="K496">
        <v>49.29</v>
      </c>
      <c r="L496">
        <v>1.74</v>
      </c>
      <c r="M496" t="s">
        <v>480</v>
      </c>
      <c r="N496" t="s">
        <v>63</v>
      </c>
      <c r="O496" t="s">
        <v>41</v>
      </c>
      <c r="P496">
        <v>67</v>
      </c>
      <c r="Q496">
        <v>41</v>
      </c>
    </row>
    <row r="497" spans="1:17" x14ac:dyDescent="0.25">
      <c r="A497">
        <v>2021</v>
      </c>
      <c r="B497" t="s">
        <v>10</v>
      </c>
      <c r="C497">
        <v>2200</v>
      </c>
      <c r="D497">
        <v>3559.6491742386452</v>
      </c>
      <c r="E497" t="s">
        <v>45</v>
      </c>
      <c r="F497">
        <v>2.08</v>
      </c>
      <c r="G497" t="s">
        <v>425</v>
      </c>
      <c r="H497">
        <v>66.77</v>
      </c>
      <c r="I497">
        <v>35.96</v>
      </c>
      <c r="J497">
        <v>29.58</v>
      </c>
      <c r="K497">
        <v>42.12</v>
      </c>
      <c r="L497">
        <v>0.68</v>
      </c>
      <c r="M497" t="s">
        <v>481</v>
      </c>
      <c r="N497" t="s">
        <v>59</v>
      </c>
      <c r="O497" t="s">
        <v>41</v>
      </c>
      <c r="P497">
        <v>58</v>
      </c>
      <c r="Q497">
        <v>21</v>
      </c>
    </row>
    <row r="498" spans="1:17" x14ac:dyDescent="0.25">
      <c r="A498">
        <v>2021</v>
      </c>
      <c r="B498" t="s">
        <v>10</v>
      </c>
      <c r="C498">
        <v>1701</v>
      </c>
      <c r="D498">
        <v>3815.4157423205925</v>
      </c>
      <c r="E498" t="s">
        <v>45</v>
      </c>
      <c r="F498">
        <v>8.08</v>
      </c>
      <c r="G498" t="s">
        <v>425</v>
      </c>
      <c r="H498">
        <v>61.52</v>
      </c>
      <c r="I498">
        <v>44.21</v>
      </c>
      <c r="J498">
        <v>96.09</v>
      </c>
      <c r="K498">
        <v>41.37</v>
      </c>
      <c r="L498">
        <v>2.0499999999999998</v>
      </c>
      <c r="M498" t="s">
        <v>482</v>
      </c>
      <c r="N498" t="s">
        <v>57</v>
      </c>
      <c r="O498" t="s">
        <v>45</v>
      </c>
      <c r="P498">
        <v>76</v>
      </c>
      <c r="Q498">
        <v>56</v>
      </c>
    </row>
    <row r="499" spans="1:17" x14ac:dyDescent="0.25">
      <c r="A499">
        <v>2021</v>
      </c>
      <c r="B499" t="s">
        <v>6</v>
      </c>
      <c r="C499">
        <v>418</v>
      </c>
      <c r="D499">
        <v>1373.7641010643499</v>
      </c>
      <c r="E499" t="s">
        <v>41</v>
      </c>
      <c r="F499">
        <v>4.46</v>
      </c>
      <c r="G499" t="s">
        <v>425</v>
      </c>
      <c r="H499">
        <v>60.93</v>
      </c>
      <c r="I499">
        <v>66.52</v>
      </c>
      <c r="J499">
        <v>70.59</v>
      </c>
      <c r="K499">
        <v>38.75</v>
      </c>
      <c r="L499">
        <v>2.3199999999999998</v>
      </c>
      <c r="M499" t="s">
        <v>388</v>
      </c>
      <c r="N499" t="s">
        <v>59</v>
      </c>
      <c r="O499" t="s">
        <v>41</v>
      </c>
      <c r="P499">
        <v>52</v>
      </c>
      <c r="Q499">
        <v>40</v>
      </c>
    </row>
    <row r="500" spans="1:17" x14ac:dyDescent="0.25">
      <c r="A500">
        <v>2021</v>
      </c>
      <c r="B500" t="s">
        <v>6</v>
      </c>
      <c r="C500">
        <v>2057</v>
      </c>
      <c r="D500">
        <v>2068.1145134363651</v>
      </c>
      <c r="E500" t="s">
        <v>45</v>
      </c>
      <c r="F500">
        <v>5.13</v>
      </c>
      <c r="G500" t="s">
        <v>425</v>
      </c>
      <c r="H500">
        <v>75.150000000000006</v>
      </c>
      <c r="I500">
        <v>30.81</v>
      </c>
      <c r="J500">
        <v>88.27</v>
      </c>
      <c r="K500">
        <v>17.7</v>
      </c>
      <c r="L500">
        <v>0.49</v>
      </c>
      <c r="M500" t="s">
        <v>483</v>
      </c>
      <c r="N500" t="s">
        <v>53</v>
      </c>
      <c r="O500" t="s">
        <v>41</v>
      </c>
      <c r="P500">
        <v>77</v>
      </c>
      <c r="Q500">
        <v>31</v>
      </c>
    </row>
    <row r="501" spans="1:17" x14ac:dyDescent="0.25">
      <c r="A501">
        <v>2021</v>
      </c>
      <c r="B501" t="s">
        <v>6</v>
      </c>
      <c r="C501">
        <v>2153</v>
      </c>
      <c r="D501">
        <v>1232.2475863170594</v>
      </c>
      <c r="E501" t="s">
        <v>41</v>
      </c>
      <c r="F501">
        <v>5.97</v>
      </c>
      <c r="G501" t="s">
        <v>425</v>
      </c>
      <c r="H501">
        <v>71.09</v>
      </c>
      <c r="I501">
        <v>37.04</v>
      </c>
      <c r="J501">
        <v>42.87</v>
      </c>
      <c r="K501">
        <v>18.309999999999999</v>
      </c>
      <c r="L501">
        <v>0.51</v>
      </c>
      <c r="M501" t="s">
        <v>484</v>
      </c>
      <c r="N501" t="s">
        <v>53</v>
      </c>
      <c r="O501" t="s">
        <v>45</v>
      </c>
      <c r="P501">
        <v>63</v>
      </c>
      <c r="Q501">
        <v>39</v>
      </c>
    </row>
    <row r="502" spans="1:17" x14ac:dyDescent="0.25">
      <c r="A502">
        <v>2021</v>
      </c>
      <c r="B502" t="s">
        <v>9</v>
      </c>
      <c r="C502">
        <v>479</v>
      </c>
      <c r="D502">
        <v>272.93567835556303</v>
      </c>
      <c r="E502" t="s">
        <v>41</v>
      </c>
      <c r="F502">
        <v>6.47</v>
      </c>
      <c r="G502" t="s">
        <v>425</v>
      </c>
      <c r="H502">
        <v>92.66</v>
      </c>
      <c r="I502">
        <v>34.51</v>
      </c>
      <c r="J502">
        <v>82.04</v>
      </c>
      <c r="K502">
        <v>8.18</v>
      </c>
      <c r="L502">
        <v>1.71</v>
      </c>
      <c r="M502" t="s">
        <v>485</v>
      </c>
      <c r="N502" t="s">
        <v>50</v>
      </c>
      <c r="O502" t="s">
        <v>41</v>
      </c>
      <c r="P502">
        <v>46</v>
      </c>
      <c r="Q502">
        <v>39</v>
      </c>
    </row>
    <row r="503" spans="1:17" x14ac:dyDescent="0.25">
      <c r="A503">
        <v>2021</v>
      </c>
      <c r="B503" t="s">
        <v>5</v>
      </c>
      <c r="C503">
        <v>1212</v>
      </c>
      <c r="D503">
        <v>1527.2277423607193</v>
      </c>
      <c r="E503" t="s">
        <v>41</v>
      </c>
      <c r="F503">
        <v>3.07</v>
      </c>
      <c r="G503" t="s">
        <v>425</v>
      </c>
      <c r="H503">
        <v>69.97</v>
      </c>
      <c r="I503">
        <v>7.32</v>
      </c>
      <c r="J503">
        <v>75.94</v>
      </c>
      <c r="K503">
        <v>33.049999999999997</v>
      </c>
      <c r="L503">
        <v>1.85</v>
      </c>
      <c r="M503" t="s">
        <v>486</v>
      </c>
      <c r="N503" t="s">
        <v>47</v>
      </c>
      <c r="O503" t="s">
        <v>45</v>
      </c>
      <c r="P503">
        <v>73</v>
      </c>
      <c r="Q503">
        <v>32</v>
      </c>
    </row>
    <row r="504" spans="1:17" x14ac:dyDescent="0.25">
      <c r="A504">
        <v>2021</v>
      </c>
      <c r="B504" t="s">
        <v>4</v>
      </c>
      <c r="C504">
        <v>520</v>
      </c>
      <c r="D504">
        <v>1308.0266826892275</v>
      </c>
      <c r="E504" t="s">
        <v>41</v>
      </c>
      <c r="F504">
        <v>7.47</v>
      </c>
      <c r="G504" t="s">
        <v>425</v>
      </c>
      <c r="H504">
        <v>25.11</v>
      </c>
      <c r="I504">
        <v>24.63</v>
      </c>
      <c r="J504">
        <v>91.65</v>
      </c>
      <c r="K504">
        <v>9.14</v>
      </c>
      <c r="L504">
        <v>0.27</v>
      </c>
      <c r="M504" t="s">
        <v>487</v>
      </c>
      <c r="N504" t="s">
        <v>63</v>
      </c>
      <c r="O504" t="s">
        <v>41</v>
      </c>
      <c r="P504">
        <v>70</v>
      </c>
      <c r="Q504">
        <v>46</v>
      </c>
    </row>
    <row r="505" spans="1:17" x14ac:dyDescent="0.25">
      <c r="A505">
        <v>2021</v>
      </c>
      <c r="B505" t="s">
        <v>4</v>
      </c>
      <c r="C505">
        <v>1370</v>
      </c>
      <c r="D505">
        <v>943.3018768009988</v>
      </c>
      <c r="E505" t="s">
        <v>41</v>
      </c>
      <c r="F505">
        <v>6.15</v>
      </c>
      <c r="G505" t="s">
        <v>425</v>
      </c>
      <c r="H505">
        <v>70.540000000000006</v>
      </c>
      <c r="I505">
        <v>31.2</v>
      </c>
      <c r="J505">
        <v>90.22</v>
      </c>
      <c r="K505">
        <v>68</v>
      </c>
      <c r="L505">
        <v>0.39</v>
      </c>
      <c r="M505" t="s">
        <v>488</v>
      </c>
      <c r="N505" t="s">
        <v>47</v>
      </c>
      <c r="O505" t="s">
        <v>45</v>
      </c>
      <c r="P505">
        <v>73</v>
      </c>
      <c r="Q505">
        <v>24</v>
      </c>
    </row>
    <row r="506" spans="1:17" x14ac:dyDescent="0.25">
      <c r="A506">
        <v>2022</v>
      </c>
      <c r="B506" t="s">
        <v>9</v>
      </c>
      <c r="C506">
        <v>113</v>
      </c>
      <c r="D506">
        <v>208.41502691432288</v>
      </c>
      <c r="E506" t="s">
        <v>45</v>
      </c>
      <c r="F506">
        <v>9.01</v>
      </c>
      <c r="G506" t="s">
        <v>425</v>
      </c>
      <c r="H506">
        <v>27.53</v>
      </c>
      <c r="I506">
        <v>11.79</v>
      </c>
      <c r="J506">
        <v>63.46</v>
      </c>
      <c r="K506">
        <v>24.34</v>
      </c>
      <c r="L506">
        <v>1.21</v>
      </c>
      <c r="M506" t="s">
        <v>489</v>
      </c>
      <c r="N506" t="s">
        <v>63</v>
      </c>
      <c r="O506" t="s">
        <v>45</v>
      </c>
      <c r="P506">
        <v>74</v>
      </c>
      <c r="Q506">
        <v>44</v>
      </c>
    </row>
    <row r="507" spans="1:17" x14ac:dyDescent="0.25">
      <c r="A507">
        <v>2022</v>
      </c>
      <c r="B507" t="s">
        <v>9</v>
      </c>
      <c r="C507">
        <v>2203</v>
      </c>
      <c r="D507">
        <v>5857.9118898642137</v>
      </c>
      <c r="E507" t="s">
        <v>41</v>
      </c>
      <c r="F507">
        <v>7.87</v>
      </c>
      <c r="G507" t="s">
        <v>425</v>
      </c>
      <c r="H507">
        <v>75.78</v>
      </c>
      <c r="I507">
        <v>16.899999999999999</v>
      </c>
      <c r="J507">
        <v>91.43</v>
      </c>
      <c r="K507">
        <v>34.159999999999997</v>
      </c>
      <c r="L507">
        <v>2.36</v>
      </c>
      <c r="M507" t="s">
        <v>490</v>
      </c>
      <c r="N507" t="s">
        <v>53</v>
      </c>
      <c r="O507" t="s">
        <v>45</v>
      </c>
      <c r="P507">
        <v>71</v>
      </c>
      <c r="Q507">
        <v>59</v>
      </c>
    </row>
    <row r="508" spans="1:17" x14ac:dyDescent="0.25">
      <c r="A508">
        <v>2022</v>
      </c>
      <c r="B508" t="s">
        <v>2</v>
      </c>
      <c r="C508">
        <v>156</v>
      </c>
      <c r="D508">
        <v>81.305090826947961</v>
      </c>
      <c r="E508" t="s">
        <v>45</v>
      </c>
      <c r="F508">
        <v>5.7</v>
      </c>
      <c r="G508" t="s">
        <v>425</v>
      </c>
      <c r="H508">
        <v>88.32</v>
      </c>
      <c r="I508">
        <v>5.94</v>
      </c>
      <c r="J508">
        <v>40.840000000000003</v>
      </c>
      <c r="K508">
        <v>51.71</v>
      </c>
      <c r="L508">
        <v>2.4</v>
      </c>
      <c r="M508" t="s">
        <v>491</v>
      </c>
      <c r="N508" t="s">
        <v>57</v>
      </c>
      <c r="O508" t="s">
        <v>45</v>
      </c>
      <c r="P508">
        <v>65</v>
      </c>
      <c r="Q508">
        <v>21</v>
      </c>
    </row>
    <row r="509" spans="1:17" x14ac:dyDescent="0.25">
      <c r="A509">
        <v>2022</v>
      </c>
      <c r="B509" t="s">
        <v>2</v>
      </c>
      <c r="C509">
        <v>2352</v>
      </c>
      <c r="D509">
        <v>7061.263675023778</v>
      </c>
      <c r="E509" t="s">
        <v>45</v>
      </c>
      <c r="F509">
        <v>9.1199999999999992</v>
      </c>
      <c r="G509" t="s">
        <v>425</v>
      </c>
      <c r="H509">
        <v>59.39</v>
      </c>
      <c r="I509">
        <v>51.07</v>
      </c>
      <c r="J509">
        <v>93.78</v>
      </c>
      <c r="K509">
        <v>60.68</v>
      </c>
      <c r="L509">
        <v>1.42</v>
      </c>
      <c r="M509" t="s">
        <v>492</v>
      </c>
      <c r="N509" t="s">
        <v>53</v>
      </c>
      <c r="O509" t="s">
        <v>45</v>
      </c>
      <c r="P509">
        <v>49</v>
      </c>
      <c r="Q509">
        <v>42</v>
      </c>
    </row>
    <row r="510" spans="1:17" x14ac:dyDescent="0.25">
      <c r="A510">
        <v>2022</v>
      </c>
      <c r="B510" t="s">
        <v>3</v>
      </c>
      <c r="C510">
        <v>809</v>
      </c>
      <c r="D510">
        <v>2776.992608587288</v>
      </c>
      <c r="E510" t="s">
        <v>45</v>
      </c>
      <c r="F510">
        <v>9.76</v>
      </c>
      <c r="G510" t="s">
        <v>425</v>
      </c>
      <c r="H510">
        <v>35.67</v>
      </c>
      <c r="I510">
        <v>38.01</v>
      </c>
      <c r="J510">
        <v>88.83</v>
      </c>
      <c r="K510">
        <v>48.65</v>
      </c>
      <c r="L510">
        <v>0.27</v>
      </c>
      <c r="M510" t="s">
        <v>493</v>
      </c>
      <c r="N510" t="s">
        <v>59</v>
      </c>
      <c r="O510" t="s">
        <v>41</v>
      </c>
      <c r="P510">
        <v>69</v>
      </c>
      <c r="Q510">
        <v>49</v>
      </c>
    </row>
    <row r="511" spans="1:17" x14ac:dyDescent="0.25">
      <c r="A511">
        <v>2022</v>
      </c>
      <c r="B511" t="s">
        <v>3</v>
      </c>
      <c r="C511">
        <v>2257</v>
      </c>
      <c r="D511">
        <v>3764.2372037724754</v>
      </c>
      <c r="E511" t="s">
        <v>41</v>
      </c>
      <c r="F511">
        <v>8.06</v>
      </c>
      <c r="G511" t="s">
        <v>425</v>
      </c>
      <c r="H511">
        <v>54.01</v>
      </c>
      <c r="I511">
        <v>14.58</v>
      </c>
      <c r="J511">
        <v>59.73</v>
      </c>
      <c r="K511">
        <v>10.96</v>
      </c>
      <c r="L511">
        <v>2.38</v>
      </c>
      <c r="M511" t="s">
        <v>494</v>
      </c>
      <c r="N511" t="s">
        <v>44</v>
      </c>
      <c r="O511" t="s">
        <v>41</v>
      </c>
      <c r="P511">
        <v>55</v>
      </c>
      <c r="Q511">
        <v>40</v>
      </c>
    </row>
    <row r="512" spans="1:17" x14ac:dyDescent="0.25">
      <c r="A512">
        <v>2022</v>
      </c>
      <c r="B512" t="s">
        <v>7</v>
      </c>
      <c r="C512">
        <v>2084</v>
      </c>
      <c r="D512">
        <v>1461.8197414287731</v>
      </c>
      <c r="E512" t="s">
        <v>41</v>
      </c>
      <c r="F512">
        <v>4.28</v>
      </c>
      <c r="G512" t="s">
        <v>425</v>
      </c>
      <c r="H512">
        <v>79.06</v>
      </c>
      <c r="I512">
        <v>29.33</v>
      </c>
      <c r="J512">
        <v>69.790000000000006</v>
      </c>
      <c r="K512">
        <v>64.489999999999995</v>
      </c>
      <c r="L512">
        <v>2.29</v>
      </c>
      <c r="M512" t="s">
        <v>495</v>
      </c>
      <c r="N512" t="s">
        <v>53</v>
      </c>
      <c r="O512" t="s">
        <v>45</v>
      </c>
      <c r="P512">
        <v>71</v>
      </c>
      <c r="Q512">
        <v>58</v>
      </c>
    </row>
    <row r="513" spans="1:17" x14ac:dyDescent="0.25">
      <c r="A513">
        <v>2022</v>
      </c>
      <c r="B513" t="s">
        <v>7</v>
      </c>
      <c r="C513">
        <v>141</v>
      </c>
      <c r="D513">
        <v>344.96310084002675</v>
      </c>
      <c r="E513" t="s">
        <v>45</v>
      </c>
      <c r="F513">
        <v>6.64</v>
      </c>
      <c r="G513" t="s">
        <v>425</v>
      </c>
      <c r="H513">
        <v>46.27</v>
      </c>
      <c r="I513">
        <v>14.2</v>
      </c>
      <c r="J513">
        <v>64.709999999999994</v>
      </c>
      <c r="K513">
        <v>61.11</v>
      </c>
      <c r="L513">
        <v>0.24</v>
      </c>
      <c r="M513" t="s">
        <v>496</v>
      </c>
      <c r="N513" t="s">
        <v>44</v>
      </c>
      <c r="O513" t="s">
        <v>41</v>
      </c>
      <c r="P513">
        <v>47</v>
      </c>
      <c r="Q513">
        <v>53</v>
      </c>
    </row>
    <row r="514" spans="1:17" x14ac:dyDescent="0.25">
      <c r="A514">
        <v>2022</v>
      </c>
      <c r="B514" t="s">
        <v>1</v>
      </c>
      <c r="C514">
        <v>939</v>
      </c>
      <c r="D514">
        <v>1292.2674482759612</v>
      </c>
      <c r="E514" t="s">
        <v>45</v>
      </c>
      <c r="F514">
        <v>6.9</v>
      </c>
      <c r="G514" t="s">
        <v>425</v>
      </c>
      <c r="H514">
        <v>47.27</v>
      </c>
      <c r="I514">
        <v>48.48</v>
      </c>
      <c r="J514">
        <v>83.63</v>
      </c>
      <c r="K514">
        <v>8.2799999999999994</v>
      </c>
      <c r="L514">
        <v>1.91</v>
      </c>
      <c r="M514" t="s">
        <v>182</v>
      </c>
      <c r="N514" t="s">
        <v>47</v>
      </c>
      <c r="O514" t="s">
        <v>45</v>
      </c>
      <c r="P514">
        <v>67</v>
      </c>
      <c r="Q514">
        <v>51</v>
      </c>
    </row>
    <row r="515" spans="1:17" x14ac:dyDescent="0.25">
      <c r="A515">
        <v>2022</v>
      </c>
      <c r="B515" t="s">
        <v>1</v>
      </c>
      <c r="C515">
        <v>1353</v>
      </c>
      <c r="D515">
        <v>3955.1842458879673</v>
      </c>
      <c r="E515" t="s">
        <v>45</v>
      </c>
      <c r="F515">
        <v>6.51</v>
      </c>
      <c r="G515" t="s">
        <v>425</v>
      </c>
      <c r="H515">
        <v>60.32</v>
      </c>
      <c r="I515">
        <v>10.18</v>
      </c>
      <c r="J515">
        <v>96.13</v>
      </c>
      <c r="K515">
        <v>46.93</v>
      </c>
      <c r="L515">
        <v>0.68</v>
      </c>
      <c r="M515" t="s">
        <v>497</v>
      </c>
      <c r="N515" t="s">
        <v>57</v>
      </c>
      <c r="O515" t="s">
        <v>41</v>
      </c>
      <c r="P515">
        <v>59</v>
      </c>
      <c r="Q515">
        <v>24</v>
      </c>
    </row>
    <row r="516" spans="1:17" x14ac:dyDescent="0.25">
      <c r="A516">
        <v>2023</v>
      </c>
      <c r="B516" t="s">
        <v>10</v>
      </c>
      <c r="C516">
        <v>605</v>
      </c>
      <c r="D516">
        <v>686.95449767283833</v>
      </c>
      <c r="E516" t="s">
        <v>41</v>
      </c>
      <c r="F516">
        <v>6.75</v>
      </c>
      <c r="G516" t="s">
        <v>425</v>
      </c>
      <c r="H516">
        <v>56.62</v>
      </c>
      <c r="I516">
        <v>3.33</v>
      </c>
      <c r="J516">
        <v>88.55</v>
      </c>
      <c r="K516">
        <v>59.22</v>
      </c>
      <c r="L516">
        <v>1.66</v>
      </c>
      <c r="M516" t="s">
        <v>490</v>
      </c>
      <c r="N516" t="s">
        <v>44</v>
      </c>
      <c r="O516" t="s">
        <v>41</v>
      </c>
      <c r="P516">
        <v>71</v>
      </c>
      <c r="Q516">
        <v>59</v>
      </c>
    </row>
    <row r="517" spans="1:17" x14ac:dyDescent="0.25">
      <c r="A517">
        <v>2023</v>
      </c>
      <c r="B517" t="s">
        <v>10</v>
      </c>
      <c r="C517">
        <v>844</v>
      </c>
      <c r="D517">
        <v>2746.3243933687081</v>
      </c>
      <c r="E517" t="s">
        <v>45</v>
      </c>
      <c r="F517">
        <v>3.68</v>
      </c>
      <c r="G517" t="s">
        <v>425</v>
      </c>
      <c r="H517">
        <v>16.66</v>
      </c>
      <c r="I517">
        <v>67.95</v>
      </c>
      <c r="J517">
        <v>95.44</v>
      </c>
      <c r="K517">
        <v>56.87</v>
      </c>
      <c r="L517">
        <v>0.24</v>
      </c>
      <c r="M517" t="s">
        <v>498</v>
      </c>
      <c r="N517" t="s">
        <v>47</v>
      </c>
      <c r="O517" t="s">
        <v>45</v>
      </c>
      <c r="P517">
        <v>57</v>
      </c>
      <c r="Q517">
        <v>28</v>
      </c>
    </row>
    <row r="518" spans="1:17" x14ac:dyDescent="0.25">
      <c r="A518">
        <v>2023</v>
      </c>
      <c r="B518" t="s">
        <v>9</v>
      </c>
      <c r="C518">
        <v>397</v>
      </c>
      <c r="D518">
        <v>1232.7411843129903</v>
      </c>
      <c r="E518" t="s">
        <v>41</v>
      </c>
      <c r="F518">
        <v>9.52</v>
      </c>
      <c r="G518" t="s">
        <v>425</v>
      </c>
      <c r="H518">
        <v>57.97</v>
      </c>
      <c r="I518">
        <v>67.540000000000006</v>
      </c>
      <c r="J518">
        <v>66.22</v>
      </c>
      <c r="K518">
        <v>33.090000000000003</v>
      </c>
      <c r="L518">
        <v>0.96</v>
      </c>
      <c r="M518" t="s">
        <v>499</v>
      </c>
      <c r="N518" t="s">
        <v>59</v>
      </c>
      <c r="O518" t="s">
        <v>45</v>
      </c>
      <c r="P518">
        <v>54</v>
      </c>
      <c r="Q518">
        <v>21</v>
      </c>
    </row>
    <row r="519" spans="1:17" x14ac:dyDescent="0.25">
      <c r="A519">
        <v>2023</v>
      </c>
      <c r="B519" t="s">
        <v>2</v>
      </c>
      <c r="C519">
        <v>2325</v>
      </c>
      <c r="D519">
        <v>5850.3738663117138</v>
      </c>
      <c r="E519" t="s">
        <v>45</v>
      </c>
      <c r="F519">
        <v>2.25</v>
      </c>
      <c r="G519" t="s">
        <v>425</v>
      </c>
      <c r="H519">
        <v>53.22</v>
      </c>
      <c r="I519">
        <v>20.47</v>
      </c>
      <c r="J519">
        <v>49.31</v>
      </c>
      <c r="K519">
        <v>37.270000000000003</v>
      </c>
      <c r="L519">
        <v>2.36</v>
      </c>
      <c r="M519" t="s">
        <v>500</v>
      </c>
      <c r="N519" t="s">
        <v>50</v>
      </c>
      <c r="O519" t="s">
        <v>41</v>
      </c>
      <c r="P519">
        <v>80</v>
      </c>
      <c r="Q519">
        <v>53</v>
      </c>
    </row>
    <row r="520" spans="1:17" x14ac:dyDescent="0.25">
      <c r="A520">
        <v>2023</v>
      </c>
      <c r="B520" t="s">
        <v>2</v>
      </c>
      <c r="C520">
        <v>1125</v>
      </c>
      <c r="D520">
        <v>840.43512442220538</v>
      </c>
      <c r="E520" t="s">
        <v>41</v>
      </c>
      <c r="F520">
        <v>4.76</v>
      </c>
      <c r="G520" t="s">
        <v>425</v>
      </c>
      <c r="H520">
        <v>58.4</v>
      </c>
      <c r="I520">
        <v>29.53</v>
      </c>
      <c r="J520">
        <v>50.55</v>
      </c>
      <c r="K520">
        <v>22.03</v>
      </c>
      <c r="L520">
        <v>1.69</v>
      </c>
      <c r="M520" t="s">
        <v>501</v>
      </c>
      <c r="N520" t="s">
        <v>50</v>
      </c>
      <c r="O520" t="s">
        <v>41</v>
      </c>
      <c r="P520">
        <v>71</v>
      </c>
      <c r="Q520">
        <v>57</v>
      </c>
    </row>
    <row r="521" spans="1:17" x14ac:dyDescent="0.25">
      <c r="A521">
        <v>2023</v>
      </c>
      <c r="B521" t="s">
        <v>5</v>
      </c>
      <c r="C521">
        <v>2434</v>
      </c>
      <c r="D521">
        <v>8515.0051546429277</v>
      </c>
      <c r="E521" t="s">
        <v>45</v>
      </c>
      <c r="F521">
        <v>5.0999999999999996</v>
      </c>
      <c r="G521" t="s">
        <v>425</v>
      </c>
      <c r="H521">
        <v>46.39</v>
      </c>
      <c r="I521">
        <v>41.02</v>
      </c>
      <c r="J521">
        <v>90.49</v>
      </c>
      <c r="K521">
        <v>66.739999999999995</v>
      </c>
      <c r="L521">
        <v>1.68</v>
      </c>
      <c r="M521" t="s">
        <v>502</v>
      </c>
      <c r="N521" t="s">
        <v>50</v>
      </c>
      <c r="O521" t="s">
        <v>41</v>
      </c>
      <c r="P521">
        <v>43</v>
      </c>
      <c r="Q521">
        <v>48</v>
      </c>
    </row>
    <row r="522" spans="1:17" x14ac:dyDescent="0.25">
      <c r="A522">
        <v>2023</v>
      </c>
      <c r="B522" t="s">
        <v>5</v>
      </c>
      <c r="C522">
        <v>1423</v>
      </c>
      <c r="D522">
        <v>2415.9116316719874</v>
      </c>
      <c r="E522" t="s">
        <v>45</v>
      </c>
      <c r="F522">
        <v>6.54</v>
      </c>
      <c r="G522" t="s">
        <v>425</v>
      </c>
      <c r="H522">
        <v>19.989999999999998</v>
      </c>
      <c r="I522">
        <v>15.83</v>
      </c>
      <c r="J522">
        <v>39.82</v>
      </c>
      <c r="K522">
        <v>22.18</v>
      </c>
      <c r="L522">
        <v>2.42</v>
      </c>
      <c r="M522" t="s">
        <v>503</v>
      </c>
      <c r="N522" t="s">
        <v>47</v>
      </c>
      <c r="O522" t="s">
        <v>41</v>
      </c>
      <c r="P522">
        <v>75</v>
      </c>
      <c r="Q522">
        <v>32</v>
      </c>
    </row>
    <row r="523" spans="1:17" x14ac:dyDescent="0.25">
      <c r="A523">
        <v>2023</v>
      </c>
      <c r="B523" t="s">
        <v>3</v>
      </c>
      <c r="C523">
        <v>1058</v>
      </c>
      <c r="D523">
        <v>631.73279783364728</v>
      </c>
      <c r="E523" t="s">
        <v>41</v>
      </c>
      <c r="F523">
        <v>5.25</v>
      </c>
      <c r="G523" t="s">
        <v>425</v>
      </c>
      <c r="H523">
        <v>91.45</v>
      </c>
      <c r="I523">
        <v>69.709999999999994</v>
      </c>
      <c r="J523">
        <v>76.34</v>
      </c>
      <c r="K523">
        <v>42.06</v>
      </c>
      <c r="L523">
        <v>1</v>
      </c>
      <c r="M523" t="s">
        <v>120</v>
      </c>
      <c r="N523" t="s">
        <v>50</v>
      </c>
      <c r="O523" t="s">
        <v>41</v>
      </c>
      <c r="P523">
        <v>44</v>
      </c>
      <c r="Q523">
        <v>59</v>
      </c>
    </row>
    <row r="524" spans="1:17" x14ac:dyDescent="0.25">
      <c r="A524">
        <v>2023</v>
      </c>
      <c r="B524" t="s">
        <v>7</v>
      </c>
      <c r="C524">
        <v>1305</v>
      </c>
      <c r="D524">
        <v>1818.7360026777155</v>
      </c>
      <c r="E524" t="s">
        <v>41</v>
      </c>
      <c r="F524">
        <v>8.5500000000000007</v>
      </c>
      <c r="G524" t="s">
        <v>425</v>
      </c>
      <c r="H524">
        <v>82.33</v>
      </c>
      <c r="I524">
        <v>60.23</v>
      </c>
      <c r="J524">
        <v>82.12</v>
      </c>
      <c r="K524">
        <v>41.93</v>
      </c>
      <c r="L524">
        <v>1.9</v>
      </c>
      <c r="M524" t="s">
        <v>504</v>
      </c>
      <c r="N524" t="s">
        <v>50</v>
      </c>
      <c r="O524" t="s">
        <v>45</v>
      </c>
      <c r="P524">
        <v>40</v>
      </c>
      <c r="Q524">
        <v>56</v>
      </c>
    </row>
    <row r="525" spans="1:17" x14ac:dyDescent="0.25">
      <c r="A525">
        <v>2023</v>
      </c>
      <c r="B525" t="s">
        <v>4</v>
      </c>
      <c r="C525">
        <v>996</v>
      </c>
      <c r="D525">
        <v>546.65871577230223</v>
      </c>
      <c r="E525" t="s">
        <v>41</v>
      </c>
      <c r="F525">
        <v>3.09</v>
      </c>
      <c r="G525" t="s">
        <v>425</v>
      </c>
      <c r="H525">
        <v>43.78</v>
      </c>
      <c r="I525">
        <v>41.84</v>
      </c>
      <c r="J525">
        <v>88.31</v>
      </c>
      <c r="K525">
        <v>20.91</v>
      </c>
      <c r="L525">
        <v>1.95</v>
      </c>
      <c r="M525" t="s">
        <v>505</v>
      </c>
      <c r="N525" t="s">
        <v>44</v>
      </c>
      <c r="O525" t="s">
        <v>45</v>
      </c>
      <c r="P525">
        <v>68</v>
      </c>
      <c r="Q525">
        <v>51</v>
      </c>
    </row>
    <row r="526" spans="1:17" x14ac:dyDescent="0.25">
      <c r="A526">
        <v>2023</v>
      </c>
      <c r="B526" t="s">
        <v>4</v>
      </c>
      <c r="C526">
        <v>1746</v>
      </c>
      <c r="D526">
        <v>2509.5193496521015</v>
      </c>
      <c r="E526" t="s">
        <v>45</v>
      </c>
      <c r="F526">
        <v>9.41</v>
      </c>
      <c r="G526" t="s">
        <v>425</v>
      </c>
      <c r="H526">
        <v>64.02</v>
      </c>
      <c r="I526">
        <v>46.49</v>
      </c>
      <c r="J526">
        <v>25.21</v>
      </c>
      <c r="K526">
        <v>47.86</v>
      </c>
      <c r="L526">
        <v>2.13</v>
      </c>
      <c r="M526" t="s">
        <v>506</v>
      </c>
      <c r="N526" t="s">
        <v>63</v>
      </c>
      <c r="O526" t="s">
        <v>41</v>
      </c>
      <c r="P526">
        <v>78</v>
      </c>
      <c r="Q526">
        <v>22</v>
      </c>
    </row>
    <row r="527" spans="1:17" x14ac:dyDescent="0.25">
      <c r="A527">
        <v>2023</v>
      </c>
      <c r="B527" t="s">
        <v>1</v>
      </c>
      <c r="C527">
        <v>296</v>
      </c>
      <c r="D527">
        <v>642.81265805336852</v>
      </c>
      <c r="E527" t="s">
        <v>45</v>
      </c>
      <c r="F527">
        <v>6.36</v>
      </c>
      <c r="G527" t="s">
        <v>425</v>
      </c>
      <c r="H527">
        <v>23.26</v>
      </c>
      <c r="I527">
        <v>36.32</v>
      </c>
      <c r="J527">
        <v>43.16</v>
      </c>
      <c r="K527">
        <v>50.11</v>
      </c>
      <c r="L527">
        <v>0.64</v>
      </c>
      <c r="M527" t="s">
        <v>507</v>
      </c>
      <c r="N527" t="s">
        <v>59</v>
      </c>
      <c r="O527" t="s">
        <v>41</v>
      </c>
      <c r="P527">
        <v>73</v>
      </c>
      <c r="Q527">
        <v>45</v>
      </c>
    </row>
    <row r="528" spans="1:17" x14ac:dyDescent="0.25">
      <c r="A528">
        <v>2023</v>
      </c>
      <c r="B528" t="s">
        <v>1</v>
      </c>
      <c r="C528">
        <v>2179</v>
      </c>
      <c r="D528">
        <v>1121.4815108088942</v>
      </c>
      <c r="E528" t="s">
        <v>41</v>
      </c>
      <c r="F528">
        <v>3.62</v>
      </c>
      <c r="G528" t="s">
        <v>425</v>
      </c>
      <c r="H528">
        <v>80.55</v>
      </c>
      <c r="I528">
        <v>9.26</v>
      </c>
      <c r="J528">
        <v>37.71</v>
      </c>
      <c r="K528">
        <v>22.43</v>
      </c>
      <c r="L528">
        <v>2.25</v>
      </c>
      <c r="M528" t="s">
        <v>465</v>
      </c>
      <c r="N528" t="s">
        <v>44</v>
      </c>
      <c r="O528" t="s">
        <v>45</v>
      </c>
      <c r="P528">
        <v>75</v>
      </c>
      <c r="Q528">
        <v>36</v>
      </c>
    </row>
    <row r="529" spans="1:17" x14ac:dyDescent="0.25">
      <c r="A529">
        <v>2024</v>
      </c>
      <c r="B529" t="s">
        <v>10</v>
      </c>
      <c r="C529">
        <v>1723</v>
      </c>
      <c r="D529">
        <v>4703.7156962657482</v>
      </c>
      <c r="E529" t="s">
        <v>41</v>
      </c>
      <c r="F529">
        <v>8.52</v>
      </c>
      <c r="G529" t="s">
        <v>425</v>
      </c>
      <c r="H529">
        <v>62.4</v>
      </c>
      <c r="I529">
        <v>26.61</v>
      </c>
      <c r="J529">
        <v>45.57</v>
      </c>
      <c r="K529">
        <v>67.39</v>
      </c>
      <c r="L529">
        <v>1.76</v>
      </c>
      <c r="M529" t="s">
        <v>216</v>
      </c>
      <c r="N529" t="s">
        <v>50</v>
      </c>
      <c r="O529" t="s">
        <v>45</v>
      </c>
      <c r="P529">
        <v>76</v>
      </c>
      <c r="Q529">
        <v>34</v>
      </c>
    </row>
    <row r="530" spans="1:17" x14ac:dyDescent="0.25">
      <c r="A530">
        <v>2024</v>
      </c>
      <c r="B530" t="s">
        <v>10</v>
      </c>
      <c r="C530">
        <v>878</v>
      </c>
      <c r="D530">
        <v>2651.8280114316231</v>
      </c>
      <c r="E530" t="s">
        <v>41</v>
      </c>
      <c r="F530">
        <v>9.7100000000000009</v>
      </c>
      <c r="G530" t="s">
        <v>425</v>
      </c>
      <c r="H530">
        <v>41.71</v>
      </c>
      <c r="I530">
        <v>42.93</v>
      </c>
      <c r="J530">
        <v>68.91</v>
      </c>
      <c r="K530">
        <v>59.33</v>
      </c>
      <c r="L530">
        <v>0.94</v>
      </c>
      <c r="M530" t="s">
        <v>508</v>
      </c>
      <c r="N530" t="s">
        <v>59</v>
      </c>
      <c r="O530" t="s">
        <v>45</v>
      </c>
      <c r="P530">
        <v>59</v>
      </c>
      <c r="Q530">
        <v>57</v>
      </c>
    </row>
    <row r="531" spans="1:17" x14ac:dyDescent="0.25">
      <c r="A531">
        <v>2024</v>
      </c>
      <c r="B531" t="s">
        <v>10</v>
      </c>
      <c r="C531">
        <v>118</v>
      </c>
      <c r="D531">
        <v>222.00507863214742</v>
      </c>
      <c r="E531" t="s">
        <v>41</v>
      </c>
      <c r="F531">
        <v>9.1999999999999993</v>
      </c>
      <c r="G531" t="s">
        <v>425</v>
      </c>
      <c r="H531">
        <v>30.84</v>
      </c>
      <c r="I531">
        <v>56.71</v>
      </c>
      <c r="J531">
        <v>29.43</v>
      </c>
      <c r="K531">
        <v>48.96</v>
      </c>
      <c r="L531">
        <v>0.62</v>
      </c>
      <c r="M531" t="s">
        <v>502</v>
      </c>
      <c r="N531" t="s">
        <v>50</v>
      </c>
      <c r="O531" t="s">
        <v>41</v>
      </c>
      <c r="P531">
        <v>43</v>
      </c>
      <c r="Q531">
        <v>48</v>
      </c>
    </row>
    <row r="532" spans="1:17" x14ac:dyDescent="0.25">
      <c r="A532">
        <v>2024</v>
      </c>
      <c r="B532" t="s">
        <v>6</v>
      </c>
      <c r="C532">
        <v>797</v>
      </c>
      <c r="D532">
        <v>1071.9911493416548</v>
      </c>
      <c r="E532" t="s">
        <v>41</v>
      </c>
      <c r="F532">
        <v>4.01</v>
      </c>
      <c r="G532" t="s">
        <v>425</v>
      </c>
      <c r="H532">
        <v>63.4</v>
      </c>
      <c r="I532">
        <v>47.47</v>
      </c>
      <c r="J532">
        <v>47.01</v>
      </c>
      <c r="K532">
        <v>66.150000000000006</v>
      </c>
      <c r="L532">
        <v>2.27</v>
      </c>
      <c r="M532" t="s">
        <v>509</v>
      </c>
      <c r="N532" t="s">
        <v>63</v>
      </c>
      <c r="O532" t="s">
        <v>45</v>
      </c>
      <c r="P532">
        <v>48</v>
      </c>
      <c r="Q532">
        <v>60</v>
      </c>
    </row>
    <row r="533" spans="1:17" x14ac:dyDescent="0.25">
      <c r="A533">
        <v>2024</v>
      </c>
      <c r="B533" t="s">
        <v>9</v>
      </c>
      <c r="C533">
        <v>1192</v>
      </c>
      <c r="D533">
        <v>2197.9625825089051</v>
      </c>
      <c r="E533" t="s">
        <v>41</v>
      </c>
      <c r="F533">
        <v>3.69</v>
      </c>
      <c r="G533" t="s">
        <v>425</v>
      </c>
      <c r="H533">
        <v>28.61</v>
      </c>
      <c r="I533">
        <v>46.39</v>
      </c>
      <c r="J533">
        <v>48.96</v>
      </c>
      <c r="K533">
        <v>46.07</v>
      </c>
      <c r="L533">
        <v>2.0499999999999998</v>
      </c>
      <c r="M533" t="s">
        <v>510</v>
      </c>
      <c r="N533" t="s">
        <v>47</v>
      </c>
      <c r="O533" t="s">
        <v>45</v>
      </c>
      <c r="P533">
        <v>44</v>
      </c>
      <c r="Q533">
        <v>46</v>
      </c>
    </row>
    <row r="534" spans="1:17" x14ac:dyDescent="0.25">
      <c r="A534">
        <v>2024</v>
      </c>
      <c r="B534" t="s">
        <v>9</v>
      </c>
      <c r="C534">
        <v>313</v>
      </c>
      <c r="D534">
        <v>320.93009761024018</v>
      </c>
      <c r="E534" t="s">
        <v>41</v>
      </c>
      <c r="F534">
        <v>7.12</v>
      </c>
      <c r="G534" t="s">
        <v>425</v>
      </c>
      <c r="H534">
        <v>16.97</v>
      </c>
      <c r="I534">
        <v>59.01</v>
      </c>
      <c r="J534">
        <v>37.090000000000003</v>
      </c>
      <c r="K534">
        <v>15.13</v>
      </c>
      <c r="L534">
        <v>2.04</v>
      </c>
      <c r="M534" t="s">
        <v>511</v>
      </c>
      <c r="N534" t="s">
        <v>53</v>
      </c>
      <c r="O534" t="s">
        <v>41</v>
      </c>
      <c r="P534">
        <v>47</v>
      </c>
      <c r="Q534">
        <v>38</v>
      </c>
    </row>
    <row r="535" spans="1:17" x14ac:dyDescent="0.25">
      <c r="A535">
        <v>2024</v>
      </c>
      <c r="B535" t="s">
        <v>9</v>
      </c>
      <c r="C535">
        <v>1435</v>
      </c>
      <c r="D535">
        <v>2184.9047739470529</v>
      </c>
      <c r="E535" t="s">
        <v>41</v>
      </c>
      <c r="F535">
        <v>9.98</v>
      </c>
      <c r="G535" t="s">
        <v>425</v>
      </c>
      <c r="H535">
        <v>86.8</v>
      </c>
      <c r="I535">
        <v>33.74</v>
      </c>
      <c r="J535">
        <v>57.12</v>
      </c>
      <c r="K535">
        <v>32.25</v>
      </c>
      <c r="L535">
        <v>2.14</v>
      </c>
      <c r="M535" t="s">
        <v>512</v>
      </c>
      <c r="N535" t="s">
        <v>59</v>
      </c>
      <c r="O535" t="s">
        <v>41</v>
      </c>
      <c r="P535">
        <v>47</v>
      </c>
      <c r="Q535">
        <v>20</v>
      </c>
    </row>
    <row r="536" spans="1:17" x14ac:dyDescent="0.25">
      <c r="A536">
        <v>2024</v>
      </c>
      <c r="B536" t="s">
        <v>2</v>
      </c>
      <c r="C536">
        <v>1182</v>
      </c>
      <c r="D536">
        <v>1728.5611472849466</v>
      </c>
      <c r="E536" t="s">
        <v>45</v>
      </c>
      <c r="F536">
        <v>8.2200000000000006</v>
      </c>
      <c r="G536" t="s">
        <v>425</v>
      </c>
      <c r="H536">
        <v>70.069999999999993</v>
      </c>
      <c r="I536">
        <v>6.95</v>
      </c>
      <c r="J536">
        <v>89.18</v>
      </c>
      <c r="K536">
        <v>16.39</v>
      </c>
      <c r="L536">
        <v>0.26</v>
      </c>
      <c r="M536" t="s">
        <v>163</v>
      </c>
      <c r="N536" t="s">
        <v>53</v>
      </c>
      <c r="O536" t="s">
        <v>41</v>
      </c>
      <c r="P536">
        <v>50</v>
      </c>
      <c r="Q536">
        <v>35</v>
      </c>
    </row>
    <row r="537" spans="1:17" x14ac:dyDescent="0.25">
      <c r="A537">
        <v>2024</v>
      </c>
      <c r="B537" t="s">
        <v>5</v>
      </c>
      <c r="C537">
        <v>2437</v>
      </c>
      <c r="D537">
        <v>4507.6878182345772</v>
      </c>
      <c r="E537" t="s">
        <v>45</v>
      </c>
      <c r="F537">
        <v>4.79</v>
      </c>
      <c r="G537" t="s">
        <v>425</v>
      </c>
      <c r="H537">
        <v>78.55</v>
      </c>
      <c r="I537">
        <v>4.03</v>
      </c>
      <c r="J537">
        <v>29.95</v>
      </c>
      <c r="K537">
        <v>14.39</v>
      </c>
      <c r="L537">
        <v>1.53</v>
      </c>
      <c r="M537" t="s">
        <v>513</v>
      </c>
      <c r="N537" t="s">
        <v>47</v>
      </c>
      <c r="O537" t="s">
        <v>45</v>
      </c>
      <c r="P537">
        <v>70</v>
      </c>
      <c r="Q537">
        <v>43</v>
      </c>
    </row>
    <row r="538" spans="1:17" x14ac:dyDescent="0.25">
      <c r="A538">
        <v>2024</v>
      </c>
      <c r="B538" t="s">
        <v>5</v>
      </c>
      <c r="C538">
        <v>1673</v>
      </c>
      <c r="D538">
        <v>2721.1333936635633</v>
      </c>
      <c r="E538" t="s">
        <v>45</v>
      </c>
      <c r="F538">
        <v>4.95</v>
      </c>
      <c r="G538" t="s">
        <v>425</v>
      </c>
      <c r="H538">
        <v>82.47</v>
      </c>
      <c r="I538">
        <v>23.93</v>
      </c>
      <c r="J538">
        <v>68.459999999999994</v>
      </c>
      <c r="K538">
        <v>30</v>
      </c>
      <c r="L538">
        <v>1.21</v>
      </c>
      <c r="M538" t="s">
        <v>514</v>
      </c>
      <c r="N538" t="s">
        <v>57</v>
      </c>
      <c r="O538" t="s">
        <v>45</v>
      </c>
      <c r="P538">
        <v>47</v>
      </c>
      <c r="Q538">
        <v>51</v>
      </c>
    </row>
    <row r="539" spans="1:17" x14ac:dyDescent="0.25">
      <c r="A539">
        <v>2024</v>
      </c>
      <c r="B539" t="s">
        <v>5</v>
      </c>
      <c r="C539">
        <v>1213</v>
      </c>
      <c r="D539">
        <v>1597.4323279176645</v>
      </c>
      <c r="E539" t="s">
        <v>41</v>
      </c>
      <c r="F539">
        <v>2.86</v>
      </c>
      <c r="G539" t="s">
        <v>425</v>
      </c>
      <c r="H539">
        <v>53.17</v>
      </c>
      <c r="I539">
        <v>4.32</v>
      </c>
      <c r="J539">
        <v>85.4</v>
      </c>
      <c r="K539">
        <v>10</v>
      </c>
      <c r="L539">
        <v>2.0299999999999998</v>
      </c>
      <c r="M539" t="s">
        <v>515</v>
      </c>
      <c r="N539" t="s">
        <v>57</v>
      </c>
      <c r="O539" t="s">
        <v>45</v>
      </c>
      <c r="P539">
        <v>80</v>
      </c>
      <c r="Q539">
        <v>42</v>
      </c>
    </row>
    <row r="540" spans="1:17" x14ac:dyDescent="0.25">
      <c r="A540">
        <v>2024</v>
      </c>
      <c r="B540" t="s">
        <v>5</v>
      </c>
      <c r="C540">
        <v>1568</v>
      </c>
      <c r="D540">
        <v>4994.1158681269435</v>
      </c>
      <c r="E540" t="s">
        <v>41</v>
      </c>
      <c r="F540">
        <v>9.83</v>
      </c>
      <c r="G540" t="s">
        <v>425</v>
      </c>
      <c r="H540">
        <v>40.33</v>
      </c>
      <c r="I540">
        <v>68.92</v>
      </c>
      <c r="J540">
        <v>79.650000000000006</v>
      </c>
      <c r="K540">
        <v>49.35</v>
      </c>
      <c r="L540">
        <v>0.21</v>
      </c>
      <c r="M540" t="s">
        <v>516</v>
      </c>
      <c r="N540" t="s">
        <v>57</v>
      </c>
      <c r="O540" t="s">
        <v>45</v>
      </c>
      <c r="P540">
        <v>78</v>
      </c>
      <c r="Q540">
        <v>44</v>
      </c>
    </row>
    <row r="541" spans="1:17" x14ac:dyDescent="0.25">
      <c r="A541">
        <v>2024</v>
      </c>
      <c r="B541" t="s">
        <v>8</v>
      </c>
      <c r="C541">
        <v>491</v>
      </c>
      <c r="D541">
        <v>1577.7684583292864</v>
      </c>
      <c r="E541" t="s">
        <v>41</v>
      </c>
      <c r="F541">
        <v>3.25</v>
      </c>
      <c r="G541" t="s">
        <v>425</v>
      </c>
      <c r="H541">
        <v>70.349999999999994</v>
      </c>
      <c r="I541">
        <v>63.03</v>
      </c>
      <c r="J541">
        <v>60.64</v>
      </c>
      <c r="K541">
        <v>26.71</v>
      </c>
      <c r="L541">
        <v>2.2799999999999998</v>
      </c>
      <c r="M541" t="s">
        <v>517</v>
      </c>
      <c r="N541" t="s">
        <v>53</v>
      </c>
      <c r="O541" t="s">
        <v>45</v>
      </c>
      <c r="P541">
        <v>72</v>
      </c>
      <c r="Q541">
        <v>43</v>
      </c>
    </row>
    <row r="542" spans="1:17" x14ac:dyDescent="0.25">
      <c r="A542">
        <v>2024</v>
      </c>
      <c r="B542" t="s">
        <v>8</v>
      </c>
      <c r="C542">
        <v>753</v>
      </c>
      <c r="D542">
        <v>2157.8186041603772</v>
      </c>
      <c r="E542" t="s">
        <v>45</v>
      </c>
      <c r="F542">
        <v>5.31</v>
      </c>
      <c r="G542" t="s">
        <v>425</v>
      </c>
      <c r="H542">
        <v>24.59</v>
      </c>
      <c r="I542">
        <v>63.46</v>
      </c>
      <c r="J542">
        <v>42.96</v>
      </c>
      <c r="K542">
        <v>52.64</v>
      </c>
      <c r="L542">
        <v>2.4700000000000002</v>
      </c>
      <c r="M542" t="s">
        <v>518</v>
      </c>
      <c r="N542" t="s">
        <v>47</v>
      </c>
      <c r="O542" t="s">
        <v>41</v>
      </c>
      <c r="P542">
        <v>56</v>
      </c>
      <c r="Q542">
        <v>56</v>
      </c>
    </row>
    <row r="543" spans="1:17" x14ac:dyDescent="0.25">
      <c r="A543">
        <v>2024</v>
      </c>
      <c r="B543" t="s">
        <v>7</v>
      </c>
      <c r="C543">
        <v>599</v>
      </c>
      <c r="D543">
        <v>1566.416895691852</v>
      </c>
      <c r="E543" t="s">
        <v>45</v>
      </c>
      <c r="F543">
        <v>8.1199999999999992</v>
      </c>
      <c r="G543" t="s">
        <v>425</v>
      </c>
      <c r="H543">
        <v>46.77</v>
      </c>
      <c r="I543">
        <v>27.52</v>
      </c>
      <c r="J543">
        <v>28.31</v>
      </c>
      <c r="K543">
        <v>31.41</v>
      </c>
      <c r="L543">
        <v>1.19</v>
      </c>
      <c r="M543" t="s">
        <v>519</v>
      </c>
      <c r="N543" t="s">
        <v>59</v>
      </c>
      <c r="O543" t="s">
        <v>41</v>
      </c>
      <c r="P543">
        <v>55</v>
      </c>
      <c r="Q543">
        <v>20</v>
      </c>
    </row>
    <row r="544" spans="1:17" x14ac:dyDescent="0.25">
      <c r="A544">
        <v>2025</v>
      </c>
      <c r="B544" t="s">
        <v>10</v>
      </c>
      <c r="C544">
        <v>1901</v>
      </c>
      <c r="D544">
        <v>2391.5736956140622</v>
      </c>
      <c r="E544" t="s">
        <v>41</v>
      </c>
      <c r="F544">
        <v>7.1</v>
      </c>
      <c r="G544" t="s">
        <v>425</v>
      </c>
      <c r="H544">
        <v>54.07</v>
      </c>
      <c r="I544">
        <v>47.66</v>
      </c>
      <c r="J544">
        <v>81.150000000000006</v>
      </c>
      <c r="K544">
        <v>68.540000000000006</v>
      </c>
      <c r="L544">
        <v>1.55</v>
      </c>
      <c r="M544" t="s">
        <v>384</v>
      </c>
      <c r="N544" t="s">
        <v>53</v>
      </c>
      <c r="O544" t="s">
        <v>41</v>
      </c>
      <c r="P544">
        <v>65</v>
      </c>
      <c r="Q544">
        <v>23</v>
      </c>
    </row>
    <row r="545" spans="1:17" x14ac:dyDescent="0.25">
      <c r="A545">
        <v>2025</v>
      </c>
      <c r="B545" t="s">
        <v>6</v>
      </c>
      <c r="C545">
        <v>452</v>
      </c>
      <c r="D545">
        <v>336.60990844263256</v>
      </c>
      <c r="E545" t="s">
        <v>41</v>
      </c>
      <c r="F545">
        <v>5.81</v>
      </c>
      <c r="G545" t="s">
        <v>425</v>
      </c>
      <c r="H545">
        <v>83.18</v>
      </c>
      <c r="I545">
        <v>38.33</v>
      </c>
      <c r="J545">
        <v>63.1</v>
      </c>
      <c r="K545">
        <v>13.56</v>
      </c>
      <c r="L545">
        <v>0.76</v>
      </c>
      <c r="M545" t="s">
        <v>520</v>
      </c>
      <c r="N545" t="s">
        <v>63</v>
      </c>
      <c r="O545" t="s">
        <v>45</v>
      </c>
      <c r="P545">
        <v>63</v>
      </c>
      <c r="Q545">
        <v>50</v>
      </c>
    </row>
    <row r="546" spans="1:17" x14ac:dyDescent="0.25">
      <c r="A546">
        <v>2025</v>
      </c>
      <c r="B546" t="s">
        <v>9</v>
      </c>
      <c r="C546">
        <v>1278</v>
      </c>
      <c r="D546">
        <v>4287.0855296287909</v>
      </c>
      <c r="E546" t="s">
        <v>45</v>
      </c>
      <c r="F546">
        <v>8.83</v>
      </c>
      <c r="G546" t="s">
        <v>425</v>
      </c>
      <c r="H546">
        <v>94.97</v>
      </c>
      <c r="I546">
        <v>41.6</v>
      </c>
      <c r="J546">
        <v>77.3</v>
      </c>
      <c r="K546">
        <v>67.97</v>
      </c>
      <c r="L546">
        <v>0.44</v>
      </c>
      <c r="M546" t="s">
        <v>521</v>
      </c>
      <c r="N546" t="s">
        <v>50</v>
      </c>
      <c r="O546" t="s">
        <v>41</v>
      </c>
      <c r="P546">
        <v>49</v>
      </c>
      <c r="Q546">
        <v>55</v>
      </c>
    </row>
    <row r="547" spans="1:17" x14ac:dyDescent="0.25">
      <c r="A547">
        <v>2025</v>
      </c>
      <c r="B547" t="s">
        <v>9</v>
      </c>
      <c r="C547">
        <v>1303</v>
      </c>
      <c r="D547">
        <v>939.82796112141716</v>
      </c>
      <c r="E547" t="s">
        <v>41</v>
      </c>
      <c r="F547">
        <v>4.5999999999999996</v>
      </c>
      <c r="G547" t="s">
        <v>425</v>
      </c>
      <c r="H547">
        <v>37.15</v>
      </c>
      <c r="I547">
        <v>33.31</v>
      </c>
      <c r="J547">
        <v>63.15</v>
      </c>
      <c r="K547">
        <v>39.69</v>
      </c>
      <c r="L547">
        <v>2.19</v>
      </c>
      <c r="M547" t="s">
        <v>522</v>
      </c>
      <c r="N547" t="s">
        <v>53</v>
      </c>
      <c r="O547" t="s">
        <v>45</v>
      </c>
      <c r="P547">
        <v>48</v>
      </c>
      <c r="Q547">
        <v>59</v>
      </c>
    </row>
    <row r="548" spans="1:17" x14ac:dyDescent="0.25">
      <c r="A548">
        <v>2025</v>
      </c>
      <c r="B548" t="s">
        <v>9</v>
      </c>
      <c r="C548">
        <v>512</v>
      </c>
      <c r="D548">
        <v>999.26044204367486</v>
      </c>
      <c r="E548" t="s">
        <v>41</v>
      </c>
      <c r="F548">
        <v>6.19</v>
      </c>
      <c r="G548" t="s">
        <v>425</v>
      </c>
      <c r="H548">
        <v>43.65</v>
      </c>
      <c r="I548">
        <v>30.97</v>
      </c>
      <c r="J548">
        <v>64.92</v>
      </c>
      <c r="K548">
        <v>51.2</v>
      </c>
      <c r="L548">
        <v>0.63</v>
      </c>
      <c r="M548" t="s">
        <v>348</v>
      </c>
      <c r="N548" t="s">
        <v>57</v>
      </c>
      <c r="O548" t="s">
        <v>41</v>
      </c>
      <c r="P548">
        <v>56</v>
      </c>
      <c r="Q548">
        <v>27</v>
      </c>
    </row>
    <row r="549" spans="1:17" x14ac:dyDescent="0.25">
      <c r="A549">
        <v>2025</v>
      </c>
      <c r="B549" t="s">
        <v>8</v>
      </c>
      <c r="C549">
        <v>1250</v>
      </c>
      <c r="D549">
        <v>3421.3755767380044</v>
      </c>
      <c r="E549" t="s">
        <v>41</v>
      </c>
      <c r="F549">
        <v>6.94</v>
      </c>
      <c r="G549" t="s">
        <v>425</v>
      </c>
      <c r="H549">
        <v>23.67</v>
      </c>
      <c r="I549">
        <v>23.86</v>
      </c>
      <c r="J549">
        <v>86.63</v>
      </c>
      <c r="K549">
        <v>54.76</v>
      </c>
      <c r="L549">
        <v>2.42</v>
      </c>
      <c r="M549" t="s">
        <v>329</v>
      </c>
      <c r="N549" t="s">
        <v>44</v>
      </c>
      <c r="O549" t="s">
        <v>41</v>
      </c>
      <c r="P549">
        <v>45</v>
      </c>
      <c r="Q549">
        <v>27</v>
      </c>
    </row>
    <row r="550" spans="1:17" x14ac:dyDescent="0.25">
      <c r="A550">
        <v>2025</v>
      </c>
      <c r="B550" t="s">
        <v>4</v>
      </c>
      <c r="C550">
        <v>634</v>
      </c>
      <c r="D550">
        <v>749.12516006424335</v>
      </c>
      <c r="E550" t="s">
        <v>41</v>
      </c>
      <c r="F550">
        <v>7.45</v>
      </c>
      <c r="G550" t="s">
        <v>425</v>
      </c>
      <c r="H550">
        <v>33.130000000000003</v>
      </c>
      <c r="I550">
        <v>29.53</v>
      </c>
      <c r="J550">
        <v>34.26</v>
      </c>
      <c r="K550">
        <v>21.87</v>
      </c>
      <c r="L550">
        <v>1.56</v>
      </c>
      <c r="M550" t="s">
        <v>523</v>
      </c>
      <c r="N550" t="s">
        <v>44</v>
      </c>
      <c r="O550" t="s">
        <v>45</v>
      </c>
      <c r="P550">
        <v>59</v>
      </c>
      <c r="Q550">
        <v>58</v>
      </c>
    </row>
    <row r="551" spans="1:17" x14ac:dyDescent="0.25">
      <c r="A551">
        <v>2025</v>
      </c>
      <c r="B551" t="s">
        <v>4</v>
      </c>
      <c r="C551">
        <v>1960</v>
      </c>
      <c r="D551">
        <v>1224.7065303407221</v>
      </c>
      <c r="E551" t="s">
        <v>45</v>
      </c>
      <c r="F551">
        <v>9.66</v>
      </c>
      <c r="G551" t="s">
        <v>425</v>
      </c>
      <c r="H551">
        <v>52.07</v>
      </c>
      <c r="I551">
        <v>60.25</v>
      </c>
      <c r="J551">
        <v>77.69</v>
      </c>
      <c r="K551">
        <v>19.53</v>
      </c>
      <c r="L551">
        <v>0.45</v>
      </c>
      <c r="M551" t="s">
        <v>524</v>
      </c>
      <c r="N551" t="s">
        <v>50</v>
      </c>
      <c r="O551" t="s">
        <v>45</v>
      </c>
      <c r="P551">
        <v>53</v>
      </c>
      <c r="Q551">
        <v>42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i c h _ G l o b a l _ C o n d o m _ U s a g e _ D a t a s e t _ 5 3 1 d b a 5 8 - b 5 9 0 - 4 7 d 5 - 8 a a f - 5 0 5 6 7 6 a 3 6 2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 m a l e _ p e r c e n t < / s t r i n g > < / k e y > < v a l u e > < s t r i n g > E m p t y < / s t r i n g > < / v a l u e > < / i t e m > < i t e m > < k e y > < s t r i n g > f e m a l e _ p e r c e n t 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 6 5 < / i n t > < / v a l u e > < / i t e m > < i t e m > < k e y > < s t r i n g > C o u n t r y < / s t r i n g > < / k e y > < v a l u e > < i n t > 8 7 < / i n t > < / v a l u e > < / i t e m > < i t e m > < k e y > < s t r i n g > T o t a l   S a l e s   ( M i l l i o n   U n i t s ) < / s t r i n g > < / k e y > < v a l u e > < i n t > 2 0 3 < / i n t > < / v a l u e > < / i t e m > < i t e m > < k e y > < s t r i n g > M a r k e t   R e v e n u e   ( M i l l i o n   U S D ) < / s t r i n g > < / k e y > < v a l u e > < i n t > 2 3 5 < / i n t > < / v a l u e > < / i t e m > < i t e m > < k e y > < s t r i n g > G o v e r n m e n t   C a m p a i g n s < / s t r i n g > < / k e y > < v a l u e > < i n t > 1 9 6 < / i n t > < / v a l u e > < / i t e m > < i t e m > < k e y > < s t r i n g > A w a r e n e s s   I n d e x   ( 0 - 1 0 ) < / s t r i n g > < / k e y > < v a l u e > < i n t > 1 8 9 < / i n t > < / v a l u e > < / i t e m > < i t e m > < k e y > < s t r i n g > M o s t   P o p u l a r   C o n d o m   T y p e < / s t r i n g > < / k e y > < v a l u e > < i n t > 2 2 2 < / i n t > < / v a l u e > < / i t e m > < i t e m > < k e y > < s t r i n g > C o n t r a c e p t i v e   U s a g e   R a t e   ( % ) < / s t r i n g > < / k e y > < v a l u e > < i n t > 2 3 5 < / i n t > < / v a l u e > < / i t e m > < i t e m > < k e y > < s t r i n g > T e e n   P r e g n a n c y   R a t e   ( p e r   1 0 0 0   t e e n s ) < / s t r i n g > < / k e y > < v a l u e > < i n t > 2 8 8 < / i n t > < / v a l u e > < / i t e m > < i t e m > < k e y > < s t r i n g > H I V   P r e v e n t i o n   A w a r e n e s s   ( % ) < / s t r i n g > < / k e y > < v a l u e > < i n t > 2 3 6 < / i n t > < / v a l u e > < / i t e m > < i t e m > < k e y > < s t r i n g > O n l i n e   S a l e s   ( % ) < / s t r i n g > < / k e y > < v a l u e > < i n t > 1 4 5 < / i n t > < / v a l u e > < / i t e m > < i t e m > < k e y > < s t r i n g > A v e r a g e   P r i c e   p e r   C o n d o m   ( U S D ) < / s t r i n g > < / k e y > < v a l u e > < i n t > 2 5 9 < / i n t > < / v a l u e > < / i t e m > < i t e m > < k e y > < s t r i n g > M a l e   v s   F e m a l e   P u r c h a s e s   ( % ) < / s t r i n g > < / k e y > < v a l u e > < i n t > 2 4 1 < / i n t > < / v a l u e > < / i t e m > < i t e m > < k e y > < s t r i n g > B r a n d   D o m i n a n c e < / s t r i n g > < / k e y > < v a l u e > < i n t > 1 5 4 < / i n t > < / v a l u e > < / i t e m > < i t e m > < k e y > < s t r i n g > S e x   E d u c a t i o n   P r o g r a m s   ( Y e s / N o ) < / s t r i n g > < / k e y > < v a l u e > < i n t > 2 6 3 < / i n t > < / v a l u e > < / i t e m > < i t e m > < k e y > < s t r i n g > m a l e _ p e r c e n t < / s t r i n g > < / k e y > < v a l u e > < i n t > 1 0 4 < / i n t > < / v a l u e > < / i t e m > < i t e m > < k e y > < s t r i n g > f e m a l e _ p e r c e n t < / s t r i n g > < / k e y > < v a l u e > < i n t > 1 7 2 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 T o t a l   S a l e s   ( M i l l i o n   U n i t s ) < / s t r i n g > < / k e y > < v a l u e > < i n t > 2 < / i n t > < / v a l u e > < / i t e m > < i t e m > < k e y > < s t r i n g > M a r k e t   R e v e n u e   ( M i l l i o n   U S D ) < / s t r i n g > < / k e y > < v a l u e > < i n t > 3 < / i n t > < / v a l u e > < / i t e m > < i t e m > < k e y > < s t r i n g > G o v e r n m e n t   C a m p a i g n s < / s t r i n g > < / k e y > < v a l u e > < i n t > 4 < / i n t > < / v a l u e > < / i t e m > < i t e m > < k e y > < s t r i n g > A w a r e n e s s   I n d e x   ( 0 - 1 0 ) < / s t r i n g > < / k e y > < v a l u e > < i n t > 5 < / i n t > < / v a l u e > < / i t e m > < i t e m > < k e y > < s t r i n g > M o s t   P o p u l a r   C o n d o m   T y p e < / s t r i n g > < / k e y > < v a l u e > < i n t > 6 < / i n t > < / v a l u e > < / i t e m > < i t e m > < k e y > < s t r i n g > C o n t r a c e p t i v e   U s a g e   R a t e   ( % ) < / s t r i n g > < / k e y > < v a l u e > < i n t > 7 < / i n t > < / v a l u e > < / i t e m > < i t e m > < k e y > < s t r i n g > T e e n   P r e g n a n c y   R a t e   ( p e r   1 0 0 0   t e e n s ) < / s t r i n g > < / k e y > < v a l u e > < i n t > 8 < / i n t > < / v a l u e > < / i t e m > < i t e m > < k e y > < s t r i n g > H I V   P r e v e n t i o n   A w a r e n e s s   ( % ) < / s t r i n g > < / k e y > < v a l u e > < i n t > 9 < / i n t > < / v a l u e > < / i t e m > < i t e m > < k e y > < s t r i n g > O n l i n e   S a l e s   ( % ) < / s t r i n g > < / k e y > < v a l u e > < i n t > 1 0 < / i n t > < / v a l u e > < / i t e m > < i t e m > < k e y > < s t r i n g > A v e r a g e   P r i c e   p e r   C o n d o m   ( U S D ) < / s t r i n g > < / k e y > < v a l u e > < i n t > 1 1 < / i n t > < / v a l u e > < / i t e m > < i t e m > < k e y > < s t r i n g > M a l e   v s   F e m a l e   P u r c h a s e s   ( % ) < / s t r i n g > < / k e y > < v a l u e > < i n t > 1 2 < / i n t > < / v a l u e > < / i t e m > < i t e m > < k e y > < s t r i n g > B r a n d   D o m i n a n c e < / s t r i n g > < / k e y > < v a l u e > < i n t > 1 3 < / i n t > < / v a l u e > < / i t e m > < i t e m > < k e y > < s t r i n g > S e x   E d u c a t i o n   P r o g r a m s   ( Y e s / N o ) < / s t r i n g > < / k e y > < v a l u e > < i n t > 1 4 < / i n t > < / v a l u e > < / i t e m > < i t e m > < k e y > < s t r i n g > m a l e _ p e r c e n t < / s t r i n g > < / k e y > < v a l u e > < i n t > 1 5 < / i n t > < / v a l u e > < / i t e m > < i t e m > < k e y > < s t r i n g > f e m a l e _ p e r c e n t 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 R i c h _ G l o b a l _ C o n d o m _ U s a g e _ D a t a s e t 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 R i c h _ G l o b a l _ C o n d o m _ U s a g e _ D a t a s e t 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 S a l e s   ( M i l l i o n   U n i t s ) < / K e y > < / D i a g r a m O b j e c t K e y > < D i a g r a m O b j e c t K e y > < K e y > M e a s u r e s \ S u m   o f   T o t a l   S a l e s   ( M i l l i o n   U n i t s ) \ T a g I n f o \ F o r m u l a < / K e y > < / D i a g r a m O b j e c t K e y > < D i a g r a m O b j e c t K e y > < K e y > M e a s u r e s \ S u m   o f   T o t a l   S a l e s   ( M i l l i o n   U n i t s ) \ T a g I n f o \ V a l u e < / K e y > < / D i a g r a m O b j e c t K e y > < D i a g r a m O b j e c t K e y > < K e y > M e a s u r e s \ S u m   o f   M a r k e t   R e v e n u e   ( M i l l i o n   U S D ) < / K e y > < / D i a g r a m O b j e c t K e y > < D i a g r a m O b j e c t K e y > < K e y > M e a s u r e s \ S u m   o f   M a r k e t   R e v e n u e   ( M i l l i o n   U S D ) \ T a g I n f o \ F o r m u l a < / K e y > < / D i a g r a m O b j e c t K e y > < D i a g r a m O b j e c t K e y > < K e y > M e a s u r e s \ S u m   o f   M a r k e t   R e v e n u e   ( M i l l i o n   U S D ) \ T a g I n f o \ V a l u e 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 M e a s u r e s \ C o u n t   o f   C o u n t r y < / K e y > < / D i a g r a m O b j e c t K e y > < D i a g r a m O b j e c t K e y > < K e y > M e a s u r e s \ C o u n t   o f   C o u n t r y \ T a g I n f o \ F o r m u l a < / K e y > < / D i a g r a m O b j e c t K e y > < D i a g r a m O b j e c t K e y > < K e y > M e a s u r e s \ C o u n t   o f   C o u n t r y \ T a g I n f o \ V a l u e < / K e y > < / D i a g r a m O b j e c t K e y > < D i a g r a m O b j e c t K e y > < K e y > M e a s u r e s \ C o u n t   o f   m a l e _ p e r c e n t < / K e y > < / D i a g r a m O b j e c t K e y > < D i a g r a m O b j e c t K e y > < K e y > M e a s u r e s \ C o u n t   o f   m a l e _ p e r c e n t \ T a g I n f o \ F o r m u l a < / K e y > < / D i a g r a m O b j e c t K e y > < D i a g r a m O b j e c t K e y > < K e y > M e a s u r e s \ C o u n t   o f   m a l e _ p e r c e n t \ T a g I n f o \ V a l u e < / K e y > < / D i a g r a m O b j e c t K e y > < D i a g r a m O b j e c t K e y > < K e y > M e a s u r e s \ D i s t i n c t   C o u n t   o f   m a l e _ p e r c e n t < / K e y > < / D i a g r a m O b j e c t K e y > < D i a g r a m O b j e c t K e y > < K e y > M e a s u r e s \ D i s t i n c t   C o u n t   o f   m a l e _ p e r c e n t \ T a g I n f o \ F o r m u l a < / K e y > < / D i a g r a m O b j e c t K e y > < D i a g r a m O b j e c t K e y > < K e y > M e a s u r e s \ D i s t i n c t   C o u n t   o f   m a l e _ p e r c e n t \ T a g I n f o \ V a l u e < / K e y > < / D i a g r a m O b j e c t K e y > < D i a g r a m O b j e c t K e y > < K e y > C o l u m n s \ Y e a r < / K e y > < / D i a g r a m O b j e c t K e y > < D i a g r a m O b j e c t K e y > < K e y > C o l u m n s \ C o u n t r y < / K e y > < / D i a g r a m O b j e c t K e y > < D i a g r a m O b j e c t K e y > < K e y > C o l u m n s \ T o t a l   S a l e s   ( M i l l i o n   U n i t s ) < / K e y > < / D i a g r a m O b j e c t K e y > < D i a g r a m O b j e c t K e y > < K e y > C o l u m n s \ M a r k e t   R e v e n u e   ( M i l l i o n   U S D ) < / K e y > < / D i a g r a m O b j e c t K e y > < D i a g r a m O b j e c t K e y > < K e y > C o l u m n s \ G o v e r n m e n t   C a m p a i g n s < / K e y > < / D i a g r a m O b j e c t K e y > < D i a g r a m O b j e c t K e y > < K e y > C o l u m n s \ A w a r e n e s s   I n d e x   ( 0 - 1 0 ) < / K e y > < / D i a g r a m O b j e c t K e y > < D i a g r a m O b j e c t K e y > < K e y > C o l u m n s \ M o s t   P o p u l a r   C o n d o m   T y p e < / K e y > < / D i a g r a m O b j e c t K e y > < D i a g r a m O b j e c t K e y > < K e y > C o l u m n s \ C o n t r a c e p t i v e   U s a g e   R a t e   ( % ) < / K e y > < / D i a g r a m O b j e c t K e y > < D i a g r a m O b j e c t K e y > < K e y > C o l u m n s \ T e e n   P r e g n a n c y   R a t e   ( p e r   1 0 0 0   t e e n s ) < / K e y > < / D i a g r a m O b j e c t K e y > < D i a g r a m O b j e c t K e y > < K e y > C o l u m n s \ H I V   P r e v e n t i o n   A w a r e n e s s   ( % ) < / K e y > < / D i a g r a m O b j e c t K e y > < D i a g r a m O b j e c t K e y > < K e y > C o l u m n s \ O n l i n e   S a l e s   ( % ) < / K e y > < / D i a g r a m O b j e c t K e y > < D i a g r a m O b j e c t K e y > < K e y > C o l u m n s \ A v e r a g e   P r i c e   p e r   C o n d o m   ( U S D ) < / K e y > < / D i a g r a m O b j e c t K e y > < D i a g r a m O b j e c t K e y > < K e y > C o l u m n s \ M a l e   v s   F e m a l e   P u r c h a s e s   ( % ) < / K e y > < / D i a g r a m O b j e c t K e y > < D i a g r a m O b j e c t K e y > < K e y > C o l u m n s \ B r a n d   D o m i n a n c e < / K e y > < / D i a g r a m O b j e c t K e y > < D i a g r a m O b j e c t K e y > < K e y > C o l u m n s \ S e x   E d u c a t i o n   P r o g r a m s   ( Y e s / N o ) < / K e y > < / D i a g r a m O b j e c t K e y > < D i a g r a m O b j e c t K e y > < K e y > C o l u m n s \ m a l e _ p e r c e n t < / K e y > < / D i a g r a m O b j e c t K e y > < D i a g r a m O b j e c t K e y > < K e y > C o l u m n s \ f e m a l e _ p e r c e n t < / K e y > < / D i a g r a m O b j e c t K e y > < D i a g r a m O b j e c t K e y > < K e y > L i n k s \ & l t ; C o l u m n s \ S u m   o f   T o t a l   S a l e s   ( M i l l i o n   U n i t s ) & g t ; - & l t ; M e a s u r e s \ T o t a l   S a l e s   ( M i l l i o n   U n i t s ) & g t ; < / K e y > < / D i a g r a m O b j e c t K e y > < D i a g r a m O b j e c t K e y > < K e y > L i n k s \ & l t ; C o l u m n s \ S u m   o f   T o t a l   S a l e s   ( M i l l i o n   U n i t s ) & g t ; - & l t ; M e a s u r e s \ T o t a l   S a l e s   ( M i l l i o n   U n i t s ) & g t ; \ C O L U M N < / K e y > < / D i a g r a m O b j e c t K e y > < D i a g r a m O b j e c t K e y > < K e y > L i n k s \ & l t ; C o l u m n s \ S u m   o f   T o t a l   S a l e s   ( M i l l i o n   U n i t s ) & g t ; - & l t ; M e a s u r e s \ T o t a l   S a l e s   ( M i l l i o n   U n i t s ) & g t ; \ M E A S U R E < / K e y > < / D i a g r a m O b j e c t K e y > < D i a g r a m O b j e c t K e y > < K e y > L i n k s \ & l t ; C o l u m n s \ S u m   o f   M a r k e t   R e v e n u e   ( M i l l i o n   U S D ) & g t ; - & l t ; M e a s u r e s \ M a r k e t   R e v e n u e   ( M i l l i o n   U S D ) & g t ; < / K e y > < / D i a g r a m O b j e c t K e y > < D i a g r a m O b j e c t K e y > < K e y > L i n k s \ & l t ; C o l u m n s \ S u m   o f   M a r k e t   R e v e n u e   ( M i l l i o n   U S D ) & g t ; - & l t ; M e a s u r e s \ M a r k e t   R e v e n u e   ( M i l l i o n   U S D ) & g t ; \ C O L U M N < / K e y > < / D i a g r a m O b j e c t K e y > < D i a g r a m O b j e c t K e y > < K e y > L i n k s \ & l t ; C o l u m n s \ S u m   o f   M a r k e t   R e v e n u e   ( M i l l i o n   U S D ) & g t ; - & l t ; M e a s u r e s \ M a r k e t   R e v e n u e   ( M i l l i o n   U S D ) & g t ; \ M E A S U R E 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D i a g r a m O b j e c t K e y > < K e y > L i n k s \ & l t ; C o l u m n s \ C o u n t   o f   C o u n t r y & g t ; - & l t ; M e a s u r e s \ C o u n t r y & g t ; < / K e y > < / D i a g r a m O b j e c t K e y > < D i a g r a m O b j e c t K e y > < K e y > L i n k s \ & l t ; C o l u m n s \ C o u n t   o f   C o u n t r y & g t ; - & l t ; M e a s u r e s \ C o u n t r y & g t ; \ C O L U M N < / K e y > < / D i a g r a m O b j e c t K e y > < D i a g r a m O b j e c t K e y > < K e y > L i n k s \ & l t ; C o l u m n s \ C o u n t   o f   C o u n t r y & g t ; - & l t ; M e a s u r e s \ C o u n t r y & g t ; \ M E A S U R E < / K e y > < / D i a g r a m O b j e c t K e y > < D i a g r a m O b j e c t K e y > < K e y > L i n k s \ & l t ; C o l u m n s \ C o u n t   o f   m a l e _ p e r c e n t & g t ; - & l t ; M e a s u r e s \ m a l e _ p e r c e n t & g t ; < / K e y > < / D i a g r a m O b j e c t K e y > < D i a g r a m O b j e c t K e y > < K e y > L i n k s \ & l t ; C o l u m n s \ C o u n t   o f   m a l e _ p e r c e n t & g t ; - & l t ; M e a s u r e s \ m a l e _ p e r c e n t & g t ; \ C O L U M N < / K e y > < / D i a g r a m O b j e c t K e y > < D i a g r a m O b j e c t K e y > < K e y > L i n k s \ & l t ; C o l u m n s \ C o u n t   o f   m a l e _ p e r c e n t & g t ; - & l t ; M e a s u r e s \ m a l e _ p e r c e n t & g t ; \ M E A S U R E < / K e y > < / D i a g r a m O b j e c t K e y > < D i a g r a m O b j e c t K e y > < K e y > L i n k s \ & l t ; C o l u m n s \ D i s t i n c t   C o u n t   o f   m a l e _ p e r c e n t & g t ; - & l t ; M e a s u r e s \ m a l e _ p e r c e n t & g t ; < / K e y > < / D i a g r a m O b j e c t K e y > < D i a g r a m O b j e c t K e y > < K e y > L i n k s \ & l t ; C o l u m n s \ D i s t i n c t   C o u n t   o f   m a l e _ p e r c e n t & g t ; - & l t ; M e a s u r e s \ m a l e _ p e r c e n t & g t ; \ C O L U M N < / K e y > < / D i a g r a m O b j e c t K e y > < D i a g r a m O b j e c t K e y > < K e y > L i n k s \ & l t ; C o l u m n s \ D i s t i n c t   C o u n t   o f   m a l e _ p e r c e n t & g t ; - & l t ; M e a s u r e s \ m a l e _ p e r c e n t & g t ; \ M E A S U R E 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 S a l e s   ( M i l l i o n   U n i t s ) 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 S a l e s   ( M i l l i o n   U n i t s ) \ T a g I n f o \ F o r m u l a 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 S a l e s   ( M i l l i o n   U n i t s ) \ T a g I n f o \ V a l u e 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 M a r k e t   R e v e n u e   ( M i l l i o n   U S D ) 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 M a r k e t   R e v e n u e   ( M i l l i o n   U S D ) \ T a g I n f o \ F o r m u l a 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 M a r k e t   R e v e n u e   ( M i l l i o n   U S D ) \ T a g I n f o \ V a l u e 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 C o u n t r y 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 m a l e _ p e r c e n t 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 m a l e _ p e r c e n t \ T a g I n f o \ F o r m u l a 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 m a l e _ p e r c e n t \ T a g I n f o \ V a l u e 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 m a l e _ p e r c e n t < / K e y > < / a : K e y > < a : V a l u e   i : t y p e = " M e a s u r e G r i d N o d e V i e w S t a t e " > < C o l u m n > 1 5 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 m a l e _ p e r c e n t \ T a g I n f o \ F o r m u l a 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 m a l e _ p e r c e n t \ T a g I n f o \ V a l u e 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  ( M i l l i o n   U n i t s ) 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  R e v e n u e   ( M i l l i o n   U S D ) 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 C o l u m n s \ G o v e r n m e n t   C a m p a i g n s 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 C o l u m n s \ A w a r e n e s s   I n d e x   ( 0 - 1 0 ) 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 C o l u m n s \ M o s t   P o p u l a r   C o n d o m 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 C o l u m n s \ C o n t r a c e p t i v e   U s a g e   R a t e   ( % ) 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 C o l u m n s \ T e e n   P r e g n a n c y   R a t e   ( p e r   1 0 0 0   t e e n s ) 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 C o l u m n s \ H I V   P r e v e n t i o n   A w a r e n e s s   ( % ) 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 C o l u m n s \ O n l i n e   S a l e s   ( % ) 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 P r i c e   p e r   C o n d o m   ( U S D ) 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 C o l u m n s \ M a l e   v s   F e m a l e   P u r c h a s e s   ( % ) 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  D o m i n a n c e 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  E d u c a t i o n   P r o g r a m s   ( Y e s / N o ) 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 C o l u m n s \ m a l e _ p e r c e n t 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 C o l u m n s \ f e m a l e _ p e r c e n t 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  ( M i l l i o n   U n i t s ) & g t ; - & l t ; M e a s u r e s \ T o t a l   S a l e s   ( M i l l i o n   U n i t s ) & g t ; 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  ( M i l l i o n   U n i t s ) & g t ; - & l t ; M e a s u r e s \ T o t a l   S a l e s   ( M i l l i o n   U n i t s ) & g t ; \ C O L U M N 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  ( M i l l i o n   U n i t s ) & g t ; - & l t ; M e a s u r e s \ T o t a l   S a l e s   ( M i l l i o n   U n i t s ) & g t ; \ M E A S U R E 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 M a r k e t   R e v e n u e   ( M i l l i o n   U S D ) & g t ; - & l t ; M e a s u r e s \ M a r k e t   R e v e n u e   ( M i l l i o n   U S D ) & g t ; 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 M a r k e t   R e v e n u e   ( M i l l i o n   U S D ) & g t ; - & l t ; M e a s u r e s \ M a r k e t   R e v e n u e   ( M i l l i o n   U S D ) & g t ; \ C O L U M N 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 M a r k e t   R e v e n u e   ( M i l l i o n   U S D ) & g t ; - & l t ; M e a s u r e s \ M a r k e t   R e v e n u e   ( M i l l i o n   U S D ) & g t ; \ M E A S U R E 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 C o u n t r y & g t ; - & l t ; M e a s u r e s \ C o u n t r y & g t ; \ M E A S U R E 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 m a l e _ p e r c e n t & g t ; - & l t ; M e a s u r e s \ m a l e _ p e r c e n t & g t ; 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 m a l e _ p e r c e n t & g t ; - & l t ; M e a s u r e s \ m a l e _ p e r c e n t & g t ; \ C O L U M N 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 m a l e _ p e r c e n t & g t ; - & l t ; M e a s u r e s \ m a l e _ p e r c e n t & g t ; \ M E A S U R E 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 m a l e _ p e r c e n t & g t ; - & l t ; M e a s u r e s \ m a l e _ p e r c e n t & g t ; 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 m a l e _ p e r c e n t & g t ; - & l t ; M e a s u r e s \ m a l e _ p e r c e n t & g t ; \ C O L U M N 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 m a l e _ p e r c e n t & g t ; - & l t ; M e a s u r e s \ m a l e _ p e r c e n t & g t ; \ M E A S U R E 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 R i c h _ G l o b a l _ C o n d o m _ U s a g e _ D a t a s e t 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 R i c h _ G l o b a l _ C o n d o m _ U s a g e _ D a t a s e t 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  ( M i l l i o n   U n i t s ) 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  R e v e n u e   ( M i l l i o n   U S D ) 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 C o l u m n s \ G o v e r n m e n t   C a m p a i g n s 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 C o l u m n s \ A w a r e n e s s   I n d e x   ( 0 - 1 0 ) 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 C o l u m n s \ M o s t   P o p u l a r   C o n d o m 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 C o l u m n s \ C o n t r a c e p t i v e   U s a g e   R a t e 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 C o l u m n s \ T e e n   P r e g n a n c y   R a t e   ( p e r   1 0 0 0   t e e n s ) 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 C o l u m n s \ H I V   P r e v e n t i o n   A w a r e n e s s 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  S a l e s 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 P r i c e   p e r   C o n d o m   ( U S D ) 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 C o l u m n s \ M a l e   v s   F e m a l e   P u r c h a s e s 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  D o m i n a n c e 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  E d u c a t i o n   P r o g r a m s   ( Y e s / N o ) 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 C o l u m n s \ m a l e _ p e r c e n t 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 C o l u m n s \ f e m a l e _ p e r c e n t 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 2 0 2 5 - 0 9 - 1 8 T 2 1 : 1 4 : 1 4 . 8 2 5 2 0 2 6 - 0 7 : 0 0 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B k F A A B Q S w M E F A A C A A g A P J k U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D y Z F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m R R b C K 2 s x x I C A A A X B A A A E w A c A E Z v c m 1 1 b G F z L 1 N l Y 3 R p b 2 4 x L m 0 g o h g A K K A U A A A A A A A A A A A A A A A A A A A A A A A A A A A A h V P b a t t A E H 0 3 + B 8 G l Y I M q m u H p g 8 N e n D l 3 A p O X c s u h L i Y t T S V l 6 5 m x e 5 K i T H 5 9 4 5 8 q Z N a p X q R N D N 7 5 s y Z s x Y T J z V B v H v 3 L 9 q t d s u u h M E U J j J Z L a 6 V X g q 1 i D S l O l / M r M h w M R R O W H Q Q g k L X b g E / s S 5 N g h y J b N U d 6 q T M k Z x / J R V 2 + a j j H + t 7 0 a f 5 z K K x 8 y / a 4 v x Q Z e f F 2 q 0 0 z f / X r 5 v Y y u s E D 0 N U M p c O T e g F X g C R V m V O N u y f B 3 B J i U 4 l Z W H / 7 P w s g G + l d h i 7 t c L w + N m 9 0 4 Q / O s G O + B t v b H T O u R R u U K T M z u M p p m L J h f v M P u 7 v Z g z g Y R 8 f K B U n Q g l j Q 2 f K l 5 D R S l D G i N N 1 g U e 4 q R F k f 2 q T 7 x j X S e s 3 9 A 8 2 G + 8 e h e H Z b s l 9 / N C t K 5 8 D 2 H i R L s m Z N S c c h 8 D h k 9 v G p 9 o J B b F Q a M E f S a X q l c 5 I O t s 5 B R k J 8 4 u X N 8 E K q c Q X 9 f G w c 0 C m M l + i 2 Z Z f 6 w o N 1 Y u C S O S F k B n Z E w K D R 3 Y M o b X c L M U n 8 H v v + r 0 m t J G 2 D s a 6 K F k 2 2 C 1 5 p 9 L f i L V r j E i w c L J C 2 P o A J s I x 3 7 d N u F N E g r H B j A Q l 6 3 1 l g Q b 6 v V 6 P U Z F s 0 7 G b 2 + / 1 K V Z i e w u O Y z R 3 + U p K E h 6 E b i w Z s F o 1 1 7 G R f B 9 q B v s p / X / o O 2 I w q C x c Y V 5 / j d l j K 3 b 7 K / w / q n x m C 6 U w 1 L m s 5 z x V L W b t L 9 M y E d t x 2 F m Z E T l D 3 a N 9 f 6 d f 4 z 1 3 2 i 1 J j Z a 9 + A 1 Q S w E C L Q A U A A I A C A A 8 m R R b 6 6 s 4 S 6 U A A A D 3 A A A A E g A A A A A A A A A A A A A A A A A A A A A A Q 2 9 u Z m l n L 1 B h Y 2 t h Z 2 U u e G 1 s U E s B A i 0 A F A A C A A g A P J k U W w / K 6 a u k A A A A 6 Q A A A B M A A A A A A A A A A A A A A A A A 8 Q A A A F t D b 2 5 0 Z W 5 0 X 1 R 5 c G V z X S 5 4 b W x Q S w E C L Q A U A A I A C A A 8 m R R b C K 2 s x x I C A A A X B A A A E w A A A A A A A A A A A A A A A A D i A Q A A R m 9 y b X V s Y X M v U 2 V j d G l v b j E u b V B L B Q Y A A A A A A w A D A M I A A A B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F g A A A A A A A O Y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j a F 9 H b G 9 i Y W x f Q 2 9 u Z G 9 t X 1 V z Y W d l X 0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k Z W I 1 Z G N h Y y 1 h Z W E 0 L T Q z N D A t Y W U 4 M y 0 2 M D I y Y T c 4 N m U 1 N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t D b 3 V u d H J 5 J n F 1 b 3 Q 7 L C Z x d W 9 0 O 1 R v d G F s I F N h b G V z I C h N a W x s a W 9 u I F V u a X R z K S Z x d W 9 0 O y w m c X V v d D t N Y X J r Z X Q g U m V 2 Z W 5 1 Z S A o T W l s b G l v b i B V U 0 Q p J n F 1 b 3 Q 7 L C Z x d W 9 0 O 0 d v d m V y b m 1 l b n Q g Q 2 F t c G F p Z 2 5 z J n F 1 b 3 Q 7 L C Z x d W 9 0 O 0 F 3 Y X J l b m V z c y B J b m R l e C A o M C 0 x M C k m c X V v d D s s J n F 1 b 3 Q 7 T W 9 z d C B Q b 3 B 1 b G F y I E N v b m R v b S B U e X B l J n F 1 b 3 Q 7 L C Z x d W 9 0 O 0 N v b n R y Y W N l c H R p d m U g V X N h Z 2 U g U m F 0 Z S A o J S k m c X V v d D s s J n F 1 b 3 Q 7 V G V l b i B Q c m V n b m F u Y 3 k g U m F 0 Z S A o c G V y I D E w M D A g d G V l b n M p J n F 1 b 3 Q 7 L C Z x d W 9 0 O 0 h J V i B Q c m V 2 Z W 5 0 a W 9 u I E F 3 Y X J l b m V z c y A o J S k m c X V v d D s s J n F 1 b 3 Q 7 T 2 5 s a W 5 l I F N h b G V z I C g l K S Z x d W 9 0 O y w m c X V v d D t B d m V y Y W d l I F B y a W N l I H B l c i B D b 2 5 k b 2 0 g K F V T R C k m c X V v d D s s J n F 1 b 3 Q 7 T W F s Z S B 2 c y B G Z W 1 h b G U g U H V y Y 2 h h c 2 V z I C g l K S Z x d W 9 0 O y w m c X V v d D t C c m F u Z C B E b 2 1 p b m F u Y 2 U m c X V v d D s s J n F 1 b 3 Q 7 U 2 V 4 I E V k d W N h d G l v b i B Q c m 9 n c m F t c y A o W W V z L 0 5 v K S Z x d W 9 0 O 1 0 i I C 8 + P E V u d H J 5 I F R 5 c G U 9 I k Z p b G x D b 2 x 1 b W 5 U e X B l c y I g V m F s d W U 9 I n N B d 1 l E Q l F Z R k J n V U Z C U V V G Q m d Z R y I g L z 4 8 R W 5 0 c n k g V H l w Z T 0 i R m l s b E x h c 3 R V c G R h d G V k I i B W Y W x 1 Z T 0 i Z D I w M j U t M D g t M j F U M D I 6 M D k 6 N T U u M D M z O D g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1 M C I g L z 4 8 R W 5 0 c n k g V H l w Z T 0 i Q W R k Z W R U b 0 R h d G F N b 2 R l b C I g V m F s d W U 9 I m w x I i A v P j x F b n R y e S B U e X B l P S J G a W x s V G F y Z 2 V 0 I i B W Y W x 1 Z T 0 i c 1 J p Y 2 h f R 2 x v Y m F s X 0 N v b m R v b V 9 V c 2 F n Z V 9 E Y X R h c 2 V 0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j a F 9 H b G 9 i Y W x f Q 2 9 u Z G 9 t X 1 V z Y W d l X 0 R h d G F z Z X Q v Q 2 h h b m d l Z C B U e X B l L n t Z Z W F y L D B 9 J n F 1 b 3 Q 7 L C Z x d W 9 0 O 1 N l Y 3 R p b 2 4 x L 1 J p Y 2 h f R 2 x v Y m F s X 0 N v b m R v b V 9 V c 2 F n Z V 9 E Y X R h c 2 V 0 L 0 N o Y W 5 n Z W Q g V H l w Z S 5 7 Q 2 9 1 b n R y e S w x f S Z x d W 9 0 O y w m c X V v d D t T Z W N 0 a W 9 u M S 9 S a W N o X 0 d s b 2 J h b F 9 D b 2 5 k b 2 1 f V X N h Z 2 V f R G F 0 Y X N l d C 9 D a G F u Z 2 V k I F R 5 c G U u e 1 R v d G F s I F N h b G V z I C h N a W x s a W 9 u I F V u a X R z K S w y f S Z x d W 9 0 O y w m c X V v d D t T Z W N 0 a W 9 u M S 9 S a W N o X 0 d s b 2 J h b F 9 D b 2 5 k b 2 1 f V X N h Z 2 V f R G F 0 Y X N l d C 9 D a G F u Z 2 V k I F R 5 c G U u e 0 1 h c m t l d C B S Z X Z l b n V l I C h N a W x s a W 9 u I F V T R C k s M 3 0 m c X V v d D s s J n F 1 b 3 Q 7 U 2 V j d G l v b j E v U m l j a F 9 H b G 9 i Y W x f Q 2 9 u Z G 9 t X 1 V z Y W d l X 0 R h d G F z Z X Q v Q 2 h h b m d l Z C B U e X B l L n t H b 3 Z l c m 5 t Z W 5 0 I E N h b X B h a W d u c y w 0 f S Z x d W 9 0 O y w m c X V v d D t T Z W N 0 a W 9 u M S 9 S a W N o X 0 d s b 2 J h b F 9 D b 2 5 k b 2 1 f V X N h Z 2 V f R G F 0 Y X N l d C 9 D a G F u Z 2 V k I F R 5 c G U u e 0 F 3 Y X J l b m V z c y B J b m R l e C A o M C 0 x M C k s N X 0 m c X V v d D s s J n F 1 b 3 Q 7 U 2 V j d G l v b j E v U m l j a F 9 H b G 9 i Y W x f Q 2 9 u Z G 9 t X 1 V z Y W d l X 0 R h d G F z Z X Q v Q 2 h h b m d l Z C B U e X B l L n t N b 3 N 0 I F B v c H V s Y X I g Q 2 9 u Z G 9 t I F R 5 c G U s N n 0 m c X V v d D s s J n F 1 b 3 Q 7 U 2 V j d G l v b j E v U m l j a F 9 H b G 9 i Y W x f Q 2 9 u Z G 9 t X 1 V z Y W d l X 0 R h d G F z Z X Q v Q 2 h h b m d l Z C B U e X B l L n t D b 2 5 0 c m F j Z X B 0 a X Z l I F V z Y W d l I F J h d G U g K C U p L D d 9 J n F 1 b 3 Q 7 L C Z x d W 9 0 O 1 N l Y 3 R p b 2 4 x L 1 J p Y 2 h f R 2 x v Y m F s X 0 N v b m R v b V 9 V c 2 F n Z V 9 E Y X R h c 2 V 0 L 0 N o Y W 5 n Z W Q g V H l w Z S 5 7 V G V l b i B Q c m V n b m F u Y 3 k g U m F 0 Z S A o c G V y I D E w M D A g d G V l b n M p L D h 9 J n F 1 b 3 Q 7 L C Z x d W 9 0 O 1 N l Y 3 R p b 2 4 x L 1 J p Y 2 h f R 2 x v Y m F s X 0 N v b m R v b V 9 V c 2 F n Z V 9 E Y X R h c 2 V 0 L 0 N o Y W 5 n Z W Q g V H l w Z S 5 7 S E l W I F B y Z X Z l b n R p b 2 4 g Q X d h c m V u Z X N z I C g l K S w 5 f S Z x d W 9 0 O y w m c X V v d D t T Z W N 0 a W 9 u M S 9 S a W N o X 0 d s b 2 J h b F 9 D b 2 5 k b 2 1 f V X N h Z 2 V f R G F 0 Y X N l d C 9 D a G F u Z 2 V k I F R 5 c G U u e 0 9 u b G l u Z S B T Y W x l c y A o J S k s M T B 9 J n F 1 b 3 Q 7 L C Z x d W 9 0 O 1 N l Y 3 R p b 2 4 x L 1 J p Y 2 h f R 2 x v Y m F s X 0 N v b m R v b V 9 V c 2 F n Z V 9 E Y X R h c 2 V 0 L 0 N o Y W 5 n Z W Q g V H l w Z S 5 7 Q X Z l c m F n Z S B Q c m l j Z S B w Z X I g Q 2 9 u Z G 9 t I C h V U 0 Q p L D E x f S Z x d W 9 0 O y w m c X V v d D t T Z W N 0 a W 9 u M S 9 S a W N o X 0 d s b 2 J h b F 9 D b 2 5 k b 2 1 f V X N h Z 2 V f R G F 0 Y X N l d C 9 D a G F u Z 2 V k I F R 5 c G U u e 0 1 h b G U g d n M g R m V t Y W x l I F B 1 c m N o Y X N l c y A o J S k s M T J 9 J n F 1 b 3 Q 7 L C Z x d W 9 0 O 1 N l Y 3 R p b 2 4 x L 1 J p Y 2 h f R 2 x v Y m F s X 0 N v b m R v b V 9 V c 2 F n Z V 9 E Y X R h c 2 V 0 L 0 N o Y W 5 n Z W Q g V H l w Z S 5 7 Q n J h b m Q g R G 9 t a W 5 h b m N l L D E z f S Z x d W 9 0 O y w m c X V v d D t T Z W N 0 a W 9 u M S 9 S a W N o X 0 d s b 2 J h b F 9 D b 2 5 k b 2 1 f V X N h Z 2 V f R G F 0 Y X N l d C 9 D a G F u Z 2 V k I F R 5 c G U u e 1 N l e C B F Z H V j Y X R p b 2 4 g U H J v Z 3 J h b X M g K F l l c y 9 O b y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a W N o X 0 d s b 2 J h b F 9 D b 2 5 k b 2 1 f V X N h Z 2 V f R G F 0 Y X N l d C 9 D a G F u Z 2 V k I F R 5 c G U u e 1 l l Y X I s M H 0 m c X V v d D s s J n F 1 b 3 Q 7 U 2 V j d G l v b j E v U m l j a F 9 H b G 9 i Y W x f Q 2 9 u Z G 9 t X 1 V z Y W d l X 0 R h d G F z Z X Q v Q 2 h h b m d l Z C B U e X B l L n t D b 3 V u d H J 5 L D F 9 J n F 1 b 3 Q 7 L C Z x d W 9 0 O 1 N l Y 3 R p b 2 4 x L 1 J p Y 2 h f R 2 x v Y m F s X 0 N v b m R v b V 9 V c 2 F n Z V 9 E Y X R h c 2 V 0 L 0 N o Y W 5 n Z W Q g V H l w Z S 5 7 V G 9 0 Y W w g U 2 F s Z X M g K E 1 p b G x p b 2 4 g V W 5 p d H M p L D J 9 J n F 1 b 3 Q 7 L C Z x d W 9 0 O 1 N l Y 3 R p b 2 4 x L 1 J p Y 2 h f R 2 x v Y m F s X 0 N v b m R v b V 9 V c 2 F n Z V 9 E Y X R h c 2 V 0 L 0 N o Y W 5 n Z W Q g V H l w Z S 5 7 T W F y a 2 V 0 I F J l d m V u d W U g K E 1 p b G x p b 2 4 g V V N E K S w z f S Z x d W 9 0 O y w m c X V v d D t T Z W N 0 a W 9 u M S 9 S a W N o X 0 d s b 2 J h b F 9 D b 2 5 k b 2 1 f V X N h Z 2 V f R G F 0 Y X N l d C 9 D a G F u Z 2 V k I F R 5 c G U u e 0 d v d m V y b m 1 l b n Q g Q 2 F t c G F p Z 2 5 z L D R 9 J n F 1 b 3 Q 7 L C Z x d W 9 0 O 1 N l Y 3 R p b 2 4 x L 1 J p Y 2 h f R 2 x v Y m F s X 0 N v b m R v b V 9 V c 2 F n Z V 9 E Y X R h c 2 V 0 L 0 N o Y W 5 n Z W Q g V H l w Z S 5 7 Q X d h c m V u Z X N z I E l u Z G V 4 I C g w L T E w K S w 1 f S Z x d W 9 0 O y w m c X V v d D t T Z W N 0 a W 9 u M S 9 S a W N o X 0 d s b 2 J h b F 9 D b 2 5 k b 2 1 f V X N h Z 2 V f R G F 0 Y X N l d C 9 D a G F u Z 2 V k I F R 5 c G U u e 0 1 v c 3 Q g U G 9 w d W x h c i B D b 2 5 k b 2 0 g V H l w Z S w 2 f S Z x d W 9 0 O y w m c X V v d D t T Z W N 0 a W 9 u M S 9 S a W N o X 0 d s b 2 J h b F 9 D b 2 5 k b 2 1 f V X N h Z 2 V f R G F 0 Y X N l d C 9 D a G F u Z 2 V k I F R 5 c G U u e 0 N v b n R y Y W N l c H R p d m U g V X N h Z 2 U g U m F 0 Z S A o J S k s N 3 0 m c X V v d D s s J n F 1 b 3 Q 7 U 2 V j d G l v b j E v U m l j a F 9 H b G 9 i Y W x f Q 2 9 u Z G 9 t X 1 V z Y W d l X 0 R h d G F z Z X Q v Q 2 h h b m d l Z C B U e X B l L n t U Z W V u I F B y Z W d u Y W 5 j e S B S Y X R l I C h w Z X I g M T A w M C B 0 Z W V u c y k s O H 0 m c X V v d D s s J n F 1 b 3 Q 7 U 2 V j d G l v b j E v U m l j a F 9 H b G 9 i Y W x f Q 2 9 u Z G 9 t X 1 V z Y W d l X 0 R h d G F z Z X Q v Q 2 h h b m d l Z C B U e X B l L n t I S V Y g U H J l d m V u d G l v b i B B d 2 F y Z W 5 l c 3 M g K C U p L D l 9 J n F 1 b 3 Q 7 L C Z x d W 9 0 O 1 N l Y 3 R p b 2 4 x L 1 J p Y 2 h f R 2 x v Y m F s X 0 N v b m R v b V 9 V c 2 F n Z V 9 E Y X R h c 2 V 0 L 0 N o Y W 5 n Z W Q g V H l w Z S 5 7 T 2 5 s a W 5 l I F N h b G V z I C g l K S w x M H 0 m c X V v d D s s J n F 1 b 3 Q 7 U 2 V j d G l v b j E v U m l j a F 9 H b G 9 i Y W x f Q 2 9 u Z G 9 t X 1 V z Y W d l X 0 R h d G F z Z X Q v Q 2 h h b m d l Z C B U e X B l L n t B d m V y Y W d l I F B y a W N l I H B l c i B D b 2 5 k b 2 0 g K F V T R C k s M T F 9 J n F 1 b 3 Q 7 L C Z x d W 9 0 O 1 N l Y 3 R p b 2 4 x L 1 J p Y 2 h f R 2 x v Y m F s X 0 N v b m R v b V 9 V c 2 F n Z V 9 E Y X R h c 2 V 0 L 0 N o Y W 5 n Z W Q g V H l w Z S 5 7 T W F s Z S B 2 c y B G Z W 1 h b G U g U H V y Y 2 h h c 2 V z I C g l K S w x M n 0 m c X V v d D s s J n F 1 b 3 Q 7 U 2 V j d G l v b j E v U m l j a F 9 H b G 9 i Y W x f Q 2 9 u Z G 9 t X 1 V z Y W d l X 0 R h d G F z Z X Q v Q 2 h h b m d l Z C B U e X B l L n t C c m F u Z C B E b 2 1 p b m F u Y 2 U s M T N 9 J n F 1 b 3 Q 7 L C Z x d W 9 0 O 1 N l Y 3 R p b 2 4 x L 1 J p Y 2 h f R 2 x v Y m F s X 0 N v b m R v b V 9 V c 2 F n Z V 9 E Y X R h c 2 V 0 L 0 N o Y W 5 n Z W Q g V H l w Z S 5 7 U 2 V 4 I E V k d W N h d G l v b i B Q c m 9 n c m F t c y A o W W V z L 0 5 v K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Y 2 h f R 2 x v Y m F s X 0 N v b m R v b V 9 V c 2 F n Z V 9 E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Y 2 h f R 2 x v Y m F s X 0 N v b m R v b V 9 V c 2 F n Z V 9 E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Y 2 h f R 2 x v Y m F s X 0 N v b m R v b V 9 V c 2 F n Z V 9 E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9 W + B + L Z d D u A 4 T K n M R F 8 k A A A A A A g A A A A A A E G Y A A A A B A A A g A A A A m N K R O o i h 4 6 f n o T L 2 O M E b m e l n E B Z p K Y / L L 7 P t + e R R y X w A A A A A D o A A A A A C A A A g A A A A 9 4 q A p 0 i M A m s n 6 i B H e U C T V L O 8 o 5 D s U o t d i t 1 V z 9 Q 4 + c d Q A A A A H U l Z D q m c n b B V R Y f + d K s j 9 O a + + x a I R w P S b I X j 8 d 4 F Y F B p d C y Q u 6 r r m w M N h P b t g Q J h L M y S 2 u M + V C z h 8 p N k G h P r B C Z W 6 J t r C e S k 6 F K H v B U M q F t A A A A A 9 V B 7 I o A K s M k R U O H S t R H h w 1 q b N 3 2 E A E v R P U / T R s u X E Y l t V S d k a p R P t W d i 4 A 2 q 6 + j T M K r h 5 B b n a S v e d G 6 V a u b 0 V g = = < / D a t a M a s h u p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R i c h _ G l o b a l _ C o n d o m _ U s a g e _ D a t a s e t _ 5 3 1 d b a 5 8 - b 5 9 0 - 4 7 d 5 - 8 a a f - 5 0 5 6 7 6 a 3 6 2 9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R i c h _ G l o b a l _ C o n d o m _ U s a g e _ D a t a s e t _ 5 3 1 d b a 5 8 - b 5 9 0 - 4 7 d 5 - 8 a a f - 5 0 5 6 7 6 a 3 6 2 9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 R i c h _ G l o b a l _ C o n d o m _ U s a g e _ D a t a s e t _ 5 3 1 d b a 5 8 - b 5 9 0 - 4 7 d 5 - 8 a a f - 5 0 5 6 7 6 a 3 6 2 9 1 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9C0CDFE0-8BE3-4923-926B-48A555D14663}">
  <ds:schemaRefs/>
</ds:datastoreItem>
</file>

<file path=customXml/itemProps10.xml><?xml version="1.0" encoding="utf-8"?>
<ds:datastoreItem xmlns:ds="http://schemas.openxmlformats.org/officeDocument/2006/customXml" ds:itemID="{5BCB2E14-48B1-45F4-B792-F30A87986F14}">
  <ds:schemaRefs/>
</ds:datastoreItem>
</file>

<file path=customXml/itemProps11.xml><?xml version="1.0" encoding="utf-8"?>
<ds:datastoreItem xmlns:ds="http://schemas.openxmlformats.org/officeDocument/2006/customXml" ds:itemID="{AD60B26F-C0B1-45C8-8B8F-A0FB1A97C5D1}">
  <ds:schemaRefs/>
</ds:datastoreItem>
</file>

<file path=customXml/itemProps12.xml><?xml version="1.0" encoding="utf-8"?>
<ds:datastoreItem xmlns:ds="http://schemas.openxmlformats.org/officeDocument/2006/customXml" ds:itemID="{59F022B0-1E8F-42CA-B797-8A76864B6B15}">
  <ds:schemaRefs/>
</ds:datastoreItem>
</file>

<file path=customXml/itemProps13.xml><?xml version="1.0" encoding="utf-8"?>
<ds:datastoreItem xmlns:ds="http://schemas.openxmlformats.org/officeDocument/2006/customXml" ds:itemID="{4CE64D87-4AFF-49F2-B806-1C8B9BAEF671}">
  <ds:schemaRefs/>
</ds:datastoreItem>
</file>

<file path=customXml/itemProps14.xml><?xml version="1.0" encoding="utf-8"?>
<ds:datastoreItem xmlns:ds="http://schemas.openxmlformats.org/officeDocument/2006/customXml" ds:itemID="{217DCAB8-4178-451C-9CD5-6D1A4ED26101}">
  <ds:schemaRefs/>
</ds:datastoreItem>
</file>

<file path=customXml/itemProps15.xml><?xml version="1.0" encoding="utf-8"?>
<ds:datastoreItem xmlns:ds="http://schemas.openxmlformats.org/officeDocument/2006/customXml" ds:itemID="{8DB2AD0B-4029-46F1-8143-1ADEF5A025E4}">
  <ds:schemaRefs/>
</ds:datastoreItem>
</file>

<file path=customXml/itemProps16.xml><?xml version="1.0" encoding="utf-8"?>
<ds:datastoreItem xmlns:ds="http://schemas.openxmlformats.org/officeDocument/2006/customXml" ds:itemID="{661A7AD5-912E-4D6A-B53A-731E5F950AF4}">
  <ds:schemaRefs/>
</ds:datastoreItem>
</file>

<file path=customXml/itemProps17.xml><?xml version="1.0" encoding="utf-8"?>
<ds:datastoreItem xmlns:ds="http://schemas.openxmlformats.org/officeDocument/2006/customXml" ds:itemID="{986C5DF3-A5C8-4EAD-8DBE-5A365A9E5882}">
  <ds:schemaRefs/>
</ds:datastoreItem>
</file>

<file path=customXml/itemProps2.xml><?xml version="1.0" encoding="utf-8"?>
<ds:datastoreItem xmlns:ds="http://schemas.openxmlformats.org/officeDocument/2006/customXml" ds:itemID="{BCC45216-2208-45CE-9A6B-0E93734BB4F1}">
  <ds:schemaRefs/>
</ds:datastoreItem>
</file>

<file path=customXml/itemProps3.xml><?xml version="1.0" encoding="utf-8"?>
<ds:datastoreItem xmlns:ds="http://schemas.openxmlformats.org/officeDocument/2006/customXml" ds:itemID="{436BF361-A0AF-4F44-92E9-9845E00BB312}">
  <ds:schemaRefs/>
</ds:datastoreItem>
</file>

<file path=customXml/itemProps4.xml><?xml version="1.0" encoding="utf-8"?>
<ds:datastoreItem xmlns:ds="http://schemas.openxmlformats.org/officeDocument/2006/customXml" ds:itemID="{19C1CBE3-DE98-487E-9C41-1BC537E92698}">
  <ds:schemaRefs/>
</ds:datastoreItem>
</file>

<file path=customXml/itemProps5.xml><?xml version="1.0" encoding="utf-8"?>
<ds:datastoreItem xmlns:ds="http://schemas.openxmlformats.org/officeDocument/2006/customXml" ds:itemID="{2748BBE8-7095-4743-81E7-E876F1F90041}">
  <ds:schemaRefs/>
</ds:datastoreItem>
</file>

<file path=customXml/itemProps6.xml><?xml version="1.0" encoding="utf-8"?>
<ds:datastoreItem xmlns:ds="http://schemas.openxmlformats.org/officeDocument/2006/customXml" ds:itemID="{FA9CBC0E-B219-467D-938B-2CBAC5DDCBC6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D8A05E36-701D-4AA8-9456-07B2CA98DA58}">
  <ds:schemaRefs/>
</ds:datastoreItem>
</file>

<file path=customXml/itemProps8.xml><?xml version="1.0" encoding="utf-8"?>
<ds:datastoreItem xmlns:ds="http://schemas.openxmlformats.org/officeDocument/2006/customXml" ds:itemID="{8DA17FB7-100F-4F28-B8B9-AF25DA53C6BB}">
  <ds:schemaRefs/>
</ds:datastoreItem>
</file>

<file path=customXml/itemProps9.xml><?xml version="1.0" encoding="utf-8"?>
<ds:datastoreItem xmlns:ds="http://schemas.openxmlformats.org/officeDocument/2006/customXml" ds:itemID="{32C062D4-EF2A-4B3F-9044-1E0DF40242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Data Statistics</vt:lpstr>
      <vt:lpstr>Pivots</vt:lpstr>
      <vt:lpstr>Rich_Global_Condom_Usage_Datase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Velasco</dc:creator>
  <cp:lastModifiedBy>Jose Velasco</cp:lastModifiedBy>
  <dcterms:created xsi:type="dcterms:W3CDTF">2025-04-05T22:43:32Z</dcterms:created>
  <dcterms:modified xsi:type="dcterms:W3CDTF">2025-09-19T04:14:15Z</dcterms:modified>
</cp:coreProperties>
</file>