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erson.carrillo\Desktop\4. INFORMACIÓN DOCUMENTADA\3. GESTIÓN COMERCIAL\Red de Funcionarios COMERCIAL\4. FORMATOS\"/>
    </mc:Choice>
  </mc:AlternateContent>
  <bookViews>
    <workbookView xWindow="210" yWindow="195" windowWidth="9180" windowHeight="4440"/>
  </bookViews>
  <sheets>
    <sheet name="Evaluacion de Ofertas" sheetId="37" r:id="rId1"/>
    <sheet name="INFRAESTRUCTURA" sheetId="25" r:id="rId2"/>
  </sheets>
  <definedNames>
    <definedName name="_xlnm.Print_Area" localSheetId="0">'Evaluacion de Ofertas'!$A$1:$W$128</definedName>
  </definedNames>
  <calcPr calcId="152511"/>
</workbook>
</file>

<file path=xl/calcChain.xml><?xml version="1.0" encoding="utf-8"?>
<calcChain xmlns="http://schemas.openxmlformats.org/spreadsheetml/2006/main">
  <c r="E50" i="37" l="1"/>
  <c r="E61" i="37" l="1"/>
  <c r="E60" i="37"/>
  <c r="E59" i="37"/>
  <c r="E58" i="37"/>
  <c r="E57" i="37"/>
  <c r="E56" i="37"/>
  <c r="E55" i="37"/>
  <c r="E54" i="37"/>
  <c r="E53" i="37"/>
  <c r="E52" i="37"/>
  <c r="E51" i="37"/>
  <c r="E49" i="37"/>
  <c r="E48" i="37"/>
  <c r="E47" i="37"/>
  <c r="E46" i="37"/>
  <c r="D47" i="37"/>
  <c r="E62" i="37"/>
  <c r="M46" i="37" l="1"/>
  <c r="M47" i="37"/>
  <c r="M48" i="37"/>
  <c r="M49" i="37"/>
  <c r="M50" i="37"/>
  <c r="M51" i="37"/>
  <c r="M52" i="37"/>
  <c r="M53" i="37"/>
  <c r="M54" i="37"/>
  <c r="M55" i="37"/>
  <c r="M56" i="37"/>
  <c r="M57" i="37"/>
  <c r="M58" i="37"/>
  <c r="M59" i="37"/>
  <c r="M60" i="37"/>
  <c r="P60" i="37" s="1"/>
  <c r="M61" i="37"/>
  <c r="P61" i="37" s="1"/>
  <c r="D60" i="37"/>
  <c r="D55" i="37"/>
  <c r="D54" i="37"/>
  <c r="D59" i="37"/>
  <c r="D58" i="37"/>
  <c r="D57" i="37"/>
  <c r="D56" i="37"/>
  <c r="D53" i="37"/>
  <c r="D52" i="37"/>
  <c r="D51" i="37"/>
  <c r="D50" i="37"/>
  <c r="D49" i="37"/>
  <c r="D48" i="37"/>
  <c r="D46" i="37"/>
  <c r="M45" i="37"/>
  <c r="P45" i="37" s="1"/>
  <c r="V61" i="37" l="1"/>
  <c r="S61" i="37"/>
  <c r="V60" i="37"/>
  <c r="S60" i="37"/>
  <c r="V45" i="37"/>
  <c r="S45" i="37"/>
  <c r="S104" i="37" l="1"/>
  <c r="S102" i="37" l="1"/>
  <c r="G67" i="37"/>
  <c r="S112" i="37" l="1"/>
  <c r="V112" i="37" s="1"/>
  <c r="S103" i="37"/>
  <c r="V103" i="37" s="1"/>
  <c r="V102" i="37"/>
  <c r="I88" i="37"/>
  <c r="P88" i="37" s="1"/>
  <c r="V88" i="37" s="1"/>
  <c r="I87" i="37"/>
  <c r="M87" i="37" s="1"/>
  <c r="I86" i="37"/>
  <c r="P86" i="37" s="1"/>
  <c r="V86" i="37" s="1"/>
  <c r="I85" i="37"/>
  <c r="M85" i="37" s="1"/>
  <c r="I84" i="37"/>
  <c r="P84" i="37" s="1"/>
  <c r="V84" i="37" s="1"/>
  <c r="I83" i="37"/>
  <c r="M83" i="37" s="1"/>
  <c r="I82" i="37"/>
  <c r="P82" i="37" s="1"/>
  <c r="V82" i="37" s="1"/>
  <c r="I81" i="37"/>
  <c r="M81" i="37" s="1"/>
  <c r="K67" i="37"/>
  <c r="K68" i="37" s="1"/>
  <c r="K69" i="37" s="1"/>
  <c r="K70" i="37" s="1"/>
  <c r="K71" i="37" s="1"/>
  <c r="K72" i="37" s="1"/>
  <c r="K73" i="37" s="1"/>
  <c r="K74" i="37" s="1"/>
  <c r="K75" i="37" s="1"/>
  <c r="K76" i="37" s="1"/>
  <c r="G68" i="37"/>
  <c r="P66" i="37"/>
  <c r="S66" i="37" s="1"/>
  <c r="M66" i="37"/>
  <c r="P59" i="37"/>
  <c r="P58" i="37"/>
  <c r="V58" i="37" s="1"/>
  <c r="P57" i="37"/>
  <c r="P56" i="37"/>
  <c r="P55" i="37"/>
  <c r="P54" i="37"/>
  <c r="P53" i="37"/>
  <c r="P52" i="37"/>
  <c r="P51" i="37"/>
  <c r="P50" i="37"/>
  <c r="P49" i="37"/>
  <c r="P48" i="37"/>
  <c r="P47" i="37"/>
  <c r="P46" i="37"/>
  <c r="M39" i="37"/>
  <c r="M32" i="37"/>
  <c r="G32" i="37"/>
  <c r="M16" i="37"/>
  <c r="M17" i="37" s="1"/>
  <c r="G13" i="37"/>
  <c r="M13" i="37" s="1"/>
  <c r="M12" i="37"/>
  <c r="L12" i="37"/>
  <c r="M82" i="37" l="1"/>
  <c r="P68" i="37"/>
  <c r="V68" i="37" s="1"/>
  <c r="M86" i="37"/>
  <c r="P81" i="37"/>
  <c r="S81" i="37" s="1"/>
  <c r="S32" i="37"/>
  <c r="K32" i="37" s="1"/>
  <c r="M84" i="37"/>
  <c r="M88" i="37"/>
  <c r="V59" i="37"/>
  <c r="S59" i="37"/>
  <c r="S115" i="37"/>
  <c r="P115" i="37" s="1"/>
  <c r="P112" i="37"/>
  <c r="P67" i="37"/>
  <c r="S67" i="37" s="1"/>
  <c r="V46" i="37"/>
  <c r="S46" i="37"/>
  <c r="V49" i="37"/>
  <c r="S49" i="37"/>
  <c r="G123" i="37"/>
  <c r="S100" i="37"/>
  <c r="S98" i="37"/>
  <c r="S96" i="37"/>
  <c r="S95" i="37"/>
  <c r="S94" i="37"/>
  <c r="S93" i="37"/>
  <c r="S92" i="37"/>
  <c r="S101" i="37"/>
  <c r="S97" i="37"/>
  <c r="S99" i="37"/>
  <c r="V47" i="37"/>
  <c r="S47" i="37"/>
  <c r="V48" i="37"/>
  <c r="S48" i="37"/>
  <c r="S51" i="37"/>
  <c r="V51" i="37"/>
  <c r="V52" i="37"/>
  <c r="S52" i="37"/>
  <c r="S55" i="37"/>
  <c r="V55" i="37"/>
  <c r="V56" i="37"/>
  <c r="S56" i="37"/>
  <c r="S50" i="37"/>
  <c r="V50" i="37"/>
  <c r="V53" i="37"/>
  <c r="S53" i="37"/>
  <c r="V54" i="37"/>
  <c r="S54" i="37"/>
  <c r="V57" i="37"/>
  <c r="S57" i="37"/>
  <c r="L13" i="37"/>
  <c r="V104" i="37" s="1"/>
  <c r="S58" i="37"/>
  <c r="V66" i="37"/>
  <c r="G69" i="37"/>
  <c r="M68" i="37"/>
  <c r="S82" i="37"/>
  <c r="P83" i="37"/>
  <c r="S84" i="37"/>
  <c r="P85" i="37"/>
  <c r="S86" i="37"/>
  <c r="P87" i="37"/>
  <c r="S88" i="37"/>
  <c r="M67" i="37"/>
  <c r="S68" i="37" l="1"/>
  <c r="V115" i="37"/>
  <c r="V81" i="37"/>
  <c r="P32" i="37"/>
  <c r="P39" i="37"/>
  <c r="S23" i="37"/>
  <c r="S30" i="37" s="1"/>
  <c r="S62" i="37"/>
  <c r="V67" i="37"/>
  <c r="S87" i="37"/>
  <c r="V87" i="37"/>
  <c r="S85" i="37"/>
  <c r="V85" i="37"/>
  <c r="S83" i="37"/>
  <c r="V83" i="37"/>
  <c r="V97" i="37"/>
  <c r="P97" i="37"/>
  <c r="S105" i="37"/>
  <c r="G96" i="37" s="1"/>
  <c r="P92" i="37"/>
  <c r="V92" i="37"/>
  <c r="P94" i="37"/>
  <c r="V94" i="37"/>
  <c r="P96" i="37"/>
  <c r="V96" i="37"/>
  <c r="P100" i="37"/>
  <c r="V100" i="37"/>
  <c r="G70" i="37"/>
  <c r="M69" i="37"/>
  <c r="P69" i="37"/>
  <c r="S39" i="37"/>
  <c r="S40" i="37" s="1"/>
  <c r="G92" i="37" s="1"/>
  <c r="V39" i="37"/>
  <c r="V99" i="37"/>
  <c r="P99" i="37"/>
  <c r="V101" i="37"/>
  <c r="P101" i="37"/>
  <c r="P93" i="37"/>
  <c r="V93" i="37"/>
  <c r="P95" i="37"/>
  <c r="V95" i="37"/>
  <c r="V98" i="37"/>
  <c r="P98" i="37"/>
  <c r="S89" i="37" l="1"/>
  <c r="G95" i="37" s="1"/>
  <c r="S69" i="37"/>
  <c r="V69" i="37"/>
  <c r="G71" i="37"/>
  <c r="M70" i="37"/>
  <c r="P70" i="37"/>
  <c r="S114" i="37"/>
  <c r="G93" i="37"/>
  <c r="P114" i="37" l="1"/>
  <c r="V114" i="37"/>
  <c r="S70" i="37"/>
  <c r="V70" i="37"/>
  <c r="G72" i="37"/>
  <c r="M71" i="37"/>
  <c r="P71" i="37"/>
  <c r="S71" i="37" l="1"/>
  <c r="V71" i="37"/>
  <c r="G73" i="37"/>
  <c r="M72" i="37"/>
  <c r="P72" i="37"/>
  <c r="S72" i="37" l="1"/>
  <c r="V72" i="37"/>
  <c r="G74" i="37"/>
  <c r="M73" i="37"/>
  <c r="P73" i="37"/>
  <c r="S73" i="37" l="1"/>
  <c r="V73" i="37"/>
  <c r="G75" i="37"/>
  <c r="M74" i="37"/>
  <c r="P74" i="37"/>
  <c r="S74" i="37" l="1"/>
  <c r="V74" i="37"/>
  <c r="G76" i="37"/>
  <c r="M75" i="37"/>
  <c r="P75" i="37"/>
  <c r="S75" i="37" l="1"/>
  <c r="V75" i="37"/>
  <c r="M76" i="37"/>
  <c r="P76" i="37"/>
  <c r="S76" i="37" l="1"/>
  <c r="S77" i="37" s="1"/>
  <c r="G94" i="37" s="1"/>
  <c r="G107" i="37" s="1"/>
  <c r="V76" i="37"/>
  <c r="E11" i="25"/>
  <c r="E12" i="25"/>
  <c r="S113" i="37" l="1"/>
  <c r="V113" i="37" l="1"/>
  <c r="P113" i="37"/>
  <c r="S116" i="37"/>
  <c r="G118" i="37" s="1"/>
  <c r="G125" i="37" l="1"/>
  <c r="K125" i="37" l="1"/>
  <c r="G127" i="37"/>
  <c r="P127" i="37" s="1"/>
  <c r="K107" i="37"/>
  <c r="K118" i="37"/>
  <c r="E6" i="25" l="1"/>
  <c r="E7" i="25"/>
  <c r="E8" i="25"/>
  <c r="E9" i="25"/>
  <c r="E10" i="25"/>
</calcChain>
</file>

<file path=xl/sharedStrings.xml><?xml version="1.0" encoding="utf-8"?>
<sst xmlns="http://schemas.openxmlformats.org/spreadsheetml/2006/main" count="166" uniqueCount="126">
  <si>
    <t>FECHA:</t>
  </si>
  <si>
    <t>Bogotá</t>
  </si>
  <si>
    <t>SIN IVA</t>
  </si>
  <si>
    <t>Impresoras</t>
  </si>
  <si>
    <t>Servidores</t>
  </si>
  <si>
    <t>Comisión Ventas</t>
  </si>
  <si>
    <t>Cantidades</t>
  </si>
  <si>
    <t>CON IVA</t>
  </si>
  <si>
    <t>Meses</t>
  </si>
  <si>
    <t>CLIENTE:</t>
  </si>
  <si>
    <t>Presupuesto Oficial</t>
  </si>
  <si>
    <t>Valor Cotizado</t>
  </si>
  <si>
    <t>Descripción Equipos</t>
  </si>
  <si>
    <t>PC's Escritorio</t>
  </si>
  <si>
    <t>Otras Ciudades</t>
  </si>
  <si>
    <t>Tiempo de Servicio</t>
  </si>
  <si>
    <t>Indicador de falla</t>
  </si>
  <si>
    <t>/ Mes</t>
  </si>
  <si>
    <t>Valor falla</t>
  </si>
  <si>
    <t>/ Equipo</t>
  </si>
  <si>
    <t>Personal Técnico</t>
  </si>
  <si>
    <t>Valor mensual unitario</t>
  </si>
  <si>
    <t>Valor Período</t>
  </si>
  <si>
    <t>Valor Anualizado</t>
  </si>
  <si>
    <t>Valor y Número Visitas Preventivo</t>
  </si>
  <si>
    <t>Equipos de Soporte</t>
  </si>
  <si>
    <t>Valor y Número Equipos</t>
  </si>
  <si>
    <t>Valor y Número Personas</t>
  </si>
  <si>
    <t>COSTOS OPERACIONALES</t>
  </si>
  <si>
    <t>Valor mensual total</t>
  </si>
  <si>
    <t>TOTAL COSTOS OPERACIONALES</t>
  </si>
  <si>
    <t>GASTOS ADMINISTRATIVOS</t>
  </si>
  <si>
    <t>Repuestos</t>
  </si>
  <si>
    <t>Legales</t>
  </si>
  <si>
    <t>Infraestructura/Administración</t>
  </si>
  <si>
    <t>BENEFICIO FINAL</t>
  </si>
  <si>
    <t>Mantenimiento Preventivo</t>
  </si>
  <si>
    <t>Costo Total Personal Técnico</t>
  </si>
  <si>
    <t>Costo Total Mantenimiento Preventivo</t>
  </si>
  <si>
    <t>Costo Total Equipos Soporte</t>
  </si>
  <si>
    <t>Costo Total Fallas Onerosas</t>
  </si>
  <si>
    <t>TOTAL GASTOS ADMINISTRATIVOS</t>
  </si>
  <si>
    <t>BALANCE FINAL</t>
  </si>
  <si>
    <t>INFORMACIÓN GENERAL</t>
  </si>
  <si>
    <t>Presupuesto Oferta</t>
  </si>
  <si>
    <t>Totales</t>
  </si>
  <si>
    <t>TOTAL EGRESOS</t>
  </si>
  <si>
    <t xml:space="preserve"> </t>
  </si>
  <si>
    <t>Propuesta</t>
  </si>
  <si>
    <t>Costo Total Equipos de Soporte</t>
  </si>
  <si>
    <t>Otros Costos</t>
  </si>
  <si>
    <t>Rentabilidad Esperada</t>
  </si>
  <si>
    <t>TOTAL INGRESOS NETOS</t>
  </si>
  <si>
    <t>OTROS COSTOS</t>
  </si>
  <si>
    <t>VoBo:_____________</t>
  </si>
  <si>
    <t>Imprevistos</t>
  </si>
  <si>
    <t>Video beam</t>
  </si>
  <si>
    <t>Transportes</t>
  </si>
  <si>
    <t>Encomiendas</t>
  </si>
  <si>
    <t>Portátiles</t>
  </si>
  <si>
    <t>Impresoras Gama Media</t>
  </si>
  <si>
    <t>Impresoras Gama Alta</t>
  </si>
  <si>
    <t>Plotter</t>
  </si>
  <si>
    <t>Video Beam</t>
  </si>
  <si>
    <t>Otros</t>
  </si>
  <si>
    <t>Garant</t>
  </si>
  <si>
    <t>Categoría No. 9</t>
  </si>
  <si>
    <t>Categoría No. 10</t>
  </si>
  <si>
    <t>Categoría No. 11</t>
  </si>
  <si>
    <t>Categoría No. 12</t>
  </si>
  <si>
    <t>Categoría No. 13</t>
  </si>
  <si>
    <t>Categoría No. 14 Especial</t>
  </si>
  <si>
    <t>Categoría No. 15 Especial</t>
  </si>
  <si>
    <t>IPC</t>
  </si>
  <si>
    <t>TOTAL CÍA</t>
  </si>
  <si>
    <t>NÓMINA</t>
  </si>
  <si>
    <t>Observaciones de perfiles</t>
  </si>
  <si>
    <t>Impresoras Gama Baja/Media</t>
  </si>
  <si>
    <t>Valor Equipo anual</t>
  </si>
  <si>
    <t>Valor Equipo
 Periodo</t>
  </si>
  <si>
    <t>Service Desk</t>
  </si>
  <si>
    <t>Fungibles</t>
  </si>
  <si>
    <t>RESUMEN COSTOS</t>
  </si>
  <si>
    <t>Comunicaciones</t>
  </si>
  <si>
    <t>Trámite Garantías</t>
  </si>
  <si>
    <t>PORCENTAJE APLICADO</t>
  </si>
  <si>
    <r>
      <rPr>
        <sz val="10"/>
        <rFont val="Calibri"/>
        <family val="2"/>
      </rPr>
      <t>≤</t>
    </r>
    <r>
      <rPr>
        <sz val="10"/>
        <rFont val="Arial"/>
        <family val="2"/>
      </rPr>
      <t xml:space="preserve"> $10.000.000</t>
    </r>
  </si>
  <si>
    <t>VALOR ASIGNADO INFRAESTRUCTURA</t>
  </si>
  <si>
    <t>De $10.000.001 a $50.000.000</t>
  </si>
  <si>
    <t>De $50.000.001 a $100.000.000</t>
  </si>
  <si>
    <t>De $100.000.001 a $300.000.000</t>
  </si>
  <si>
    <t>De $300.000.001 a $500.000.000</t>
  </si>
  <si>
    <t>De $500.000.001 a $700.000.000</t>
  </si>
  <si>
    <r>
      <rPr>
        <sz val="10"/>
        <rFont val="Calibri"/>
        <family val="2"/>
      </rPr>
      <t>≥</t>
    </r>
    <r>
      <rPr>
        <sz val="10"/>
        <rFont val="Arial"/>
        <family val="2"/>
      </rPr>
      <t xml:space="preserve"> $700.000.000</t>
    </r>
  </si>
  <si>
    <t xml:space="preserve">VALOR </t>
  </si>
  <si>
    <t>RANGO VALOR A OFERTAR 
SIN IVA</t>
  </si>
  <si>
    <t>Bolsa de Repuestos</t>
  </si>
  <si>
    <t>Utilidad Bolsa de Repuestos</t>
  </si>
  <si>
    <t>Presupuesto Repuestos</t>
  </si>
  <si>
    <t>Valor mensual y/o Unitario</t>
  </si>
  <si>
    <t>Laboratorio</t>
  </si>
  <si>
    <t>Subcontratistas</t>
  </si>
  <si>
    <t>Scanner Gama Media</t>
  </si>
  <si>
    <t>Scanner Gama Alta</t>
  </si>
  <si>
    <t>Tecnología Software</t>
  </si>
  <si>
    <t>Tecnología Hardware</t>
  </si>
  <si>
    <t>XXXXXXXXXXXXXXXXXXX</t>
  </si>
  <si>
    <t>Categoría No. 16 Especial</t>
  </si>
  <si>
    <t>Aprendices</t>
  </si>
  <si>
    <r>
      <t>OBSERVACIONES</t>
    </r>
    <r>
      <rPr>
        <b/>
        <sz val="8"/>
        <rFont val="Verdana"/>
        <family val="2"/>
      </rPr>
      <t xml:space="preserve">: </t>
    </r>
  </si>
  <si>
    <r>
      <t>Nota:</t>
    </r>
    <r>
      <rPr>
        <i/>
        <sz val="8"/>
        <rFont val="Verdana"/>
        <family val="2"/>
      </rPr>
      <t xml:space="preserve"> Diligencie todos los cuadros azules.</t>
    </r>
  </si>
  <si>
    <t xml:space="preserve"> EVALUACIÓN DE OFERTAS</t>
  </si>
  <si>
    <t>GC-P01-F08-R1– Página 1 de 1</t>
  </si>
  <si>
    <t>Otros Equipos (Monitores, FAX, Teléfonos, etc.)</t>
  </si>
  <si>
    <t>Elementos de Red (Switches, UPS, HUB, Etc.)</t>
  </si>
  <si>
    <t>Categoría No. 8</t>
  </si>
  <si>
    <t>Categoría No. 7</t>
  </si>
  <si>
    <t>Categoría No. 6</t>
  </si>
  <si>
    <t>Categoría No. 5</t>
  </si>
  <si>
    <t>Categoría No. 4</t>
  </si>
  <si>
    <t>Categoría No. 3</t>
  </si>
  <si>
    <t>Categoría No. 2</t>
  </si>
  <si>
    <t>Categoría No. 1</t>
  </si>
  <si>
    <t>Elementos de Red (Switches, UPS, HUB, etc.)</t>
  </si>
  <si>
    <t>Escáner</t>
  </si>
  <si>
    <t>Cableado Estar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</si>
</sst>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#,##0_ ;[Red]\-#,##0\ "/>
    <numFmt numFmtId="167" formatCode="0.0%"/>
    <numFmt numFmtId="168" formatCode="#,##0.0"/>
    <numFmt numFmtId="169" formatCode="[$-C0A]d\-mmm\-yy;@"/>
    <numFmt numFmtId="170" formatCode="0.000%"/>
    <numFmt numFmtId="171" formatCode="&quot;$&quot;\ #,##0"/>
    <numFmt numFmtId="172" formatCode="_(* #,##0_);_(* \(#,##0\);_(* &quot;-&quot;??_);_(@_)"/>
    <numFmt numFmtId="173" formatCode="_-* #,##0.00\ [$€]_-;\-* #,##0.00\ [$€]_-;_-* &quot;-&quot;??\ [$€]_-;_-@_-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Calibri"/>
      <family val="2"/>
    </font>
    <font>
      <sz val="10"/>
      <color indexed="8"/>
      <name val="Arial"/>
      <family val="2"/>
    </font>
    <font>
      <sz val="8"/>
      <name val="Verdana"/>
      <family val="2"/>
    </font>
    <font>
      <b/>
      <sz val="8"/>
      <name val="Verdana"/>
      <family val="2"/>
    </font>
    <font>
      <b/>
      <sz val="8"/>
      <color rgb="FFFF0000"/>
      <name val="Verdana"/>
      <family val="2"/>
    </font>
    <font>
      <sz val="8"/>
      <color rgb="FFFF0000"/>
      <name val="Verdana"/>
      <family val="2"/>
    </font>
    <font>
      <sz val="8"/>
      <color indexed="10"/>
      <name val="Verdana"/>
      <family val="2"/>
    </font>
    <font>
      <b/>
      <u/>
      <sz val="8"/>
      <name val="Verdana"/>
      <family val="2"/>
    </font>
    <font>
      <b/>
      <sz val="14"/>
      <name val="Verdana"/>
      <family val="2"/>
    </font>
    <font>
      <b/>
      <i/>
      <sz val="8"/>
      <name val="Verdana"/>
      <family val="2"/>
    </font>
    <font>
      <i/>
      <sz val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BF1739"/>
      </bottom>
      <diagonal/>
    </border>
    <border>
      <left/>
      <right style="medium">
        <color indexed="64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thin">
        <color rgb="FFBF1739"/>
      </top>
      <bottom/>
      <diagonal/>
    </border>
    <border>
      <left style="medium">
        <color indexed="64"/>
      </left>
      <right/>
      <top/>
      <bottom style="thin">
        <color theme="0" tint="-0.249977111117893"/>
      </bottom>
      <diagonal/>
    </border>
  </borders>
  <cellStyleXfs count="13">
    <xf numFmtId="0" fontId="0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2" fillId="0" borderId="0" applyFont="0" applyFill="0" applyBorder="0" applyAlignment="0" applyProtection="0"/>
    <xf numFmtId="0" fontId="2" fillId="0" borderId="0"/>
    <xf numFmtId="0" fontId="3" fillId="0" borderId="0"/>
    <xf numFmtId="164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0" fontId="2" fillId="0" borderId="0"/>
    <xf numFmtId="0" fontId="6" fillId="0" borderId="0"/>
    <xf numFmtId="0" fontId="2" fillId="0" borderId="0"/>
    <xf numFmtId="0" fontId="1" fillId="0" borderId="0"/>
  </cellStyleXfs>
  <cellXfs count="175">
    <xf numFmtId="0" fontId="0" fillId="0" borderId="0" xfId="0"/>
    <xf numFmtId="0" fontId="3" fillId="0" borderId="7" xfId="0" applyFont="1" applyBorder="1"/>
    <xf numFmtId="0" fontId="0" fillId="0" borderId="7" xfId="0" applyBorder="1"/>
    <xf numFmtId="0" fontId="4" fillId="0" borderId="7" xfId="0" applyFont="1" applyBorder="1" applyAlignment="1">
      <alignment horizontal="center" vertical="top" wrapText="1"/>
    </xf>
    <xf numFmtId="171" fontId="0" fillId="0" borderId="7" xfId="0" applyNumberFormat="1" applyBorder="1"/>
    <xf numFmtId="9" fontId="0" fillId="0" borderId="7" xfId="2" applyFont="1" applyBorder="1" applyAlignment="1">
      <alignment horizontal="center"/>
    </xf>
    <xf numFmtId="172" fontId="0" fillId="0" borderId="0" xfId="1" applyNumberFormat="1" applyFont="1"/>
    <xf numFmtId="172" fontId="4" fillId="0" borderId="0" xfId="1" applyNumberFormat="1" applyFont="1"/>
    <xf numFmtId="172" fontId="0" fillId="0" borderId="0" xfId="0" applyNumberFormat="1"/>
    <xf numFmtId="0" fontId="7" fillId="0" borderId="0" xfId="0" applyFont="1" applyAlignment="1">
      <alignment vertical="center"/>
    </xf>
    <xf numFmtId="0" fontId="8" fillId="0" borderId="1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49" fontId="8" fillId="2" borderId="5" xfId="0" applyNumberFormat="1" applyFont="1" applyFill="1" applyBorder="1" applyAlignment="1">
      <alignment vertical="center"/>
    </xf>
    <xf numFmtId="49" fontId="8" fillId="2" borderId="4" xfId="0" applyNumberFormat="1" applyFont="1" applyFill="1" applyBorder="1" applyAlignment="1">
      <alignment vertical="center"/>
    </xf>
    <xf numFmtId="49" fontId="8" fillId="2" borderId="6" xfId="0" applyNumberFormat="1" applyFont="1" applyFill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4" fontId="8" fillId="0" borderId="0" xfId="0" applyNumberFormat="1" applyFont="1" applyFill="1" applyBorder="1" applyAlignment="1">
      <alignment horizontal="center" vertical="center"/>
    </xf>
    <xf numFmtId="3" fontId="7" fillId="0" borderId="0" xfId="0" applyNumberFormat="1" applyFont="1" applyBorder="1" applyAlignment="1">
      <alignment vertical="center"/>
    </xf>
    <xf numFmtId="9" fontId="8" fillId="0" borderId="0" xfId="0" applyNumberFormat="1" applyFont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167" fontId="8" fillId="2" borderId="2" xfId="0" applyNumberFormat="1" applyFont="1" applyFill="1" applyBorder="1" applyAlignment="1">
      <alignment horizontal="center" vertical="center"/>
    </xf>
    <xf numFmtId="9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3" fontId="7" fillId="0" borderId="0" xfId="0" applyNumberFormat="1" applyFont="1" applyAlignment="1">
      <alignment vertical="center"/>
    </xf>
    <xf numFmtId="0" fontId="7" fillId="0" borderId="0" xfId="0" applyFont="1" applyFill="1" applyBorder="1" applyAlignment="1">
      <alignment vertical="center"/>
    </xf>
    <xf numFmtId="165" fontId="7" fillId="0" borderId="0" xfId="1" applyFont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4" fontId="8" fillId="0" borderId="0" xfId="0" applyNumberFormat="1" applyFont="1" applyFill="1" applyBorder="1" applyAlignment="1">
      <alignment horizontal="center" vertical="center" wrapText="1"/>
    </xf>
    <xf numFmtId="167" fontId="8" fillId="2" borderId="7" xfId="0" applyNumberFormat="1" applyFont="1" applyFill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3" fontId="8" fillId="0" borderId="0" xfId="0" applyNumberFormat="1" applyFont="1" applyBorder="1" applyAlignment="1">
      <alignment horizontal="center" vertical="center"/>
    </xf>
    <xf numFmtId="9" fontId="8" fillId="0" borderId="0" xfId="2" applyFont="1" applyBorder="1" applyAlignment="1">
      <alignment horizontal="center" vertical="center"/>
    </xf>
    <xf numFmtId="9" fontId="8" fillId="0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7" fillId="4" borderId="0" xfId="0" applyFont="1" applyFill="1" applyBorder="1" applyAlignment="1">
      <alignment vertical="center"/>
    </xf>
    <xf numFmtId="10" fontId="8" fillId="4" borderId="2" xfId="2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right" vertical="center"/>
    </xf>
    <xf numFmtId="3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2" xfId="0" applyFont="1" applyBorder="1" applyAlignment="1">
      <alignment horizontal="center" vertical="center" wrapText="1"/>
    </xf>
    <xf numFmtId="168" fontId="7" fillId="2" borderId="2" xfId="0" applyNumberFormat="1" applyFont="1" applyFill="1" applyBorder="1" applyAlignment="1">
      <alignment horizontal="left" vertical="center"/>
    </xf>
    <xf numFmtId="168" fontId="8" fillId="2" borderId="2" xfId="0" applyNumberFormat="1" applyFont="1" applyFill="1" applyBorder="1" applyAlignment="1">
      <alignment horizontal="center" vertical="center"/>
    </xf>
    <xf numFmtId="3" fontId="7" fillId="2" borderId="2" xfId="0" applyNumberFormat="1" applyFont="1" applyFill="1" applyBorder="1" applyAlignment="1">
      <alignment horizontal="center" vertical="center"/>
    </xf>
    <xf numFmtId="168" fontId="7" fillId="4" borderId="2" xfId="0" applyNumberFormat="1" applyFont="1" applyFill="1" applyBorder="1" applyAlignment="1">
      <alignment horizontal="left" vertical="center"/>
    </xf>
    <xf numFmtId="168" fontId="8" fillId="4" borderId="2" xfId="0" applyNumberFormat="1" applyFont="1" applyFill="1" applyBorder="1" applyAlignment="1">
      <alignment horizontal="center" vertical="center"/>
    </xf>
    <xf numFmtId="3" fontId="7" fillId="0" borderId="2" xfId="0" applyNumberFormat="1" applyFont="1" applyBorder="1" applyAlignment="1">
      <alignment horizontal="center" vertical="center"/>
    </xf>
    <xf numFmtId="3" fontId="7" fillId="4" borderId="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7" fillId="0" borderId="0" xfId="1" applyFont="1" applyAlignment="1">
      <alignment horizontal="center" vertical="center"/>
    </xf>
    <xf numFmtId="165" fontId="7" fillId="0" borderId="0" xfId="1" applyFont="1" applyAlignment="1">
      <alignment vertical="center"/>
    </xf>
    <xf numFmtId="0" fontId="7" fillId="0" borderId="11" xfId="0" applyFont="1" applyBorder="1" applyAlignment="1">
      <alignment horizontal="center" vertical="center"/>
    </xf>
    <xf numFmtId="3" fontId="7" fillId="0" borderId="2" xfId="0" applyNumberFormat="1" applyFont="1" applyFill="1" applyBorder="1" applyAlignment="1">
      <alignment horizontal="center" vertical="center"/>
    </xf>
    <xf numFmtId="3" fontId="8" fillId="2" borderId="2" xfId="0" applyNumberFormat="1" applyFont="1" applyFill="1" applyBorder="1" applyAlignment="1">
      <alignment horizontal="center" vertical="center"/>
    </xf>
    <xf numFmtId="167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horizontal="right" vertical="center"/>
    </xf>
    <xf numFmtId="0" fontId="7" fillId="0" borderId="12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vertical="center"/>
    </xf>
    <xf numFmtId="167" fontId="8" fillId="2" borderId="7" xfId="2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vertical="center"/>
    </xf>
    <xf numFmtId="0" fontId="7" fillId="0" borderId="7" xfId="0" applyFont="1" applyFill="1" applyBorder="1" applyAlignment="1">
      <alignment horizontal="center" vertical="center"/>
    </xf>
    <xf numFmtId="0" fontId="10" fillId="0" borderId="7" xfId="0" applyFont="1" applyBorder="1" applyAlignment="1">
      <alignment vertical="center"/>
    </xf>
    <xf numFmtId="9" fontId="8" fillId="2" borderId="7" xfId="2" applyNumberFormat="1" applyFont="1" applyFill="1" applyBorder="1" applyAlignment="1">
      <alignment horizontal="center" vertical="center"/>
    </xf>
    <xf numFmtId="3" fontId="8" fillId="2" borderId="7" xfId="2" applyNumberFormat="1" applyFont="1" applyFill="1" applyBorder="1" applyAlignment="1">
      <alignment horizontal="center" vertical="center"/>
    </xf>
    <xf numFmtId="0" fontId="8" fillId="0" borderId="11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2" borderId="7" xfId="2" applyNumberFormat="1" applyFont="1" applyFill="1" applyBorder="1" applyAlignment="1">
      <alignment horizontal="center" vertical="center"/>
    </xf>
    <xf numFmtId="3" fontId="8" fillId="0" borderId="0" xfId="0" applyNumberFormat="1" applyFont="1" applyBorder="1" applyAlignment="1">
      <alignment horizontal="right" vertical="center"/>
    </xf>
    <xf numFmtId="167" fontId="8" fillId="0" borderId="3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0" fontId="8" fillId="0" borderId="1" xfId="0" applyFont="1" applyFill="1" applyBorder="1" applyAlignment="1">
      <alignment horizontal="center" vertical="center"/>
    </xf>
    <xf numFmtId="9" fontId="7" fillId="0" borderId="2" xfId="2" applyNumberFormat="1" applyFont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9" fontId="8" fillId="2" borderId="7" xfId="2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167" fontId="7" fillId="0" borderId="2" xfId="2" applyNumberFormat="1" applyFont="1" applyBorder="1" applyAlignment="1">
      <alignment horizontal="center" vertical="center"/>
    </xf>
    <xf numFmtId="0" fontId="8" fillId="0" borderId="11" xfId="0" applyFont="1" applyBorder="1" applyAlignment="1">
      <alignment horizontal="left" vertical="center"/>
    </xf>
    <xf numFmtId="9" fontId="8" fillId="0" borderId="0" xfId="2" applyNumberFormat="1" applyFont="1" applyBorder="1" applyAlignment="1">
      <alignment horizontal="center" vertical="center"/>
    </xf>
    <xf numFmtId="170" fontId="8" fillId="0" borderId="0" xfId="0" applyNumberFormat="1" applyFont="1" applyBorder="1" applyAlignment="1">
      <alignment horizontal="center" vertical="center"/>
    </xf>
    <xf numFmtId="166" fontId="8" fillId="0" borderId="0" xfId="0" applyNumberFormat="1" applyFont="1" applyBorder="1" applyAlignment="1">
      <alignment horizontal="center" vertical="center"/>
    </xf>
    <xf numFmtId="167" fontId="8" fillId="0" borderId="0" xfId="0" applyNumberFormat="1" applyFont="1" applyFill="1" applyBorder="1" applyAlignment="1">
      <alignment horizontal="center" vertical="center"/>
    </xf>
    <xf numFmtId="170" fontId="7" fillId="0" borderId="0" xfId="0" applyNumberFormat="1" applyFont="1" applyBorder="1" applyAlignment="1">
      <alignment vertical="center"/>
    </xf>
    <xf numFmtId="9" fontId="8" fillId="0" borderId="3" xfId="0" applyNumberFormat="1" applyFont="1" applyBorder="1" applyAlignment="1">
      <alignment horizontal="center" vertical="center"/>
    </xf>
    <xf numFmtId="0" fontId="7" fillId="0" borderId="13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12" fillId="0" borderId="11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170" fontId="12" fillId="0" borderId="0" xfId="0" applyNumberFormat="1" applyFont="1" applyBorder="1" applyAlignment="1">
      <alignment horizontal="center" vertical="center"/>
    </xf>
    <xf numFmtId="0" fontId="7" fillId="0" borderId="23" xfId="0" applyFont="1" applyBorder="1" applyAlignment="1">
      <alignment vertical="center"/>
    </xf>
    <xf numFmtId="0" fontId="7" fillId="0" borderId="24" xfId="0" applyFont="1" applyBorder="1" applyAlignment="1">
      <alignment vertical="center"/>
    </xf>
    <xf numFmtId="0" fontId="14" fillId="0" borderId="25" xfId="0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7" fillId="0" borderId="22" xfId="0" applyFont="1" applyBorder="1" applyAlignment="1">
      <alignment horizontal="right" vertical="center"/>
    </xf>
    <xf numFmtId="3" fontId="7" fillId="0" borderId="4" xfId="0" applyNumberFormat="1" applyFont="1" applyBorder="1" applyAlignment="1">
      <alignment horizontal="center" vertical="center"/>
    </xf>
    <xf numFmtId="3" fontId="7" fillId="0" borderId="2" xfId="0" applyNumberFormat="1" applyFont="1" applyFill="1" applyBorder="1" applyAlignment="1">
      <alignment horizontal="center" vertical="center"/>
    </xf>
    <xf numFmtId="3" fontId="7" fillId="0" borderId="18" xfId="0" applyNumberFormat="1" applyFont="1" applyFill="1" applyBorder="1" applyAlignment="1">
      <alignment horizontal="center" vertical="center"/>
    </xf>
    <xf numFmtId="3" fontId="8" fillId="3" borderId="3" xfId="0" applyNumberFormat="1" applyFont="1" applyFill="1" applyBorder="1" applyAlignment="1">
      <alignment horizontal="right" vertical="center"/>
    </xf>
    <xf numFmtId="0" fontId="12" fillId="0" borderId="11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2" fillId="0" borderId="10" xfId="0" applyFont="1" applyBorder="1" applyAlignment="1">
      <alignment horizontal="left" vertical="top" wrapText="1"/>
    </xf>
    <xf numFmtId="0" fontId="12" fillId="0" borderId="11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 wrapText="1"/>
    </xf>
    <xf numFmtId="0" fontId="12" fillId="0" borderId="12" xfId="0" applyFont="1" applyBorder="1" applyAlignment="1">
      <alignment horizontal="left" vertical="top" wrapText="1"/>
    </xf>
    <xf numFmtId="0" fontId="12" fillId="0" borderId="13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12" fillId="0" borderId="14" xfId="0" applyFont="1" applyBorder="1" applyAlignment="1">
      <alignment horizontal="left" vertical="top" wrapText="1"/>
    </xf>
    <xf numFmtId="166" fontId="8" fillId="0" borderId="3" xfId="0" applyNumberFormat="1" applyFont="1" applyBorder="1" applyAlignment="1">
      <alignment horizontal="right" vertical="center"/>
    </xf>
    <xf numFmtId="3" fontId="8" fillId="5" borderId="3" xfId="0" applyNumberFormat="1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3" fontId="8" fillId="5" borderId="3" xfId="0" applyNumberFormat="1" applyFont="1" applyFill="1" applyBorder="1" applyAlignment="1">
      <alignment horizontal="right" vertical="center"/>
    </xf>
    <xf numFmtId="0" fontId="8" fillId="0" borderId="7" xfId="0" applyFont="1" applyFill="1" applyBorder="1" applyAlignment="1">
      <alignment horizontal="left" vertical="center"/>
    </xf>
    <xf numFmtId="3" fontId="7" fillId="0" borderId="7" xfId="0" applyNumberFormat="1" applyFont="1" applyFill="1" applyBorder="1" applyAlignment="1">
      <alignment horizontal="center" vertical="center"/>
    </xf>
    <xf numFmtId="3" fontId="7" fillId="0" borderId="5" xfId="0" applyNumberFormat="1" applyFont="1" applyFill="1" applyBorder="1" applyAlignment="1">
      <alignment horizontal="center" vertical="center"/>
    </xf>
    <xf numFmtId="3" fontId="7" fillId="0" borderId="17" xfId="0" applyNumberFormat="1" applyFont="1" applyFill="1" applyBorder="1" applyAlignment="1">
      <alignment horizontal="center" vertical="center"/>
    </xf>
    <xf numFmtId="3" fontId="8" fillId="0" borderId="0" xfId="0" applyNumberFormat="1" applyFont="1" applyBorder="1" applyAlignment="1">
      <alignment horizontal="right" vertical="center"/>
    </xf>
    <xf numFmtId="3" fontId="8" fillId="3" borderId="3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3" fontId="8" fillId="0" borderId="7" xfId="0" applyNumberFormat="1" applyFont="1" applyFill="1" applyBorder="1" applyAlignment="1">
      <alignment horizontal="righ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9" fillId="0" borderId="19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3" fontId="9" fillId="0" borderId="7" xfId="0" applyNumberFormat="1" applyFont="1" applyBorder="1" applyAlignment="1">
      <alignment horizontal="right" vertical="center"/>
    </xf>
    <xf numFmtId="2" fontId="8" fillId="0" borderId="21" xfId="0" applyNumberFormat="1" applyFont="1" applyBorder="1" applyAlignment="1">
      <alignment horizontal="justify" vertical="top" wrapText="1"/>
    </xf>
    <xf numFmtId="2" fontId="8" fillId="0" borderId="4" xfId="0" applyNumberFormat="1" applyFont="1" applyBorder="1" applyAlignment="1">
      <alignment horizontal="justify" vertical="top" wrapText="1"/>
    </xf>
    <xf numFmtId="2" fontId="8" fillId="0" borderId="6" xfId="0" applyNumberFormat="1" applyFont="1" applyBorder="1" applyAlignment="1">
      <alignment horizontal="justify" vertical="top" wrapText="1"/>
    </xf>
    <xf numFmtId="3" fontId="8" fillId="0" borderId="7" xfId="0" applyNumberFormat="1" applyFont="1" applyBorder="1" applyAlignment="1">
      <alignment horizontal="right" vertical="center"/>
    </xf>
    <xf numFmtId="3" fontId="8" fillId="0" borderId="7" xfId="0" applyNumberFormat="1" applyFont="1" applyBorder="1" applyAlignment="1">
      <alignment horizontal="right"/>
    </xf>
    <xf numFmtId="0" fontId="8" fillId="0" borderId="19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168" fontId="8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3" fontId="7" fillId="4" borderId="4" xfId="0" applyNumberFormat="1" applyFont="1" applyFill="1" applyBorder="1" applyAlignment="1">
      <alignment horizontal="center" vertical="center"/>
    </xf>
    <xf numFmtId="3" fontId="7" fillId="4" borderId="2" xfId="0" applyNumberFormat="1" applyFont="1" applyFill="1" applyBorder="1" applyAlignment="1">
      <alignment horizontal="center" vertical="center"/>
    </xf>
    <xf numFmtId="3" fontId="7" fillId="4" borderId="18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3" fontId="8" fillId="4" borderId="2" xfId="0" applyNumberFormat="1" applyFont="1" applyFill="1" applyBorder="1" applyAlignment="1">
      <alignment horizontal="right" vertical="center"/>
    </xf>
    <xf numFmtId="3" fontId="8" fillId="0" borderId="4" xfId="0" applyNumberFormat="1" applyFont="1" applyFill="1" applyBorder="1" applyAlignment="1">
      <alignment horizontal="center" vertical="center"/>
    </xf>
    <xf numFmtId="3" fontId="8" fillId="0" borderId="3" xfId="0" applyNumberFormat="1" applyFont="1" applyFill="1" applyBorder="1" applyAlignment="1">
      <alignment horizontal="center" vertical="center"/>
    </xf>
    <xf numFmtId="3" fontId="8" fillId="2" borderId="2" xfId="0" applyNumberFormat="1" applyFont="1" applyFill="1" applyBorder="1" applyAlignment="1">
      <alignment horizontal="center" vertical="center"/>
    </xf>
    <xf numFmtId="3" fontId="8" fillId="2" borderId="4" xfId="0" applyNumberFormat="1" applyFont="1" applyFill="1" applyBorder="1" applyAlignment="1">
      <alignment horizontal="center" vertical="center"/>
    </xf>
    <xf numFmtId="3" fontId="8" fillId="4" borderId="2" xfId="0" applyNumberFormat="1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3" fontId="8" fillId="4" borderId="5" xfId="0" applyNumberFormat="1" applyFont="1" applyFill="1" applyBorder="1" applyAlignment="1">
      <alignment horizontal="center" vertical="center"/>
    </xf>
    <xf numFmtId="3" fontId="8" fillId="4" borderId="4" xfId="0" applyNumberFormat="1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165" fontId="8" fillId="0" borderId="0" xfId="1" applyFont="1" applyBorder="1" applyAlignment="1">
      <alignment horizontal="center" vertical="center" wrapText="1"/>
    </xf>
    <xf numFmtId="3" fontId="8" fillId="0" borderId="2" xfId="0" applyNumberFormat="1" applyFont="1" applyFill="1" applyBorder="1" applyAlignment="1">
      <alignment horizontal="center" vertical="center"/>
    </xf>
    <xf numFmtId="169" fontId="8" fillId="2" borderId="5" xfId="0" applyNumberFormat="1" applyFont="1" applyFill="1" applyBorder="1" applyAlignment="1">
      <alignment horizontal="center" vertical="center"/>
    </xf>
    <xf numFmtId="169" fontId="8" fillId="2" borderId="4" xfId="0" applyNumberFormat="1" applyFont="1" applyFill="1" applyBorder="1" applyAlignment="1">
      <alignment horizontal="center" vertical="center"/>
    </xf>
    <xf numFmtId="169" fontId="8" fillId="2" borderId="17" xfId="0" applyNumberFormat="1" applyFont="1" applyFill="1" applyBorder="1" applyAlignment="1">
      <alignment horizontal="center" vertical="center"/>
    </xf>
  </cellXfs>
  <cellStyles count="13">
    <cellStyle name="Currency 2" xfId="4"/>
    <cellStyle name="Euro" xfId="8"/>
    <cellStyle name="Millares" xfId="1" builtinId="3"/>
    <cellStyle name="Moneda 2" xfId="7"/>
    <cellStyle name="Normal" xfId="0" builtinId="0"/>
    <cellStyle name="Normal 2" xfId="3"/>
    <cellStyle name="Normal 2 2" xfId="6"/>
    <cellStyle name="Normal 2 3" xfId="9"/>
    <cellStyle name="Normal 2 4" xfId="5"/>
    <cellStyle name="Normal 2 5" xfId="12"/>
    <cellStyle name="Normal 3" xfId="10"/>
    <cellStyle name="Normal 4" xfId="11"/>
    <cellStyle name="Porcentaje" xfId="2" builtinId="5"/>
  </cellStyles>
  <dxfs count="0"/>
  <tableStyles count="0" defaultTableStyle="TableStyleMedium9" defaultPivotStyle="PivotStyleLight16"/>
  <colors>
    <mruColors>
      <color rgb="FFBF17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356153</xdr:colOff>
      <xdr:row>3</xdr:row>
      <xdr:rowOff>14163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796" r="8796"/>
        <a:stretch/>
      </xdr:blipFill>
      <xdr:spPr bwMode="auto">
        <a:xfrm>
          <a:off x="0" y="0"/>
          <a:ext cx="1830457" cy="709902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129"/>
  <sheetViews>
    <sheetView tabSelected="1" zoomScale="115" zoomScaleNormal="115" zoomScaleSheetLayoutView="130" workbookViewId="0">
      <selection activeCell="C128" sqref="C128"/>
    </sheetView>
  </sheetViews>
  <sheetFormatPr baseColWidth="10" defaultColWidth="11.42578125" defaultRowHeight="10.5" x14ac:dyDescent="0.2"/>
  <cols>
    <col min="1" max="1" width="4.7109375" style="9" customWidth="1"/>
    <col min="2" max="2" width="6.5703125" style="9" customWidth="1"/>
    <col min="3" max="3" width="10.85546875" style="9" customWidth="1"/>
    <col min="4" max="4" width="9.7109375" style="9" customWidth="1"/>
    <col min="5" max="5" width="11.85546875" style="9" customWidth="1"/>
    <col min="6" max="6" width="0.85546875" style="9" customWidth="1"/>
    <col min="7" max="7" width="6.5703125" style="9" customWidth="1"/>
    <col min="8" max="8" width="0.85546875" style="9" customWidth="1"/>
    <col min="9" max="9" width="9.140625" style="9" customWidth="1"/>
    <col min="10" max="10" width="0.85546875" style="9" customWidth="1"/>
    <col min="11" max="11" width="9" style="9" bestFit="1" customWidth="1"/>
    <col min="12" max="12" width="0.85546875" style="9" customWidth="1"/>
    <col min="13" max="13" width="10.140625" style="9" customWidth="1"/>
    <col min="14" max="14" width="7.42578125" style="9" bestFit="1" customWidth="1"/>
    <col min="15" max="15" width="0.85546875" style="9" customWidth="1"/>
    <col min="16" max="16" width="9" style="9" customWidth="1"/>
    <col min="17" max="17" width="6.5703125" style="9" customWidth="1"/>
    <col min="18" max="18" width="0.85546875" style="9" customWidth="1"/>
    <col min="19" max="19" width="9" style="9" customWidth="1"/>
    <col min="20" max="20" width="6.5703125" style="9" customWidth="1"/>
    <col min="21" max="21" width="0.85546875" style="9" customWidth="1"/>
    <col min="22" max="23" width="6.5703125" style="9" customWidth="1"/>
    <col min="24" max="24" width="13.7109375" style="9" customWidth="1"/>
    <col min="25" max="25" width="12.28515625" style="9" customWidth="1"/>
    <col min="26" max="26" width="14.42578125" style="9" customWidth="1"/>
    <col min="27" max="42" width="6.28515625" style="9" customWidth="1"/>
    <col min="43" max="70" width="5.7109375" style="9" customWidth="1"/>
    <col min="71" max="16384" width="11.42578125" style="9"/>
  </cols>
  <sheetData>
    <row r="1" spans="1:25" ht="18" customHeight="1" x14ac:dyDescent="0.2">
      <c r="A1" s="102"/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</row>
    <row r="2" spans="1:25" ht="18" customHeight="1" x14ac:dyDescent="0.2">
      <c r="A2" s="103" t="s">
        <v>111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</row>
    <row r="3" spans="1:25" ht="18" customHeight="1" x14ac:dyDescent="0.2">
      <c r="A3" s="104" t="s">
        <v>112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</row>
    <row r="4" spans="1:25" x14ac:dyDescent="0.2">
      <c r="A4" s="100" t="s">
        <v>110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99"/>
    </row>
    <row r="5" spans="1:25" ht="3.75" customHeight="1" x14ac:dyDescent="0.2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5"/>
      <c r="X5" s="101"/>
    </row>
    <row r="6" spans="1:25" ht="5.25" customHeight="1" x14ac:dyDescent="0.2">
      <c r="A6" s="16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</row>
    <row r="7" spans="1:25" ht="10.5" customHeight="1" x14ac:dyDescent="0.2">
      <c r="A7" s="109" t="s">
        <v>43</v>
      </c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1"/>
    </row>
    <row r="8" spans="1:25" ht="3.75" customHeight="1" x14ac:dyDescent="0.2">
      <c r="A8" s="94"/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6"/>
    </row>
    <row r="9" spans="1:25" x14ac:dyDescent="0.2">
      <c r="A9" s="16" t="s">
        <v>9</v>
      </c>
      <c r="B9" s="11"/>
      <c r="C9" s="17" t="s">
        <v>106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9"/>
      <c r="Q9" s="11"/>
      <c r="R9" s="11"/>
      <c r="S9" s="11" t="s">
        <v>0</v>
      </c>
      <c r="T9" s="172">
        <v>41275</v>
      </c>
      <c r="U9" s="173"/>
      <c r="V9" s="173"/>
      <c r="W9" s="174"/>
    </row>
    <row r="10" spans="1:25" ht="3.75" customHeight="1" x14ac:dyDescent="0.2">
      <c r="A10" s="1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</row>
    <row r="11" spans="1:25" ht="12.75" customHeight="1" x14ac:dyDescent="0.2">
      <c r="A11" s="16"/>
      <c r="B11" s="11"/>
      <c r="C11" s="11"/>
      <c r="D11" s="11"/>
      <c r="E11" s="11"/>
      <c r="F11" s="11"/>
      <c r="G11" s="153" t="s">
        <v>7</v>
      </c>
      <c r="H11" s="153"/>
      <c r="I11" s="153"/>
      <c r="J11" s="11"/>
      <c r="K11" s="11"/>
      <c r="L11" s="20"/>
      <c r="M11" s="153" t="s">
        <v>2</v>
      </c>
      <c r="N11" s="153"/>
      <c r="O11" s="11"/>
      <c r="P11" s="11"/>
      <c r="Q11" s="11"/>
      <c r="R11" s="20"/>
      <c r="S11" s="11"/>
      <c r="T11" s="11"/>
      <c r="U11" s="11"/>
      <c r="V11" s="11"/>
      <c r="W11" s="12"/>
    </row>
    <row r="12" spans="1:25" x14ac:dyDescent="0.2">
      <c r="A12" s="16"/>
      <c r="B12" s="11"/>
      <c r="C12" s="11" t="s">
        <v>10</v>
      </c>
      <c r="D12" s="11"/>
      <c r="E12" s="11"/>
      <c r="F12" s="11"/>
      <c r="G12" s="163">
        <v>0</v>
      </c>
      <c r="H12" s="163"/>
      <c r="I12" s="163"/>
      <c r="J12" s="21"/>
      <c r="K12" s="21"/>
      <c r="L12" s="21">
        <f>G12/1.16</f>
        <v>0</v>
      </c>
      <c r="M12" s="163">
        <f>G12/1.16</f>
        <v>0</v>
      </c>
      <c r="N12" s="163"/>
      <c r="O12" s="11"/>
      <c r="P12" s="11"/>
      <c r="Q12" s="153" t="s">
        <v>44</v>
      </c>
      <c r="R12" s="153"/>
      <c r="S12" s="153"/>
      <c r="T12" s="153"/>
      <c r="U12" s="11"/>
      <c r="V12" s="11"/>
      <c r="W12" s="12"/>
    </row>
    <row r="13" spans="1:25" x14ac:dyDescent="0.2">
      <c r="A13" s="16"/>
      <c r="B13" s="11"/>
      <c r="C13" s="11" t="s">
        <v>11</v>
      </c>
      <c r="D13" s="11"/>
      <c r="E13" s="22"/>
      <c r="F13" s="11"/>
      <c r="G13" s="165">
        <f>G12*S13</f>
        <v>0</v>
      </c>
      <c r="H13" s="165"/>
      <c r="I13" s="165"/>
      <c r="J13" s="21"/>
      <c r="K13" s="21"/>
      <c r="L13" s="21">
        <f>G13/1.16</f>
        <v>0</v>
      </c>
      <c r="M13" s="165">
        <f>G13/1.16</f>
        <v>0</v>
      </c>
      <c r="N13" s="165"/>
      <c r="O13" s="11"/>
      <c r="P13" s="23"/>
      <c r="Q13" s="24"/>
      <c r="R13" s="24">
        <v>90</v>
      </c>
      <c r="S13" s="25">
        <v>1</v>
      </c>
      <c r="T13" s="11"/>
      <c r="U13" s="26"/>
      <c r="V13" s="27"/>
      <c r="W13" s="12"/>
      <c r="Y13" s="28"/>
    </row>
    <row r="14" spans="1:25" x14ac:dyDescent="0.2">
      <c r="A14" s="16"/>
      <c r="B14" s="11"/>
      <c r="C14" s="11"/>
      <c r="D14" s="11"/>
      <c r="E14" s="22"/>
      <c r="F14" s="11"/>
      <c r="G14" s="24"/>
      <c r="H14" s="24"/>
      <c r="I14" s="24"/>
      <c r="J14" s="21"/>
      <c r="K14" s="21"/>
      <c r="L14" s="21"/>
      <c r="M14" s="24"/>
      <c r="N14" s="24"/>
      <c r="O14" s="11"/>
      <c r="P14" s="23"/>
      <c r="Q14" s="24"/>
      <c r="R14" s="24"/>
      <c r="S14" s="29"/>
      <c r="T14" s="11"/>
      <c r="U14" s="26"/>
      <c r="V14" s="27"/>
      <c r="W14" s="12"/>
    </row>
    <row r="15" spans="1:25" ht="12.75" customHeight="1" x14ac:dyDescent="0.2">
      <c r="A15" s="16"/>
      <c r="B15" s="11"/>
      <c r="C15" s="11"/>
      <c r="D15" s="11"/>
      <c r="E15" s="30"/>
      <c r="F15" s="11"/>
      <c r="G15" s="171" t="s">
        <v>7</v>
      </c>
      <c r="H15" s="171"/>
      <c r="I15" s="171"/>
      <c r="J15" s="29"/>
      <c r="K15" s="29"/>
      <c r="L15" s="31"/>
      <c r="M15" s="171" t="s">
        <v>2</v>
      </c>
      <c r="N15" s="171"/>
      <c r="O15" s="11"/>
      <c r="P15" s="11"/>
      <c r="Q15" s="11"/>
      <c r="R15" s="20"/>
      <c r="S15" s="11"/>
      <c r="T15" s="11"/>
      <c r="U15" s="11"/>
      <c r="V15" s="11"/>
      <c r="W15" s="12"/>
    </row>
    <row r="16" spans="1:25" x14ac:dyDescent="0.2">
      <c r="A16" s="16"/>
      <c r="B16" s="11"/>
      <c r="C16" s="11" t="s">
        <v>96</v>
      </c>
      <c r="D16" s="11"/>
      <c r="E16" s="11"/>
      <c r="F16" s="11"/>
      <c r="G16" s="163">
        <v>0</v>
      </c>
      <c r="H16" s="163"/>
      <c r="I16" s="163"/>
      <c r="J16" s="21"/>
      <c r="K16" s="21"/>
      <c r="L16" s="21"/>
      <c r="M16" s="163">
        <f>G16/1.16</f>
        <v>0</v>
      </c>
      <c r="N16" s="163"/>
      <c r="O16" s="11"/>
      <c r="P16" s="23"/>
      <c r="Q16" s="27"/>
      <c r="R16" s="27"/>
      <c r="S16" s="153" t="s">
        <v>97</v>
      </c>
      <c r="T16" s="153"/>
      <c r="U16" s="153"/>
      <c r="V16" s="153"/>
      <c r="W16" s="166"/>
    </row>
    <row r="17" spans="1:23" x14ac:dyDescent="0.2">
      <c r="A17" s="16"/>
      <c r="B17" s="11"/>
      <c r="C17" s="11" t="s">
        <v>98</v>
      </c>
      <c r="D17" s="11"/>
      <c r="E17" s="11"/>
      <c r="F17" s="11"/>
      <c r="G17" s="11"/>
      <c r="H17" s="11"/>
      <c r="I17" s="11"/>
      <c r="J17" s="21"/>
      <c r="K17" s="32"/>
      <c r="L17" s="21"/>
      <c r="M17" s="165">
        <f>+M16*(1-S17)</f>
        <v>0</v>
      </c>
      <c r="N17" s="165"/>
      <c r="O17" s="165"/>
      <c r="P17" s="23"/>
      <c r="Q17" s="24"/>
      <c r="R17" s="24">
        <v>90</v>
      </c>
      <c r="S17" s="33">
        <v>0</v>
      </c>
      <c r="T17" s="11"/>
      <c r="U17" s="167">
        <v>0</v>
      </c>
      <c r="V17" s="168"/>
      <c r="W17" s="169"/>
    </row>
    <row r="18" spans="1:23" ht="3.75" customHeight="1" x14ac:dyDescent="0.2">
      <c r="A18" s="16"/>
      <c r="B18" s="11"/>
      <c r="C18" s="11"/>
      <c r="D18" s="11"/>
      <c r="E18" s="11"/>
      <c r="F18" s="11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9"/>
      <c r="T18" s="26"/>
      <c r="U18" s="26"/>
      <c r="V18" s="27"/>
      <c r="W18" s="12"/>
    </row>
    <row r="19" spans="1:23" ht="12.75" customHeight="1" x14ac:dyDescent="0.2">
      <c r="A19" s="16"/>
      <c r="B19" s="11"/>
      <c r="C19" s="11"/>
      <c r="D19" s="11"/>
      <c r="E19" s="11"/>
      <c r="F19" s="11"/>
      <c r="G19" s="153" t="s">
        <v>6</v>
      </c>
      <c r="H19" s="153"/>
      <c r="I19" s="153"/>
      <c r="J19" s="153"/>
      <c r="K19" s="153"/>
      <c r="L19" s="153"/>
      <c r="M19" s="153"/>
      <c r="N19" s="153"/>
      <c r="O19" s="20"/>
      <c r="P19" s="11"/>
      <c r="Q19" s="11"/>
      <c r="R19" s="11"/>
      <c r="S19" s="11"/>
      <c r="T19" s="11"/>
      <c r="U19" s="11"/>
      <c r="V19" s="11"/>
      <c r="W19" s="12"/>
    </row>
    <row r="20" spans="1:23" ht="12.75" customHeight="1" x14ac:dyDescent="0.2">
      <c r="A20" s="10" t="s">
        <v>12</v>
      </c>
      <c r="B20" s="11"/>
      <c r="C20" s="11"/>
      <c r="D20" s="11"/>
      <c r="E20" s="11"/>
      <c r="F20" s="11"/>
      <c r="G20" s="153" t="s">
        <v>1</v>
      </c>
      <c r="H20" s="153"/>
      <c r="I20" s="153"/>
      <c r="J20" s="20"/>
      <c r="K20" s="23" t="s">
        <v>65</v>
      </c>
      <c r="L20" s="153" t="s">
        <v>14</v>
      </c>
      <c r="M20" s="153"/>
      <c r="N20" s="153"/>
      <c r="O20" s="153"/>
      <c r="P20" s="11"/>
      <c r="Q20" s="11"/>
      <c r="R20" s="11"/>
      <c r="S20" s="170" t="s">
        <v>79</v>
      </c>
      <c r="T20" s="170"/>
      <c r="U20" s="11"/>
      <c r="V20" s="11"/>
      <c r="W20" s="12"/>
    </row>
    <row r="21" spans="1:23" ht="12.75" customHeight="1" x14ac:dyDescent="0.2">
      <c r="A21" s="16"/>
      <c r="B21" s="11" t="s">
        <v>13</v>
      </c>
      <c r="C21" s="11"/>
      <c r="D21" s="11"/>
      <c r="E21" s="11"/>
      <c r="F21" s="11"/>
      <c r="G21" s="163">
        <v>0</v>
      </c>
      <c r="H21" s="163"/>
      <c r="I21" s="163"/>
      <c r="J21" s="24"/>
      <c r="K21" s="34"/>
      <c r="L21" s="35"/>
      <c r="M21" s="163">
        <v>0</v>
      </c>
      <c r="N21" s="163"/>
      <c r="O21" s="24"/>
      <c r="P21" s="11"/>
      <c r="Q21" s="27"/>
      <c r="R21" s="27"/>
      <c r="S21" s="170"/>
      <c r="T21" s="170"/>
      <c r="U21" s="27"/>
      <c r="V21" s="27"/>
      <c r="W21" s="12"/>
    </row>
    <row r="22" spans="1:23" ht="13.5" customHeight="1" x14ac:dyDescent="0.2">
      <c r="A22" s="16"/>
      <c r="B22" s="11" t="s">
        <v>59</v>
      </c>
      <c r="C22" s="11"/>
      <c r="D22" s="11"/>
      <c r="E22" s="11"/>
      <c r="F22" s="11"/>
      <c r="G22" s="164">
        <v>0</v>
      </c>
      <c r="H22" s="164"/>
      <c r="I22" s="164"/>
      <c r="J22" s="24"/>
      <c r="K22" s="34"/>
      <c r="L22" s="35"/>
      <c r="M22" s="163">
        <v>0</v>
      </c>
      <c r="N22" s="163"/>
      <c r="O22" s="24"/>
      <c r="P22" s="11"/>
      <c r="Q22" s="11"/>
      <c r="R22" s="20"/>
      <c r="S22" s="11"/>
      <c r="T22" s="11"/>
      <c r="U22" s="20"/>
      <c r="V22" s="11"/>
      <c r="W22" s="12"/>
    </row>
    <row r="23" spans="1:23" ht="12.75" customHeight="1" x14ac:dyDescent="0.2">
      <c r="A23" s="16"/>
      <c r="B23" s="11" t="s">
        <v>77</v>
      </c>
      <c r="C23" s="11"/>
      <c r="D23" s="11"/>
      <c r="E23" s="11"/>
      <c r="F23" s="11"/>
      <c r="G23" s="164">
        <v>0</v>
      </c>
      <c r="H23" s="164"/>
      <c r="I23" s="164"/>
      <c r="J23" s="24"/>
      <c r="K23" s="34"/>
      <c r="L23" s="35"/>
      <c r="M23" s="163">
        <v>0</v>
      </c>
      <c r="N23" s="163"/>
      <c r="O23" s="24"/>
      <c r="P23" s="11"/>
      <c r="Q23" s="11"/>
      <c r="R23" s="11"/>
      <c r="S23" s="165" t="e">
        <f>M13/S32</f>
        <v>#DIV/0!</v>
      </c>
      <c r="T23" s="165"/>
      <c r="U23" s="11"/>
      <c r="V23" s="11"/>
      <c r="W23" s="12"/>
    </row>
    <row r="24" spans="1:23" ht="12.75" customHeight="1" x14ac:dyDescent="0.2">
      <c r="A24" s="16"/>
      <c r="B24" s="11" t="s">
        <v>61</v>
      </c>
      <c r="C24" s="11"/>
      <c r="D24" s="11"/>
      <c r="E24" s="11"/>
      <c r="F24" s="11"/>
      <c r="G24" s="164">
        <v>0</v>
      </c>
      <c r="H24" s="164"/>
      <c r="I24" s="164"/>
      <c r="J24" s="24"/>
      <c r="K24" s="34"/>
      <c r="L24" s="35"/>
      <c r="M24" s="163">
        <v>0</v>
      </c>
      <c r="N24" s="163"/>
      <c r="O24" s="24"/>
      <c r="P24" s="11"/>
      <c r="Q24" s="11"/>
      <c r="R24" s="11"/>
      <c r="S24" s="11"/>
      <c r="T24" s="11"/>
      <c r="U24" s="11"/>
      <c r="V24" s="11"/>
      <c r="W24" s="12"/>
    </row>
    <row r="25" spans="1:23" ht="13.5" customHeight="1" x14ac:dyDescent="0.2">
      <c r="A25" s="16"/>
      <c r="B25" s="11" t="s">
        <v>62</v>
      </c>
      <c r="C25" s="11"/>
      <c r="D25" s="11"/>
      <c r="E25" s="11"/>
      <c r="F25" s="11"/>
      <c r="G25" s="164">
        <v>0</v>
      </c>
      <c r="H25" s="164"/>
      <c r="I25" s="164"/>
      <c r="J25" s="24"/>
      <c r="K25" s="34"/>
      <c r="L25" s="35"/>
      <c r="M25" s="163">
        <v>0</v>
      </c>
      <c r="N25" s="163"/>
      <c r="O25" s="24"/>
      <c r="P25" s="11"/>
      <c r="Q25" s="11"/>
      <c r="R25" s="11"/>
      <c r="S25" s="112" t="s">
        <v>78</v>
      </c>
      <c r="T25" s="112"/>
      <c r="U25" s="11"/>
      <c r="V25" s="11"/>
      <c r="W25" s="12"/>
    </row>
    <row r="26" spans="1:23" ht="12.75" customHeight="1" x14ac:dyDescent="0.2">
      <c r="A26" s="16"/>
      <c r="B26" s="11" t="s">
        <v>102</v>
      </c>
      <c r="C26" s="11"/>
      <c r="D26" s="11"/>
      <c r="E26" s="11"/>
      <c r="F26" s="11"/>
      <c r="G26" s="164">
        <v>0</v>
      </c>
      <c r="H26" s="164"/>
      <c r="I26" s="164"/>
      <c r="J26" s="24"/>
      <c r="K26" s="34"/>
      <c r="L26" s="35"/>
      <c r="M26" s="163">
        <v>0</v>
      </c>
      <c r="N26" s="163"/>
      <c r="O26" s="24"/>
      <c r="P26" s="11"/>
      <c r="Q26" s="11"/>
      <c r="R26" s="11"/>
      <c r="S26" s="112"/>
      <c r="T26" s="112"/>
      <c r="U26" s="11"/>
      <c r="V26" s="11"/>
      <c r="W26" s="12"/>
    </row>
    <row r="27" spans="1:23" ht="12.75" customHeight="1" x14ac:dyDescent="0.2">
      <c r="A27" s="16"/>
      <c r="B27" s="11" t="s">
        <v>103</v>
      </c>
      <c r="C27" s="11"/>
      <c r="D27" s="11"/>
      <c r="E27" s="11"/>
      <c r="F27" s="11"/>
      <c r="G27" s="164">
        <v>0</v>
      </c>
      <c r="H27" s="164"/>
      <c r="I27" s="164"/>
      <c r="J27" s="24"/>
      <c r="K27" s="34"/>
      <c r="L27" s="35"/>
      <c r="M27" s="163">
        <v>0</v>
      </c>
      <c r="N27" s="163"/>
      <c r="O27" s="24"/>
      <c r="P27" s="11"/>
      <c r="Q27" s="11"/>
      <c r="R27" s="11"/>
      <c r="S27" s="112"/>
      <c r="T27" s="112"/>
      <c r="U27" s="11"/>
      <c r="V27" s="11"/>
      <c r="W27" s="12"/>
    </row>
    <row r="28" spans="1:23" ht="12.75" customHeight="1" x14ac:dyDescent="0.2">
      <c r="A28" s="16"/>
      <c r="B28" s="11" t="s">
        <v>63</v>
      </c>
      <c r="C28" s="11"/>
      <c r="D28" s="11"/>
      <c r="E28" s="11"/>
      <c r="F28" s="11"/>
      <c r="G28" s="164">
        <v>0</v>
      </c>
      <c r="H28" s="164"/>
      <c r="I28" s="164"/>
      <c r="J28" s="24"/>
      <c r="K28" s="34"/>
      <c r="L28" s="35"/>
      <c r="M28" s="163">
        <v>0</v>
      </c>
      <c r="N28" s="163"/>
      <c r="O28" s="24"/>
      <c r="P28" s="11"/>
      <c r="Q28" s="11"/>
      <c r="R28" s="11"/>
      <c r="S28" s="112"/>
      <c r="T28" s="112"/>
      <c r="U28" s="11"/>
      <c r="V28" s="11"/>
      <c r="W28" s="12"/>
    </row>
    <row r="29" spans="1:23" ht="13.5" customHeight="1" x14ac:dyDescent="0.2">
      <c r="A29" s="16"/>
      <c r="B29" s="11" t="s">
        <v>4</v>
      </c>
      <c r="C29" s="11"/>
      <c r="D29" s="11"/>
      <c r="E29" s="11"/>
      <c r="F29" s="11"/>
      <c r="G29" s="164">
        <v>0</v>
      </c>
      <c r="H29" s="164"/>
      <c r="I29" s="164"/>
      <c r="J29" s="24"/>
      <c r="K29" s="34"/>
      <c r="L29" s="35"/>
      <c r="M29" s="163">
        <v>0</v>
      </c>
      <c r="N29" s="163"/>
      <c r="O29" s="24"/>
      <c r="P29" s="11"/>
      <c r="Q29" s="11"/>
      <c r="R29" s="11"/>
      <c r="S29" s="112"/>
      <c r="T29" s="112"/>
      <c r="U29" s="11"/>
      <c r="V29" s="11"/>
      <c r="W29" s="12"/>
    </row>
    <row r="30" spans="1:23" ht="12.75" customHeight="1" x14ac:dyDescent="0.2">
      <c r="A30" s="16"/>
      <c r="B30" s="11" t="s">
        <v>113</v>
      </c>
      <c r="C30" s="11"/>
      <c r="D30" s="11"/>
      <c r="E30" s="11"/>
      <c r="F30" s="11"/>
      <c r="G30" s="164">
        <v>0</v>
      </c>
      <c r="H30" s="164"/>
      <c r="I30" s="164"/>
      <c r="J30" s="24"/>
      <c r="K30" s="34"/>
      <c r="L30" s="35"/>
      <c r="M30" s="163">
        <v>0</v>
      </c>
      <c r="N30" s="163"/>
      <c r="O30" s="24"/>
      <c r="P30" s="11"/>
      <c r="Q30" s="11"/>
      <c r="R30" s="11"/>
      <c r="S30" s="165" t="e">
        <f>S23/D36*12</f>
        <v>#DIV/0!</v>
      </c>
      <c r="T30" s="165"/>
      <c r="U30" s="11"/>
      <c r="V30" s="11"/>
      <c r="W30" s="12"/>
    </row>
    <row r="31" spans="1:23" ht="12.75" customHeight="1" x14ac:dyDescent="0.2">
      <c r="A31" s="16"/>
      <c r="B31" s="11" t="s">
        <v>114</v>
      </c>
      <c r="C31" s="11"/>
      <c r="D31" s="11"/>
      <c r="E31" s="11"/>
      <c r="F31" s="11"/>
      <c r="G31" s="164">
        <v>0</v>
      </c>
      <c r="H31" s="164"/>
      <c r="I31" s="164"/>
      <c r="J31" s="24"/>
      <c r="K31" s="34"/>
      <c r="L31" s="35"/>
      <c r="M31" s="163">
        <v>0</v>
      </c>
      <c r="N31" s="163"/>
      <c r="O31" s="24"/>
      <c r="P31" s="11"/>
      <c r="Q31" s="11"/>
      <c r="R31" s="11"/>
      <c r="S31" s="11"/>
      <c r="T31" s="11"/>
      <c r="U31" s="11"/>
      <c r="V31" s="11"/>
      <c r="W31" s="12"/>
    </row>
    <row r="32" spans="1:23" ht="12.75" customHeight="1" thickBot="1" x14ac:dyDescent="0.25">
      <c r="A32" s="16"/>
      <c r="B32" s="27" t="s">
        <v>45</v>
      </c>
      <c r="C32" s="11"/>
      <c r="D32" s="11"/>
      <c r="E32" s="11"/>
      <c r="F32" s="11"/>
      <c r="G32" s="161">
        <f>SUM(G21:I31)</f>
        <v>0</v>
      </c>
      <c r="H32" s="161"/>
      <c r="I32" s="161"/>
      <c r="J32" s="24"/>
      <c r="K32" s="36" t="e">
        <f>G32/S32</f>
        <v>#DIV/0!</v>
      </c>
      <c r="L32" s="24"/>
      <c r="M32" s="161">
        <f>SUM(M21:N31)</f>
        <v>0</v>
      </c>
      <c r="N32" s="161"/>
      <c r="O32" s="24"/>
      <c r="P32" s="37" t="e">
        <f>M32/S32</f>
        <v>#DIV/0!</v>
      </c>
      <c r="Q32" s="29"/>
      <c r="R32" s="29"/>
      <c r="S32" s="162">
        <f>G32+M32</f>
        <v>0</v>
      </c>
      <c r="T32" s="162"/>
      <c r="U32" s="11"/>
      <c r="V32" s="11"/>
      <c r="W32" s="12"/>
    </row>
    <row r="33" spans="1:24" ht="3.75" customHeight="1" x14ac:dyDescent="0.2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5"/>
    </row>
    <row r="34" spans="1:24" ht="4.5" customHeight="1" x14ac:dyDescent="0.2">
      <c r="A34" s="16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</row>
    <row r="35" spans="1:24" ht="12.75" customHeight="1" x14ac:dyDescent="0.2">
      <c r="A35" s="109" t="s">
        <v>28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1"/>
    </row>
    <row r="36" spans="1:24" x14ac:dyDescent="0.2">
      <c r="A36" s="10" t="s">
        <v>15</v>
      </c>
      <c r="B36" s="11"/>
      <c r="C36" s="11"/>
      <c r="D36" s="38">
        <v>0</v>
      </c>
      <c r="E36" s="11" t="s">
        <v>8</v>
      </c>
      <c r="F36" s="11"/>
      <c r="G36" s="11"/>
      <c r="H36" s="11"/>
      <c r="I36" s="11"/>
      <c r="J36" s="11"/>
      <c r="K36" s="11"/>
      <c r="L36" s="11"/>
      <c r="M36" s="112" t="s">
        <v>21</v>
      </c>
      <c r="N36" s="112"/>
      <c r="O36" s="39"/>
      <c r="P36" s="112" t="s">
        <v>29</v>
      </c>
      <c r="Q36" s="112"/>
      <c r="R36" s="39"/>
      <c r="S36" s="112" t="s">
        <v>22</v>
      </c>
      <c r="T36" s="112"/>
      <c r="U36" s="39"/>
      <c r="V36" s="112" t="s">
        <v>23</v>
      </c>
      <c r="W36" s="113"/>
    </row>
    <row r="37" spans="1:24" x14ac:dyDescent="0.2">
      <c r="A37" s="16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2"/>
      <c r="N37" s="112"/>
      <c r="O37" s="39"/>
      <c r="P37" s="112"/>
      <c r="Q37" s="112"/>
      <c r="R37" s="39"/>
      <c r="S37" s="112"/>
      <c r="T37" s="112"/>
      <c r="U37" s="39"/>
      <c r="V37" s="112"/>
      <c r="W37" s="113"/>
    </row>
    <row r="38" spans="1:24" x14ac:dyDescent="0.2">
      <c r="A38" s="10" t="s">
        <v>16</v>
      </c>
      <c r="B38" s="11"/>
      <c r="C38" s="40"/>
      <c r="D38" s="41">
        <v>3.8499999999999998E-4</v>
      </c>
      <c r="E38" s="11" t="s">
        <v>17</v>
      </c>
      <c r="F38" s="11"/>
      <c r="G38" s="11"/>
      <c r="H38" s="11"/>
      <c r="I38" s="11"/>
      <c r="J38" s="11"/>
      <c r="K38" s="11"/>
      <c r="L38" s="11"/>
      <c r="M38" s="112"/>
      <c r="N38" s="112"/>
      <c r="O38" s="39"/>
      <c r="P38" s="112"/>
      <c r="Q38" s="112"/>
      <c r="R38" s="39"/>
      <c r="S38" s="112"/>
      <c r="T38" s="112"/>
      <c r="U38" s="39"/>
      <c r="V38" s="112"/>
      <c r="W38" s="113"/>
    </row>
    <row r="39" spans="1:24" ht="12.75" customHeight="1" x14ac:dyDescent="0.2">
      <c r="A39" s="10" t="s">
        <v>18</v>
      </c>
      <c r="B39" s="11"/>
      <c r="C39" s="160">
        <v>1000000</v>
      </c>
      <c r="D39" s="160"/>
      <c r="E39" s="11" t="s">
        <v>19</v>
      </c>
      <c r="F39" s="11"/>
      <c r="G39" s="11"/>
      <c r="H39" s="11"/>
      <c r="I39" s="11"/>
      <c r="J39" s="11"/>
      <c r="K39" s="11"/>
      <c r="L39" s="11"/>
      <c r="M39" s="106">
        <f>C39*D38</f>
        <v>385</v>
      </c>
      <c r="N39" s="106"/>
      <c r="O39" s="42"/>
      <c r="P39" s="106">
        <f>M39*S32</f>
        <v>0</v>
      </c>
      <c r="Q39" s="106"/>
      <c r="R39" s="42"/>
      <c r="S39" s="106">
        <f>P39*D36</f>
        <v>0</v>
      </c>
      <c r="T39" s="106"/>
      <c r="U39" s="29"/>
      <c r="V39" s="106">
        <f>P39*12</f>
        <v>0</v>
      </c>
      <c r="W39" s="107"/>
    </row>
    <row r="40" spans="1:24" ht="11.25" thickBot="1" x14ac:dyDescent="0.25">
      <c r="A40" s="10" t="s">
        <v>47</v>
      </c>
      <c r="B40" s="11"/>
      <c r="C40" s="11"/>
      <c r="D40" s="31"/>
      <c r="E40" s="11"/>
      <c r="F40" s="11"/>
      <c r="G40" s="11"/>
      <c r="H40" s="11"/>
      <c r="I40" s="11"/>
      <c r="J40" s="11"/>
      <c r="K40" s="11"/>
      <c r="L40" s="11"/>
      <c r="M40" s="42"/>
      <c r="N40" s="42"/>
      <c r="O40" s="42"/>
      <c r="P40" s="42"/>
      <c r="Q40" s="43" t="s">
        <v>40</v>
      </c>
      <c r="R40" s="42"/>
      <c r="S40" s="132">
        <f>S39</f>
        <v>0</v>
      </c>
      <c r="T40" s="133"/>
      <c r="U40" s="44"/>
      <c r="V40" s="11"/>
      <c r="W40" s="12"/>
    </row>
    <row r="41" spans="1:24" x14ac:dyDescent="0.2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2"/>
    </row>
    <row r="42" spans="1:24" ht="12.75" customHeight="1" x14ac:dyDescent="0.2">
      <c r="A42" s="10"/>
      <c r="B42" s="11"/>
      <c r="C42" s="11"/>
      <c r="D42" s="11"/>
      <c r="E42" s="112" t="s">
        <v>27</v>
      </c>
      <c r="F42" s="112"/>
      <c r="G42" s="112"/>
      <c r="H42" s="112"/>
      <c r="I42" s="112"/>
      <c r="J42" s="112"/>
      <c r="K42" s="112"/>
      <c r="L42" s="39"/>
      <c r="M42" s="112" t="s">
        <v>21</v>
      </c>
      <c r="N42" s="112"/>
      <c r="O42" s="39"/>
      <c r="P42" s="112" t="s">
        <v>29</v>
      </c>
      <c r="Q42" s="112"/>
      <c r="R42" s="39"/>
      <c r="S42" s="112" t="s">
        <v>22</v>
      </c>
      <c r="T42" s="112"/>
      <c r="U42" s="39"/>
      <c r="V42" s="112" t="s">
        <v>23</v>
      </c>
      <c r="W42" s="113"/>
    </row>
    <row r="43" spans="1:24" ht="15.75" customHeight="1" x14ac:dyDescent="0.2">
      <c r="A43" s="10" t="s">
        <v>20</v>
      </c>
      <c r="B43" s="11"/>
      <c r="C43" s="11"/>
      <c r="D43" s="45">
        <v>1.58</v>
      </c>
      <c r="E43" s="153" t="s">
        <v>48</v>
      </c>
      <c r="F43" s="153"/>
      <c r="G43" s="153"/>
      <c r="H43" s="20"/>
      <c r="I43" s="112" t="s">
        <v>76</v>
      </c>
      <c r="J43" s="112"/>
      <c r="K43" s="112"/>
      <c r="L43" s="39"/>
      <c r="M43" s="112"/>
      <c r="N43" s="112"/>
      <c r="O43" s="39"/>
      <c r="P43" s="112"/>
      <c r="Q43" s="112"/>
      <c r="R43" s="39"/>
      <c r="S43" s="112"/>
      <c r="T43" s="112"/>
      <c r="U43" s="39"/>
      <c r="V43" s="112"/>
      <c r="W43" s="113"/>
      <c r="X43" s="46"/>
    </row>
    <row r="44" spans="1:24" ht="15.75" customHeight="1" x14ac:dyDescent="0.2">
      <c r="A44" s="10"/>
      <c r="B44" s="11"/>
      <c r="C44" s="11"/>
      <c r="D44" s="47" t="s">
        <v>75</v>
      </c>
      <c r="E44" s="47" t="s">
        <v>74</v>
      </c>
      <c r="F44" s="20"/>
      <c r="G44" s="20"/>
      <c r="H44" s="20"/>
      <c r="I44" s="159"/>
      <c r="J44" s="159"/>
      <c r="K44" s="15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48"/>
      <c r="X44" s="46"/>
    </row>
    <row r="45" spans="1:24" x14ac:dyDescent="0.2">
      <c r="A45" s="10"/>
      <c r="B45" s="49" t="s">
        <v>107</v>
      </c>
      <c r="C45" s="50"/>
      <c r="D45" s="51">
        <v>0</v>
      </c>
      <c r="E45" s="51">
        <v>0</v>
      </c>
      <c r="F45" s="11"/>
      <c r="G45" s="50">
        <v>0</v>
      </c>
      <c r="H45" s="11"/>
      <c r="I45" s="105"/>
      <c r="J45" s="105"/>
      <c r="K45" s="105"/>
      <c r="L45" s="11"/>
      <c r="M45" s="106">
        <f t="shared" ref="M45" si="0">E45</f>
        <v>0</v>
      </c>
      <c r="N45" s="106"/>
      <c r="O45" s="44"/>
      <c r="P45" s="106">
        <f t="shared" ref="P45" si="1">M45*G45</f>
        <v>0</v>
      </c>
      <c r="Q45" s="106"/>
      <c r="R45" s="44"/>
      <c r="S45" s="106">
        <f t="shared" ref="S45" si="2">P45*$D$36</f>
        <v>0</v>
      </c>
      <c r="T45" s="106"/>
      <c r="U45" s="44"/>
      <c r="V45" s="106">
        <f t="shared" ref="V45" si="3">P45*12</f>
        <v>0</v>
      </c>
      <c r="W45" s="107"/>
      <c r="X45" s="46"/>
    </row>
    <row r="46" spans="1:24" x14ac:dyDescent="0.2">
      <c r="A46" s="16"/>
      <c r="B46" s="52" t="s">
        <v>72</v>
      </c>
      <c r="C46" s="53"/>
      <c r="D46" s="54">
        <f>2532870+669060</f>
        <v>3201930</v>
      </c>
      <c r="E46" s="54">
        <f>(2532870*1.56)+669060</f>
        <v>4620337.2</v>
      </c>
      <c r="F46" s="40"/>
      <c r="G46" s="50">
        <v>0</v>
      </c>
      <c r="H46" s="40"/>
      <c r="I46" s="156"/>
      <c r="J46" s="156"/>
      <c r="K46" s="156"/>
      <c r="L46" s="40"/>
      <c r="M46" s="106">
        <f t="shared" ref="M46:M61" si="4">E46</f>
        <v>4620337.2</v>
      </c>
      <c r="N46" s="106"/>
      <c r="O46" s="55"/>
      <c r="P46" s="157">
        <f t="shared" ref="P46:P59" si="5">M46*G46</f>
        <v>0</v>
      </c>
      <c r="Q46" s="157"/>
      <c r="R46" s="55"/>
      <c r="S46" s="157">
        <f t="shared" ref="S46:S58" si="6">P46*$D$36</f>
        <v>0</v>
      </c>
      <c r="T46" s="157"/>
      <c r="U46" s="55"/>
      <c r="V46" s="157">
        <f t="shared" ref="V46:V57" si="7">P46*12</f>
        <v>0</v>
      </c>
      <c r="W46" s="158"/>
      <c r="X46" s="56"/>
    </row>
    <row r="47" spans="1:24" x14ac:dyDescent="0.2">
      <c r="A47" s="16"/>
      <c r="B47" s="52" t="s">
        <v>71</v>
      </c>
      <c r="C47" s="52"/>
      <c r="D47" s="54">
        <f>2251440+594720</f>
        <v>2846160</v>
      </c>
      <c r="E47" s="54">
        <f>(2251440*1.56)+594720</f>
        <v>4106966.4</v>
      </c>
      <c r="F47" s="40"/>
      <c r="G47" s="50">
        <v>0</v>
      </c>
      <c r="H47" s="40"/>
      <c r="I47" s="156"/>
      <c r="J47" s="156"/>
      <c r="K47" s="156"/>
      <c r="L47" s="40"/>
      <c r="M47" s="106">
        <f t="shared" si="4"/>
        <v>4106966.4</v>
      </c>
      <c r="N47" s="106"/>
      <c r="O47" s="55"/>
      <c r="P47" s="157">
        <f t="shared" si="5"/>
        <v>0</v>
      </c>
      <c r="Q47" s="157"/>
      <c r="R47" s="55"/>
      <c r="S47" s="157">
        <f t="shared" si="6"/>
        <v>0</v>
      </c>
      <c r="T47" s="157"/>
      <c r="U47" s="55"/>
      <c r="V47" s="157">
        <f t="shared" si="7"/>
        <v>0</v>
      </c>
      <c r="W47" s="158"/>
      <c r="X47" s="56"/>
    </row>
    <row r="48" spans="1:24" x14ac:dyDescent="0.2">
      <c r="A48" s="16"/>
      <c r="B48" s="52" t="s">
        <v>70</v>
      </c>
      <c r="C48" s="52"/>
      <c r="D48" s="54">
        <f>1981267+523354</f>
        <v>2504621</v>
      </c>
      <c r="E48" s="54">
        <f>(1981267*1.56)+523354</f>
        <v>3614130.52</v>
      </c>
      <c r="F48" s="11"/>
      <c r="G48" s="50">
        <v>0</v>
      </c>
      <c r="H48" s="11"/>
      <c r="I48" s="105"/>
      <c r="J48" s="105"/>
      <c r="K48" s="105"/>
      <c r="L48" s="11"/>
      <c r="M48" s="106">
        <f t="shared" si="4"/>
        <v>3614130.52</v>
      </c>
      <c r="N48" s="106"/>
      <c r="O48" s="44"/>
      <c r="P48" s="106">
        <f t="shared" si="5"/>
        <v>0</v>
      </c>
      <c r="Q48" s="106"/>
      <c r="R48" s="44"/>
      <c r="S48" s="106">
        <f t="shared" si="6"/>
        <v>0</v>
      </c>
      <c r="T48" s="106"/>
      <c r="U48" s="44"/>
      <c r="V48" s="106">
        <f t="shared" si="7"/>
        <v>0</v>
      </c>
      <c r="W48" s="107"/>
      <c r="X48" s="56"/>
    </row>
    <row r="49" spans="1:26" x14ac:dyDescent="0.2">
      <c r="A49" s="16"/>
      <c r="B49" s="52" t="s">
        <v>69</v>
      </c>
      <c r="C49" s="52"/>
      <c r="D49" s="54">
        <f>1795523+474289</f>
        <v>2269812</v>
      </c>
      <c r="E49" s="54">
        <f>(1795523*1.56)+474289</f>
        <v>3275304.88</v>
      </c>
      <c r="F49" s="11"/>
      <c r="G49" s="50">
        <v>0</v>
      </c>
      <c r="H49" s="11"/>
      <c r="I49" s="105"/>
      <c r="J49" s="105"/>
      <c r="K49" s="105"/>
      <c r="L49" s="11"/>
      <c r="M49" s="106">
        <f t="shared" si="4"/>
        <v>3275304.88</v>
      </c>
      <c r="N49" s="106"/>
      <c r="O49" s="44"/>
      <c r="P49" s="106">
        <f t="shared" si="5"/>
        <v>0</v>
      </c>
      <c r="Q49" s="106"/>
      <c r="R49" s="44"/>
      <c r="S49" s="106">
        <f t="shared" si="6"/>
        <v>0</v>
      </c>
      <c r="T49" s="106"/>
      <c r="U49" s="44"/>
      <c r="V49" s="106">
        <f t="shared" si="7"/>
        <v>0</v>
      </c>
      <c r="W49" s="107"/>
      <c r="X49" s="56"/>
    </row>
    <row r="50" spans="1:26" x14ac:dyDescent="0.2">
      <c r="A50" s="16"/>
      <c r="B50" s="52" t="s">
        <v>68</v>
      </c>
      <c r="C50" s="52"/>
      <c r="D50" s="54">
        <f>1677514+433117</f>
        <v>2110631</v>
      </c>
      <c r="E50" s="54">
        <f>(1677514*1.56)+433117</f>
        <v>3050038.8400000003</v>
      </c>
      <c r="F50" s="11"/>
      <c r="G50" s="50">
        <v>0</v>
      </c>
      <c r="H50" s="11"/>
      <c r="I50" s="105"/>
      <c r="J50" s="105"/>
      <c r="K50" s="105"/>
      <c r="L50" s="11"/>
      <c r="M50" s="106">
        <f t="shared" si="4"/>
        <v>3050038.8400000003</v>
      </c>
      <c r="N50" s="106"/>
      <c r="O50" s="44"/>
      <c r="P50" s="106">
        <f t="shared" si="5"/>
        <v>0</v>
      </c>
      <c r="Q50" s="106"/>
      <c r="R50" s="44"/>
      <c r="S50" s="106">
        <f t="shared" si="6"/>
        <v>0</v>
      </c>
      <c r="T50" s="106"/>
      <c r="U50" s="44"/>
      <c r="V50" s="106">
        <f t="shared" si="7"/>
        <v>0</v>
      </c>
      <c r="W50" s="107"/>
      <c r="X50" s="56"/>
    </row>
    <row r="51" spans="1:26" x14ac:dyDescent="0.2">
      <c r="A51" s="16"/>
      <c r="B51" s="52" t="s">
        <v>67</v>
      </c>
      <c r="C51" s="52"/>
      <c r="D51" s="54">
        <f>1483947+391986</f>
        <v>1875933</v>
      </c>
      <c r="E51" s="54">
        <f>(1483947*1.56)+391986</f>
        <v>2706943.3200000003</v>
      </c>
      <c r="F51" s="11"/>
      <c r="G51" s="50">
        <v>0</v>
      </c>
      <c r="H51" s="11"/>
      <c r="I51" s="105"/>
      <c r="J51" s="105"/>
      <c r="K51" s="105"/>
      <c r="L51" s="11"/>
      <c r="M51" s="106">
        <f t="shared" si="4"/>
        <v>2706943.3200000003</v>
      </c>
      <c r="N51" s="106"/>
      <c r="O51" s="44"/>
      <c r="P51" s="106">
        <f t="shared" si="5"/>
        <v>0</v>
      </c>
      <c r="Q51" s="106"/>
      <c r="R51" s="44"/>
      <c r="S51" s="106">
        <f t="shared" si="6"/>
        <v>0</v>
      </c>
      <c r="T51" s="106"/>
      <c r="U51" s="44"/>
      <c r="V51" s="106">
        <f t="shared" si="7"/>
        <v>0</v>
      </c>
      <c r="W51" s="107"/>
      <c r="X51" s="56"/>
    </row>
    <row r="52" spans="1:26" x14ac:dyDescent="0.2">
      <c r="A52" s="16"/>
      <c r="B52" s="52" t="s">
        <v>66</v>
      </c>
      <c r="C52" s="52"/>
      <c r="D52" s="54">
        <f>1354871+357890</f>
        <v>1712761</v>
      </c>
      <c r="E52" s="54">
        <f>(1354871*1.56)+357890</f>
        <v>2471488.7600000002</v>
      </c>
      <c r="F52" s="11"/>
      <c r="G52" s="50">
        <v>0</v>
      </c>
      <c r="H52" s="11"/>
      <c r="I52" s="105"/>
      <c r="J52" s="105"/>
      <c r="K52" s="105"/>
      <c r="L52" s="11"/>
      <c r="M52" s="106">
        <f t="shared" si="4"/>
        <v>2471488.7600000002</v>
      </c>
      <c r="N52" s="106"/>
      <c r="O52" s="44"/>
      <c r="P52" s="106">
        <f t="shared" si="5"/>
        <v>0</v>
      </c>
      <c r="Q52" s="106"/>
      <c r="R52" s="44"/>
      <c r="S52" s="106">
        <f t="shared" si="6"/>
        <v>0</v>
      </c>
      <c r="T52" s="106"/>
      <c r="U52" s="44"/>
      <c r="V52" s="106">
        <f t="shared" si="7"/>
        <v>0</v>
      </c>
      <c r="W52" s="107"/>
      <c r="X52" s="57"/>
      <c r="Y52" s="58"/>
      <c r="Z52" s="58"/>
    </row>
    <row r="53" spans="1:26" x14ac:dyDescent="0.2">
      <c r="A53" s="16"/>
      <c r="B53" s="52" t="s">
        <v>115</v>
      </c>
      <c r="C53" s="52"/>
      <c r="D53" s="54">
        <f>1238769+327222</f>
        <v>1565991</v>
      </c>
      <c r="E53" s="54">
        <f>(1238769*1.56)+327222</f>
        <v>2259701.64</v>
      </c>
      <c r="F53" s="11"/>
      <c r="G53" s="50">
        <v>0</v>
      </c>
      <c r="H53" s="11"/>
      <c r="I53" s="105"/>
      <c r="J53" s="105"/>
      <c r="K53" s="105"/>
      <c r="L53" s="11"/>
      <c r="M53" s="106">
        <f t="shared" si="4"/>
        <v>2259701.64</v>
      </c>
      <c r="N53" s="106"/>
      <c r="O53" s="44"/>
      <c r="P53" s="106">
        <f t="shared" si="5"/>
        <v>0</v>
      </c>
      <c r="Q53" s="106"/>
      <c r="R53" s="44"/>
      <c r="S53" s="106">
        <f t="shared" si="6"/>
        <v>0</v>
      </c>
      <c r="T53" s="106"/>
      <c r="U53" s="44"/>
      <c r="V53" s="106">
        <f t="shared" si="7"/>
        <v>0</v>
      </c>
      <c r="W53" s="107"/>
      <c r="X53" s="57"/>
      <c r="Y53" s="58"/>
      <c r="Z53" s="58"/>
    </row>
    <row r="54" spans="1:26" x14ac:dyDescent="0.2">
      <c r="A54" s="16"/>
      <c r="B54" s="52" t="s">
        <v>116</v>
      </c>
      <c r="C54" s="52"/>
      <c r="D54" s="54">
        <f>1115989+294790+70500</f>
        <v>1481279</v>
      </c>
      <c r="E54" s="54">
        <f>(1115989*1.56)+294790+70500</f>
        <v>2106232.84</v>
      </c>
      <c r="F54" s="11"/>
      <c r="G54" s="50">
        <v>0</v>
      </c>
      <c r="H54" s="11"/>
      <c r="I54" s="105"/>
      <c r="J54" s="105"/>
      <c r="K54" s="105"/>
      <c r="L54" s="11"/>
      <c r="M54" s="106">
        <f t="shared" si="4"/>
        <v>2106232.84</v>
      </c>
      <c r="N54" s="106"/>
      <c r="O54" s="44"/>
      <c r="P54" s="106">
        <f t="shared" si="5"/>
        <v>0</v>
      </c>
      <c r="Q54" s="106"/>
      <c r="R54" s="44"/>
      <c r="S54" s="106">
        <f t="shared" si="6"/>
        <v>0</v>
      </c>
      <c r="T54" s="106"/>
      <c r="U54" s="44"/>
      <c r="V54" s="106">
        <f t="shared" si="7"/>
        <v>0</v>
      </c>
      <c r="W54" s="107"/>
      <c r="X54" s="57"/>
      <c r="Y54" s="58"/>
      <c r="Z54" s="58"/>
    </row>
    <row r="55" spans="1:26" x14ac:dyDescent="0.2">
      <c r="A55" s="16"/>
      <c r="B55" s="52" t="s">
        <v>117</v>
      </c>
      <c r="C55" s="52"/>
      <c r="D55" s="54">
        <f>1014484+267977+70500</f>
        <v>1352961</v>
      </c>
      <c r="E55" s="54">
        <f>(1014484*1.56)+267977+70500</f>
        <v>1921072.04</v>
      </c>
      <c r="F55" s="11"/>
      <c r="G55" s="50">
        <v>0</v>
      </c>
      <c r="H55" s="11"/>
      <c r="I55" s="105"/>
      <c r="J55" s="105"/>
      <c r="K55" s="105"/>
      <c r="L55" s="11"/>
      <c r="M55" s="106">
        <f t="shared" si="4"/>
        <v>1921072.04</v>
      </c>
      <c r="N55" s="106"/>
      <c r="O55" s="44"/>
      <c r="P55" s="106">
        <f t="shared" si="5"/>
        <v>0</v>
      </c>
      <c r="Q55" s="106"/>
      <c r="R55" s="44"/>
      <c r="S55" s="106">
        <f t="shared" si="6"/>
        <v>0</v>
      </c>
      <c r="T55" s="106"/>
      <c r="U55" s="44"/>
      <c r="V55" s="106">
        <f t="shared" si="7"/>
        <v>0</v>
      </c>
      <c r="W55" s="107"/>
      <c r="X55" s="56"/>
    </row>
    <row r="56" spans="1:26" x14ac:dyDescent="0.2">
      <c r="A56" s="16"/>
      <c r="B56" s="52" t="s">
        <v>118</v>
      </c>
      <c r="C56" s="52"/>
      <c r="D56" s="54">
        <f>900385+237838+70500</f>
        <v>1208723</v>
      </c>
      <c r="E56" s="54">
        <f>(900385*1.56)+237838+70500</f>
        <v>1712938.6</v>
      </c>
      <c r="F56" s="11"/>
      <c r="G56" s="50">
        <v>0</v>
      </c>
      <c r="H56" s="11"/>
      <c r="I56" s="105"/>
      <c r="J56" s="105"/>
      <c r="K56" s="105"/>
      <c r="L56" s="11"/>
      <c r="M56" s="106">
        <f t="shared" si="4"/>
        <v>1712938.6</v>
      </c>
      <c r="N56" s="106"/>
      <c r="O56" s="44"/>
      <c r="P56" s="106">
        <f t="shared" si="5"/>
        <v>0</v>
      </c>
      <c r="Q56" s="106"/>
      <c r="R56" s="44"/>
      <c r="S56" s="106">
        <f t="shared" si="6"/>
        <v>0</v>
      </c>
      <c r="T56" s="106"/>
      <c r="U56" s="44"/>
      <c r="V56" s="106">
        <f t="shared" si="7"/>
        <v>0</v>
      </c>
      <c r="W56" s="107"/>
      <c r="X56" s="56"/>
    </row>
    <row r="57" spans="1:26" x14ac:dyDescent="0.2">
      <c r="A57" s="16"/>
      <c r="B57" s="52" t="s">
        <v>119</v>
      </c>
      <c r="C57" s="52"/>
      <c r="D57" s="54">
        <f>798975+211050+70500</f>
        <v>1080525</v>
      </c>
      <c r="E57" s="54">
        <f>(798975*1.56)+211050+70500</f>
        <v>1527951</v>
      </c>
      <c r="F57" s="11"/>
      <c r="G57" s="50">
        <v>0</v>
      </c>
      <c r="H57" s="11"/>
      <c r="I57" s="105"/>
      <c r="J57" s="105"/>
      <c r="K57" s="105"/>
      <c r="L57" s="11"/>
      <c r="M57" s="106">
        <f t="shared" si="4"/>
        <v>1527951</v>
      </c>
      <c r="N57" s="106"/>
      <c r="O57" s="44"/>
      <c r="P57" s="106">
        <f t="shared" si="5"/>
        <v>0</v>
      </c>
      <c r="Q57" s="106"/>
      <c r="R57" s="44"/>
      <c r="S57" s="106">
        <f t="shared" si="6"/>
        <v>0</v>
      </c>
      <c r="T57" s="106"/>
      <c r="U57" s="44"/>
      <c r="V57" s="106">
        <f t="shared" si="7"/>
        <v>0</v>
      </c>
      <c r="W57" s="107"/>
      <c r="X57" s="56"/>
    </row>
    <row r="58" spans="1:26" x14ac:dyDescent="0.2">
      <c r="A58" s="16"/>
      <c r="B58" s="52" t="s">
        <v>120</v>
      </c>
      <c r="C58" s="52"/>
      <c r="D58" s="54">
        <f>685258+181012+70500</f>
        <v>936770</v>
      </c>
      <c r="E58" s="54">
        <f>(685258*1.56)+181012+70500</f>
        <v>1320514.48</v>
      </c>
      <c r="F58" s="11"/>
      <c r="G58" s="50">
        <v>0</v>
      </c>
      <c r="H58" s="11"/>
      <c r="I58" s="105"/>
      <c r="J58" s="105"/>
      <c r="K58" s="105"/>
      <c r="L58" s="11"/>
      <c r="M58" s="106">
        <f t="shared" si="4"/>
        <v>1320514.48</v>
      </c>
      <c r="N58" s="106"/>
      <c r="O58" s="44"/>
      <c r="P58" s="106">
        <f t="shared" si="5"/>
        <v>0</v>
      </c>
      <c r="Q58" s="106"/>
      <c r="R58" s="44"/>
      <c r="S58" s="106">
        <f t="shared" si="6"/>
        <v>0</v>
      </c>
      <c r="T58" s="106"/>
      <c r="U58" s="44"/>
      <c r="V58" s="106">
        <f t="shared" ref="V58:V61" si="8">P58*12</f>
        <v>0</v>
      </c>
      <c r="W58" s="107"/>
      <c r="X58" s="56"/>
    </row>
    <row r="59" spans="1:26" x14ac:dyDescent="0.2">
      <c r="A59" s="16"/>
      <c r="B59" s="52" t="s">
        <v>121</v>
      </c>
      <c r="C59" s="52"/>
      <c r="D59" s="54">
        <f>636318+168084+70500</f>
        <v>874902</v>
      </c>
      <c r="E59" s="54">
        <f>(636318*1.56)+168084+70500</f>
        <v>1231240.08</v>
      </c>
      <c r="F59" s="11"/>
      <c r="G59" s="50">
        <v>0</v>
      </c>
      <c r="H59" s="11"/>
      <c r="I59" s="105"/>
      <c r="J59" s="105"/>
      <c r="K59" s="105"/>
      <c r="L59" s="11"/>
      <c r="M59" s="106">
        <f t="shared" si="4"/>
        <v>1231240.08</v>
      </c>
      <c r="N59" s="106"/>
      <c r="O59" s="44"/>
      <c r="P59" s="106">
        <f t="shared" si="5"/>
        <v>0</v>
      </c>
      <c r="Q59" s="106"/>
      <c r="R59" s="44"/>
      <c r="S59" s="106">
        <f t="shared" ref="S59:S61" si="9">P59*$D$36</f>
        <v>0</v>
      </c>
      <c r="T59" s="106"/>
      <c r="U59" s="44"/>
      <c r="V59" s="106">
        <f t="shared" si="8"/>
        <v>0</v>
      </c>
      <c r="W59" s="107"/>
      <c r="X59" s="56"/>
    </row>
    <row r="60" spans="1:26" x14ac:dyDescent="0.2">
      <c r="A60" s="16"/>
      <c r="B60" s="52" t="s">
        <v>122</v>
      </c>
      <c r="C60" s="52"/>
      <c r="D60" s="54">
        <f>598063+157979+70500</f>
        <v>826542</v>
      </c>
      <c r="E60" s="54">
        <f>(598063*1.56)+157979+70500</f>
        <v>1161457.28</v>
      </c>
      <c r="F60" s="11"/>
      <c r="G60" s="50">
        <v>0</v>
      </c>
      <c r="H60" s="11"/>
      <c r="I60" s="105"/>
      <c r="J60" s="105"/>
      <c r="K60" s="105"/>
      <c r="L60" s="11"/>
      <c r="M60" s="106">
        <f t="shared" si="4"/>
        <v>1161457.28</v>
      </c>
      <c r="N60" s="106"/>
      <c r="O60" s="44"/>
      <c r="P60" s="106">
        <f t="shared" ref="P60:P61" si="10">M60*G60</f>
        <v>0</v>
      </c>
      <c r="Q60" s="106"/>
      <c r="R60" s="44"/>
      <c r="S60" s="106">
        <f t="shared" si="9"/>
        <v>0</v>
      </c>
      <c r="T60" s="106"/>
      <c r="U60" s="44"/>
      <c r="V60" s="106">
        <f t="shared" si="8"/>
        <v>0</v>
      </c>
      <c r="W60" s="107"/>
      <c r="X60" s="56"/>
    </row>
    <row r="61" spans="1:26" x14ac:dyDescent="0.2">
      <c r="A61" s="16"/>
      <c r="B61" s="52" t="s">
        <v>108</v>
      </c>
      <c r="C61" s="52"/>
      <c r="D61" s="54">
        <v>589500</v>
      </c>
      <c r="E61" s="54">
        <f>+(589500*1.56)</f>
        <v>919620</v>
      </c>
      <c r="F61" s="11">
        <v>0</v>
      </c>
      <c r="G61" s="50">
        <v>0</v>
      </c>
      <c r="H61" s="11"/>
      <c r="I61" s="105"/>
      <c r="J61" s="105"/>
      <c r="K61" s="105">
        <v>0</v>
      </c>
      <c r="L61" s="11"/>
      <c r="M61" s="106">
        <f t="shared" si="4"/>
        <v>919620</v>
      </c>
      <c r="N61" s="106"/>
      <c r="O61" s="44"/>
      <c r="P61" s="106">
        <f t="shared" si="10"/>
        <v>0</v>
      </c>
      <c r="Q61" s="106"/>
      <c r="R61" s="44"/>
      <c r="S61" s="106">
        <f t="shared" si="9"/>
        <v>0</v>
      </c>
      <c r="T61" s="106"/>
      <c r="U61" s="44"/>
      <c r="V61" s="106">
        <f t="shared" si="8"/>
        <v>0</v>
      </c>
      <c r="W61" s="107"/>
      <c r="X61" s="56"/>
    </row>
    <row r="62" spans="1:26" ht="11.25" thickBot="1" x14ac:dyDescent="0.25">
      <c r="A62" s="16"/>
      <c r="B62" s="11"/>
      <c r="C62" s="11"/>
      <c r="D62" s="11"/>
      <c r="E62" s="154">
        <f>SUM(G45:G61)</f>
        <v>0</v>
      </c>
      <c r="F62" s="154"/>
      <c r="G62" s="154"/>
      <c r="H62" s="29"/>
      <c r="I62" s="155"/>
      <c r="J62" s="155"/>
      <c r="K62" s="155"/>
      <c r="L62" s="11"/>
      <c r="M62" s="44"/>
      <c r="N62" s="44"/>
      <c r="O62" s="44"/>
      <c r="P62" s="44"/>
      <c r="Q62" s="43" t="s">
        <v>37</v>
      </c>
      <c r="R62" s="44"/>
      <c r="S62" s="132">
        <f>SUM(S45:T61)</f>
        <v>0</v>
      </c>
      <c r="T62" s="133"/>
      <c r="U62" s="44"/>
      <c r="V62" s="11"/>
      <c r="W62" s="12"/>
      <c r="X62" s="56"/>
    </row>
    <row r="63" spans="1:26" ht="3.75" customHeight="1" x14ac:dyDescent="0.2">
      <c r="A63" s="16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</row>
    <row r="64" spans="1:26" ht="22.5" customHeight="1" x14ac:dyDescent="0.2">
      <c r="A64" s="10" t="s">
        <v>36</v>
      </c>
      <c r="B64" s="11"/>
      <c r="C64" s="11"/>
      <c r="D64" s="11"/>
      <c r="E64" s="112" t="s">
        <v>24</v>
      </c>
      <c r="F64" s="112"/>
      <c r="G64" s="112"/>
      <c r="H64" s="112"/>
      <c r="I64" s="112"/>
      <c r="J64" s="112"/>
      <c r="K64" s="112"/>
      <c r="L64" s="39"/>
      <c r="M64" s="112" t="s">
        <v>21</v>
      </c>
      <c r="N64" s="112"/>
      <c r="O64" s="39"/>
      <c r="P64" s="112" t="s">
        <v>29</v>
      </c>
      <c r="Q64" s="112"/>
      <c r="R64" s="39"/>
      <c r="S64" s="112" t="s">
        <v>22</v>
      </c>
      <c r="T64" s="112"/>
      <c r="U64" s="39"/>
      <c r="V64" s="112" t="s">
        <v>23</v>
      </c>
      <c r="W64" s="113"/>
    </row>
    <row r="65" spans="1:26" ht="11.25" customHeight="1" x14ac:dyDescent="0.2">
      <c r="A65" s="10" t="s">
        <v>12</v>
      </c>
      <c r="B65" s="11"/>
      <c r="C65" s="11"/>
      <c r="D65" s="11"/>
      <c r="E65" s="153" t="s">
        <v>1</v>
      </c>
      <c r="F65" s="153"/>
      <c r="G65" s="153"/>
      <c r="H65" s="20"/>
      <c r="I65" s="112" t="s">
        <v>14</v>
      </c>
      <c r="J65" s="112"/>
      <c r="K65" s="112"/>
      <c r="L65" s="39"/>
      <c r="M65" s="112"/>
      <c r="N65" s="112"/>
      <c r="O65" s="39"/>
      <c r="P65" s="112"/>
      <c r="Q65" s="112"/>
      <c r="R65" s="39"/>
      <c r="S65" s="112"/>
      <c r="T65" s="112"/>
      <c r="U65" s="39"/>
      <c r="V65" s="112"/>
      <c r="W65" s="113"/>
    </row>
    <row r="66" spans="1:26" x14ac:dyDescent="0.2">
      <c r="A66" s="59"/>
      <c r="B66" s="11" t="s">
        <v>13</v>
      </c>
      <c r="C66" s="11"/>
      <c r="D66" s="11"/>
      <c r="E66" s="60">
        <v>8000</v>
      </c>
      <c r="F66" s="11"/>
      <c r="G66" s="50">
        <v>0</v>
      </c>
      <c r="H66" s="11"/>
      <c r="I66" s="60">
        <v>23000</v>
      </c>
      <c r="J66" s="11"/>
      <c r="K66" s="61">
        <v>0</v>
      </c>
      <c r="L66" s="11"/>
      <c r="M66" s="106" t="e">
        <f>(E66*G66+I66*K66)/$D$36</f>
        <v>#DIV/0!</v>
      </c>
      <c r="N66" s="106"/>
      <c r="O66" s="44"/>
      <c r="P66" s="106" t="e">
        <f t="shared" ref="P66:P76" si="11">(E66*G66*G21+I66*K66*M21)/$D$36</f>
        <v>#DIV/0!</v>
      </c>
      <c r="Q66" s="106"/>
      <c r="R66" s="44"/>
      <c r="S66" s="106" t="e">
        <f>P66*$D$36</f>
        <v>#DIV/0!</v>
      </c>
      <c r="T66" s="106"/>
      <c r="U66" s="44"/>
      <c r="V66" s="106" t="e">
        <f>P66*12</f>
        <v>#DIV/0!</v>
      </c>
      <c r="W66" s="107"/>
    </row>
    <row r="67" spans="1:26" x14ac:dyDescent="0.2">
      <c r="A67" s="59"/>
      <c r="B67" s="11" t="s">
        <v>59</v>
      </c>
      <c r="C67" s="11"/>
      <c r="D67" s="11"/>
      <c r="E67" s="60">
        <v>11000</v>
      </c>
      <c r="F67" s="11"/>
      <c r="G67" s="50">
        <f>+G66</f>
        <v>0</v>
      </c>
      <c r="H67" s="11"/>
      <c r="I67" s="60">
        <v>23000</v>
      </c>
      <c r="J67" s="11"/>
      <c r="K67" s="61">
        <f>+K66</f>
        <v>0</v>
      </c>
      <c r="L67" s="11"/>
      <c r="M67" s="106" t="e">
        <f>(E67*G67+I67*K67)/$D$36</f>
        <v>#DIV/0!</v>
      </c>
      <c r="N67" s="106"/>
      <c r="O67" s="44"/>
      <c r="P67" s="106" t="e">
        <f t="shared" si="11"/>
        <v>#DIV/0!</v>
      </c>
      <c r="Q67" s="106"/>
      <c r="R67" s="44"/>
      <c r="S67" s="106" t="e">
        <f t="shared" ref="S67:S76" si="12">P67*$D$36</f>
        <v>#DIV/0!</v>
      </c>
      <c r="T67" s="106"/>
      <c r="U67" s="44"/>
      <c r="V67" s="106" t="e">
        <f t="shared" ref="V67:V76" si="13">P67*12</f>
        <v>#DIV/0!</v>
      </c>
      <c r="W67" s="107"/>
    </row>
    <row r="68" spans="1:26" x14ac:dyDescent="0.2">
      <c r="A68" s="59"/>
      <c r="B68" s="11" t="s">
        <v>60</v>
      </c>
      <c r="C68" s="11"/>
      <c r="D68" s="11"/>
      <c r="E68" s="60">
        <v>15500</v>
      </c>
      <c r="F68" s="11"/>
      <c r="G68" s="50">
        <f t="shared" ref="G68:G76" si="14">+G67</f>
        <v>0</v>
      </c>
      <c r="H68" s="11"/>
      <c r="I68" s="60">
        <v>23000</v>
      </c>
      <c r="J68" s="11"/>
      <c r="K68" s="61">
        <f t="shared" ref="K68:K76" si="15">+K67</f>
        <v>0</v>
      </c>
      <c r="L68" s="11"/>
      <c r="M68" s="106" t="e">
        <f t="shared" ref="M68:M76" si="16">(E68*G68+I68*K68)/$D$36</f>
        <v>#DIV/0!</v>
      </c>
      <c r="N68" s="106"/>
      <c r="O68" s="44"/>
      <c r="P68" s="106" t="e">
        <f t="shared" si="11"/>
        <v>#DIV/0!</v>
      </c>
      <c r="Q68" s="106"/>
      <c r="R68" s="44"/>
      <c r="S68" s="106" t="e">
        <f t="shared" si="12"/>
        <v>#DIV/0!</v>
      </c>
      <c r="T68" s="106"/>
      <c r="U68" s="44"/>
      <c r="V68" s="106" t="e">
        <f t="shared" si="13"/>
        <v>#DIV/0!</v>
      </c>
      <c r="W68" s="107"/>
    </row>
    <row r="69" spans="1:26" x14ac:dyDescent="0.2">
      <c r="A69" s="59"/>
      <c r="B69" s="11" t="s">
        <v>61</v>
      </c>
      <c r="C69" s="11"/>
      <c r="D69" s="11"/>
      <c r="E69" s="60">
        <v>15500</v>
      </c>
      <c r="F69" s="11"/>
      <c r="G69" s="50">
        <f t="shared" si="14"/>
        <v>0</v>
      </c>
      <c r="H69" s="11"/>
      <c r="I69" s="60">
        <v>50000</v>
      </c>
      <c r="J69" s="11"/>
      <c r="K69" s="61">
        <f t="shared" si="15"/>
        <v>0</v>
      </c>
      <c r="L69" s="11"/>
      <c r="M69" s="106" t="e">
        <f t="shared" si="16"/>
        <v>#DIV/0!</v>
      </c>
      <c r="N69" s="106"/>
      <c r="O69" s="44"/>
      <c r="P69" s="106" t="e">
        <f t="shared" si="11"/>
        <v>#DIV/0!</v>
      </c>
      <c r="Q69" s="106"/>
      <c r="R69" s="44"/>
      <c r="S69" s="106" t="e">
        <f t="shared" si="12"/>
        <v>#DIV/0!</v>
      </c>
      <c r="T69" s="106"/>
      <c r="U69" s="44"/>
      <c r="V69" s="106" t="e">
        <f t="shared" si="13"/>
        <v>#DIV/0!</v>
      </c>
      <c r="W69" s="107"/>
    </row>
    <row r="70" spans="1:26" x14ac:dyDescent="0.2">
      <c r="A70" s="16"/>
      <c r="B70" s="11" t="s">
        <v>62</v>
      </c>
      <c r="C70" s="11"/>
      <c r="D70" s="11"/>
      <c r="E70" s="60">
        <v>20000</v>
      </c>
      <c r="F70" s="11"/>
      <c r="G70" s="50">
        <f t="shared" si="14"/>
        <v>0</v>
      </c>
      <c r="H70" s="54"/>
      <c r="I70" s="60">
        <v>60000</v>
      </c>
      <c r="J70" s="24"/>
      <c r="K70" s="61">
        <f t="shared" si="15"/>
        <v>0</v>
      </c>
      <c r="L70" s="35"/>
      <c r="M70" s="106" t="e">
        <f>(E70*G70+I70*K70)/$D$36</f>
        <v>#DIV/0!</v>
      </c>
      <c r="N70" s="106"/>
      <c r="O70" s="24"/>
      <c r="P70" s="106" t="e">
        <f t="shared" si="11"/>
        <v>#DIV/0!</v>
      </c>
      <c r="Q70" s="106"/>
      <c r="R70" s="11"/>
      <c r="S70" s="106" t="e">
        <f t="shared" si="12"/>
        <v>#DIV/0!</v>
      </c>
      <c r="T70" s="106"/>
      <c r="U70" s="11"/>
      <c r="V70" s="106" t="e">
        <f t="shared" si="13"/>
        <v>#DIV/0!</v>
      </c>
      <c r="W70" s="107"/>
    </row>
    <row r="71" spans="1:26" x14ac:dyDescent="0.2">
      <c r="A71" s="16"/>
      <c r="B71" s="11" t="s">
        <v>102</v>
      </c>
      <c r="C71" s="11"/>
      <c r="D71" s="11"/>
      <c r="E71" s="60">
        <v>11000</v>
      </c>
      <c r="F71" s="11"/>
      <c r="G71" s="50">
        <f t="shared" si="14"/>
        <v>0</v>
      </c>
      <c r="H71" s="54"/>
      <c r="I71" s="60">
        <v>20000</v>
      </c>
      <c r="J71" s="24"/>
      <c r="K71" s="61">
        <f t="shared" si="15"/>
        <v>0</v>
      </c>
      <c r="L71" s="35"/>
      <c r="M71" s="106" t="e">
        <f t="shared" ref="M71" si="17">(E71*G71+I71*K71)/$D$36</f>
        <v>#DIV/0!</v>
      </c>
      <c r="N71" s="106"/>
      <c r="O71" s="24"/>
      <c r="P71" s="106" t="e">
        <f t="shared" si="11"/>
        <v>#DIV/0!</v>
      </c>
      <c r="Q71" s="106"/>
      <c r="R71" s="11"/>
      <c r="S71" s="106" t="e">
        <f t="shared" si="12"/>
        <v>#DIV/0!</v>
      </c>
      <c r="T71" s="106"/>
      <c r="U71" s="11"/>
      <c r="V71" s="106" t="e">
        <f t="shared" si="13"/>
        <v>#DIV/0!</v>
      </c>
      <c r="W71" s="107"/>
    </row>
    <row r="72" spans="1:26" x14ac:dyDescent="0.2">
      <c r="A72" s="16"/>
      <c r="B72" s="11" t="s">
        <v>103</v>
      </c>
      <c r="C72" s="11"/>
      <c r="D72" s="11"/>
      <c r="E72" s="60">
        <v>11000</v>
      </c>
      <c r="F72" s="11"/>
      <c r="G72" s="50">
        <f t="shared" si="14"/>
        <v>0</v>
      </c>
      <c r="H72" s="54"/>
      <c r="I72" s="60">
        <v>50000</v>
      </c>
      <c r="J72" s="24"/>
      <c r="K72" s="61">
        <f t="shared" si="15"/>
        <v>0</v>
      </c>
      <c r="L72" s="35"/>
      <c r="M72" s="106" t="e">
        <f>(E72*G72+I72*K72)/$D$36</f>
        <v>#DIV/0!</v>
      </c>
      <c r="N72" s="106"/>
      <c r="O72" s="24"/>
      <c r="P72" s="106" t="e">
        <f t="shared" si="11"/>
        <v>#DIV/0!</v>
      </c>
      <c r="Q72" s="106"/>
      <c r="R72" s="11"/>
      <c r="S72" s="106" t="e">
        <f t="shared" si="12"/>
        <v>#DIV/0!</v>
      </c>
      <c r="T72" s="106"/>
      <c r="U72" s="11"/>
      <c r="V72" s="106" t="e">
        <f t="shared" si="13"/>
        <v>#DIV/0!</v>
      </c>
      <c r="W72" s="107"/>
    </row>
    <row r="73" spans="1:26" x14ac:dyDescent="0.2">
      <c r="A73" s="16"/>
      <c r="B73" s="11" t="s">
        <v>63</v>
      </c>
      <c r="C73" s="11"/>
      <c r="D73" s="11"/>
      <c r="E73" s="60">
        <v>15000</v>
      </c>
      <c r="F73" s="11"/>
      <c r="G73" s="50">
        <f t="shared" si="14"/>
        <v>0</v>
      </c>
      <c r="H73" s="54"/>
      <c r="I73" s="60">
        <v>50000</v>
      </c>
      <c r="J73" s="24"/>
      <c r="K73" s="61">
        <f t="shared" si="15"/>
        <v>0</v>
      </c>
      <c r="L73" s="35"/>
      <c r="M73" s="106" t="e">
        <f t="shared" si="16"/>
        <v>#DIV/0!</v>
      </c>
      <c r="N73" s="106"/>
      <c r="O73" s="24"/>
      <c r="P73" s="106" t="e">
        <f t="shared" si="11"/>
        <v>#DIV/0!</v>
      </c>
      <c r="Q73" s="106"/>
      <c r="R73" s="11"/>
      <c r="S73" s="106" t="e">
        <f t="shared" si="12"/>
        <v>#DIV/0!</v>
      </c>
      <c r="T73" s="106"/>
      <c r="U73" s="11"/>
      <c r="V73" s="106" t="e">
        <f t="shared" si="13"/>
        <v>#DIV/0!</v>
      </c>
      <c r="W73" s="107"/>
    </row>
    <row r="74" spans="1:26" x14ac:dyDescent="0.2">
      <c r="A74" s="59"/>
      <c r="B74" s="11" t="s">
        <v>4</v>
      </c>
      <c r="C74" s="11"/>
      <c r="D74" s="11"/>
      <c r="E74" s="60">
        <v>30000</v>
      </c>
      <c r="F74" s="11"/>
      <c r="G74" s="50">
        <f t="shared" si="14"/>
        <v>0</v>
      </c>
      <c r="H74" s="11"/>
      <c r="I74" s="60">
        <v>60000</v>
      </c>
      <c r="J74" s="24"/>
      <c r="K74" s="61">
        <f t="shared" si="15"/>
        <v>0</v>
      </c>
      <c r="L74" s="11"/>
      <c r="M74" s="106" t="e">
        <f t="shared" si="16"/>
        <v>#DIV/0!</v>
      </c>
      <c r="N74" s="106"/>
      <c r="O74" s="44"/>
      <c r="P74" s="106" t="e">
        <f t="shared" si="11"/>
        <v>#DIV/0!</v>
      </c>
      <c r="Q74" s="106"/>
      <c r="R74" s="44"/>
      <c r="S74" s="106" t="e">
        <f t="shared" si="12"/>
        <v>#DIV/0!</v>
      </c>
      <c r="T74" s="106"/>
      <c r="U74" s="44"/>
      <c r="V74" s="106" t="e">
        <f t="shared" si="13"/>
        <v>#DIV/0!</v>
      </c>
      <c r="W74" s="107"/>
    </row>
    <row r="75" spans="1:26" x14ac:dyDescent="0.2">
      <c r="A75" s="59"/>
      <c r="B75" s="11" t="s">
        <v>113</v>
      </c>
      <c r="C75" s="11"/>
      <c r="D75" s="11"/>
      <c r="E75" s="60">
        <v>8500</v>
      </c>
      <c r="F75" s="11"/>
      <c r="G75" s="50">
        <f t="shared" si="14"/>
        <v>0</v>
      </c>
      <c r="H75" s="11"/>
      <c r="I75" s="60">
        <v>20000</v>
      </c>
      <c r="J75" s="24"/>
      <c r="K75" s="61">
        <f t="shared" si="15"/>
        <v>0</v>
      </c>
      <c r="L75" s="11"/>
      <c r="M75" s="106" t="e">
        <f t="shared" si="16"/>
        <v>#DIV/0!</v>
      </c>
      <c r="N75" s="106"/>
      <c r="O75" s="44"/>
      <c r="P75" s="106" t="e">
        <f t="shared" si="11"/>
        <v>#DIV/0!</v>
      </c>
      <c r="Q75" s="106"/>
      <c r="R75" s="44"/>
      <c r="S75" s="106" t="e">
        <f t="shared" si="12"/>
        <v>#DIV/0!</v>
      </c>
      <c r="T75" s="106"/>
      <c r="U75" s="44"/>
      <c r="V75" s="106" t="e">
        <f t="shared" si="13"/>
        <v>#DIV/0!</v>
      </c>
      <c r="W75" s="107"/>
    </row>
    <row r="76" spans="1:26" x14ac:dyDescent="0.2">
      <c r="A76" s="59"/>
      <c r="B76" s="11" t="s">
        <v>123</v>
      </c>
      <c r="C76" s="11"/>
      <c r="D76" s="11"/>
      <c r="E76" s="60">
        <v>30000</v>
      </c>
      <c r="F76" s="11"/>
      <c r="G76" s="50">
        <f t="shared" si="14"/>
        <v>0</v>
      </c>
      <c r="H76" s="11"/>
      <c r="I76" s="60">
        <v>40000</v>
      </c>
      <c r="J76" s="24"/>
      <c r="K76" s="61">
        <f t="shared" si="15"/>
        <v>0</v>
      </c>
      <c r="L76" s="11"/>
      <c r="M76" s="106" t="e">
        <f t="shared" si="16"/>
        <v>#DIV/0!</v>
      </c>
      <c r="N76" s="106"/>
      <c r="O76" s="44"/>
      <c r="P76" s="106" t="e">
        <f t="shared" si="11"/>
        <v>#DIV/0!</v>
      </c>
      <c r="Q76" s="106"/>
      <c r="R76" s="44"/>
      <c r="S76" s="106" t="e">
        <f t="shared" si="12"/>
        <v>#DIV/0!</v>
      </c>
      <c r="T76" s="106"/>
      <c r="U76" s="44"/>
      <c r="V76" s="106" t="e">
        <f t="shared" si="13"/>
        <v>#DIV/0!</v>
      </c>
      <c r="W76" s="107"/>
    </row>
    <row r="77" spans="1:26" ht="11.25" thickBot="1" x14ac:dyDescent="0.25">
      <c r="A77" s="59"/>
      <c r="B77" s="11"/>
      <c r="C77" s="11"/>
      <c r="D77" s="11"/>
      <c r="E77" s="34"/>
      <c r="F77" s="11"/>
      <c r="G77" s="24"/>
      <c r="H77" s="29"/>
      <c r="I77" s="44"/>
      <c r="J77" s="29"/>
      <c r="K77" s="24"/>
      <c r="L77" s="11"/>
      <c r="M77" s="44"/>
      <c r="N77" s="44"/>
      <c r="O77" s="44"/>
      <c r="P77" s="44"/>
      <c r="Q77" s="43" t="s">
        <v>38</v>
      </c>
      <c r="R77" s="44"/>
      <c r="S77" s="132" t="e">
        <f>SUM(S66:T76)</f>
        <v>#DIV/0!</v>
      </c>
      <c r="T77" s="133"/>
      <c r="U77" s="44"/>
      <c r="V77" s="11"/>
      <c r="W77" s="12"/>
      <c r="X77" s="58"/>
      <c r="Y77" s="58"/>
      <c r="Z77" s="58"/>
    </row>
    <row r="78" spans="1:26" ht="3.75" customHeight="1" x14ac:dyDescent="0.2">
      <c r="A78" s="59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2"/>
    </row>
    <row r="79" spans="1:26" ht="12.75" customHeight="1" x14ac:dyDescent="0.2">
      <c r="A79" s="16"/>
      <c r="B79" s="11"/>
      <c r="C79" s="11"/>
      <c r="D79" s="11"/>
      <c r="E79" s="112" t="s">
        <v>26</v>
      </c>
      <c r="F79" s="112"/>
      <c r="G79" s="112"/>
      <c r="H79" s="112"/>
      <c r="I79" s="112"/>
      <c r="J79" s="112"/>
      <c r="K79" s="112"/>
      <c r="L79" s="39"/>
      <c r="M79" s="112" t="s">
        <v>21</v>
      </c>
      <c r="N79" s="112"/>
      <c r="O79" s="39"/>
      <c r="P79" s="112" t="s">
        <v>29</v>
      </c>
      <c r="Q79" s="112"/>
      <c r="R79" s="39"/>
      <c r="S79" s="112" t="s">
        <v>22</v>
      </c>
      <c r="T79" s="112"/>
      <c r="U79" s="39"/>
      <c r="V79" s="112" t="s">
        <v>23</v>
      </c>
      <c r="W79" s="113"/>
    </row>
    <row r="80" spans="1:26" ht="22.5" customHeight="1" x14ac:dyDescent="0.2">
      <c r="A80" s="10" t="s">
        <v>25</v>
      </c>
      <c r="B80" s="11"/>
      <c r="C80" s="11"/>
      <c r="D80" s="62">
        <v>0.05</v>
      </c>
      <c r="E80" s="153" t="s">
        <v>1</v>
      </c>
      <c r="F80" s="153"/>
      <c r="G80" s="153"/>
      <c r="H80" s="20"/>
      <c r="I80" s="112" t="s">
        <v>14</v>
      </c>
      <c r="J80" s="112"/>
      <c r="K80" s="112"/>
      <c r="L80" s="39"/>
      <c r="M80" s="112"/>
      <c r="N80" s="112"/>
      <c r="O80" s="39"/>
      <c r="P80" s="112"/>
      <c r="Q80" s="112"/>
      <c r="R80" s="39"/>
      <c r="S80" s="112"/>
      <c r="T80" s="112"/>
      <c r="U80" s="39"/>
      <c r="V80" s="112"/>
      <c r="W80" s="113"/>
    </row>
    <row r="81" spans="1:23" ht="11.25" customHeight="1" x14ac:dyDescent="0.2">
      <c r="A81" s="10"/>
      <c r="B81" s="11" t="s">
        <v>4</v>
      </c>
      <c r="C81" s="11"/>
      <c r="D81" s="62"/>
      <c r="E81" s="60">
        <v>6000000</v>
      </c>
      <c r="F81" s="11"/>
      <c r="G81" s="61">
        <v>0</v>
      </c>
      <c r="H81" s="11"/>
      <c r="I81" s="60">
        <f t="shared" ref="I81:I88" si="18">+E81</f>
        <v>6000000</v>
      </c>
      <c r="J81" s="11"/>
      <c r="K81" s="50">
        <v>0</v>
      </c>
      <c r="L81" s="39"/>
      <c r="M81" s="106">
        <f>(E81+I81)*$D$80</f>
        <v>600000</v>
      </c>
      <c r="N81" s="106"/>
      <c r="O81" s="34"/>
      <c r="P81" s="106">
        <f t="shared" ref="P81:P88" si="19">(E81*G81+I81*K81)*$D$80</f>
        <v>0</v>
      </c>
      <c r="Q81" s="106"/>
      <c r="R81" s="34"/>
      <c r="S81" s="106">
        <f t="shared" ref="S81:S88" si="20">P81*$D$36</f>
        <v>0</v>
      </c>
      <c r="T81" s="106"/>
      <c r="U81" s="34"/>
      <c r="V81" s="106">
        <f t="shared" ref="V81:V88" si="21">P81*12</f>
        <v>0</v>
      </c>
      <c r="W81" s="107"/>
    </row>
    <row r="82" spans="1:23" x14ac:dyDescent="0.2">
      <c r="A82" s="16"/>
      <c r="B82" s="11" t="s">
        <v>13</v>
      </c>
      <c r="C82" s="11"/>
      <c r="D82" s="11"/>
      <c r="E82" s="60">
        <v>1300000</v>
      </c>
      <c r="F82" s="11"/>
      <c r="G82" s="61">
        <v>0</v>
      </c>
      <c r="H82" s="11"/>
      <c r="I82" s="60">
        <f t="shared" si="18"/>
        <v>1300000</v>
      </c>
      <c r="J82" s="11"/>
      <c r="K82" s="50">
        <v>0</v>
      </c>
      <c r="L82" s="11"/>
      <c r="M82" s="106">
        <f t="shared" ref="M82:M88" si="22">(E82+I82)*$D$80</f>
        <v>130000</v>
      </c>
      <c r="N82" s="106"/>
      <c r="O82" s="34"/>
      <c r="P82" s="106">
        <f t="shared" si="19"/>
        <v>0</v>
      </c>
      <c r="Q82" s="106"/>
      <c r="R82" s="34"/>
      <c r="S82" s="106">
        <f t="shared" si="20"/>
        <v>0</v>
      </c>
      <c r="T82" s="106"/>
      <c r="U82" s="34"/>
      <c r="V82" s="106">
        <f t="shared" si="21"/>
        <v>0</v>
      </c>
      <c r="W82" s="107"/>
    </row>
    <row r="83" spans="1:23" x14ac:dyDescent="0.2">
      <c r="A83" s="16"/>
      <c r="B83" s="11" t="s">
        <v>59</v>
      </c>
      <c r="C83" s="11"/>
      <c r="D83" s="11"/>
      <c r="E83" s="60">
        <v>2000000</v>
      </c>
      <c r="F83" s="11"/>
      <c r="G83" s="61">
        <v>0</v>
      </c>
      <c r="H83" s="11"/>
      <c r="I83" s="60">
        <f t="shared" si="18"/>
        <v>2000000</v>
      </c>
      <c r="J83" s="11"/>
      <c r="K83" s="50">
        <v>0</v>
      </c>
      <c r="L83" s="11"/>
      <c r="M83" s="106">
        <f t="shared" si="22"/>
        <v>200000</v>
      </c>
      <c r="N83" s="106"/>
      <c r="O83" s="34"/>
      <c r="P83" s="106">
        <f t="shared" si="19"/>
        <v>0</v>
      </c>
      <c r="Q83" s="106"/>
      <c r="R83" s="34"/>
      <c r="S83" s="106">
        <f t="shared" si="20"/>
        <v>0</v>
      </c>
      <c r="T83" s="106"/>
      <c r="U83" s="34"/>
      <c r="V83" s="106">
        <f t="shared" si="21"/>
        <v>0</v>
      </c>
      <c r="W83" s="107"/>
    </row>
    <row r="84" spans="1:23" x14ac:dyDescent="0.2">
      <c r="A84" s="16"/>
      <c r="B84" s="11" t="s">
        <v>3</v>
      </c>
      <c r="C84" s="11"/>
      <c r="D84" s="11"/>
      <c r="E84" s="60">
        <v>1000000</v>
      </c>
      <c r="F84" s="11"/>
      <c r="G84" s="61">
        <v>0</v>
      </c>
      <c r="H84" s="11"/>
      <c r="I84" s="60">
        <f t="shared" si="18"/>
        <v>1000000</v>
      </c>
      <c r="J84" s="11"/>
      <c r="K84" s="50">
        <v>0</v>
      </c>
      <c r="L84" s="11"/>
      <c r="M84" s="106">
        <f t="shared" si="22"/>
        <v>100000</v>
      </c>
      <c r="N84" s="106"/>
      <c r="O84" s="34"/>
      <c r="P84" s="106">
        <f t="shared" si="19"/>
        <v>0</v>
      </c>
      <c r="Q84" s="106"/>
      <c r="R84" s="34"/>
      <c r="S84" s="106">
        <f t="shared" si="20"/>
        <v>0</v>
      </c>
      <c r="T84" s="106"/>
      <c r="U84" s="34"/>
      <c r="V84" s="106">
        <f t="shared" si="21"/>
        <v>0</v>
      </c>
      <c r="W84" s="107"/>
    </row>
    <row r="85" spans="1:23" x14ac:dyDescent="0.2">
      <c r="A85" s="16"/>
      <c r="B85" s="11" t="s">
        <v>124</v>
      </c>
      <c r="C85" s="11"/>
      <c r="D85" s="11"/>
      <c r="E85" s="60">
        <v>1000000</v>
      </c>
      <c r="F85" s="11"/>
      <c r="G85" s="61">
        <v>0</v>
      </c>
      <c r="H85" s="11"/>
      <c r="I85" s="60">
        <f t="shared" si="18"/>
        <v>1000000</v>
      </c>
      <c r="J85" s="11"/>
      <c r="K85" s="50">
        <v>0</v>
      </c>
      <c r="L85" s="11"/>
      <c r="M85" s="106">
        <f t="shared" si="22"/>
        <v>100000</v>
      </c>
      <c r="N85" s="106"/>
      <c r="O85" s="34"/>
      <c r="P85" s="106">
        <f t="shared" si="19"/>
        <v>0</v>
      </c>
      <c r="Q85" s="106"/>
      <c r="R85" s="34"/>
      <c r="S85" s="106">
        <f t="shared" si="20"/>
        <v>0</v>
      </c>
      <c r="T85" s="106"/>
      <c r="U85" s="34"/>
      <c r="V85" s="106">
        <f t="shared" si="21"/>
        <v>0</v>
      </c>
      <c r="W85" s="107"/>
    </row>
    <row r="86" spans="1:23" x14ac:dyDescent="0.2">
      <c r="A86" s="16"/>
      <c r="B86" s="11" t="s">
        <v>56</v>
      </c>
      <c r="C86" s="11"/>
      <c r="D86" s="11"/>
      <c r="E86" s="60">
        <v>2000000</v>
      </c>
      <c r="F86" s="11"/>
      <c r="G86" s="61">
        <v>0</v>
      </c>
      <c r="H86" s="11"/>
      <c r="I86" s="60">
        <f t="shared" si="18"/>
        <v>2000000</v>
      </c>
      <c r="J86" s="11"/>
      <c r="K86" s="50">
        <v>0</v>
      </c>
      <c r="L86" s="11"/>
      <c r="M86" s="106">
        <f t="shared" si="22"/>
        <v>200000</v>
      </c>
      <c r="N86" s="106"/>
      <c r="O86" s="34"/>
      <c r="P86" s="106">
        <f t="shared" si="19"/>
        <v>0</v>
      </c>
      <c r="Q86" s="106"/>
      <c r="R86" s="34"/>
      <c r="S86" s="106">
        <f t="shared" si="20"/>
        <v>0</v>
      </c>
      <c r="T86" s="106"/>
      <c r="U86" s="34"/>
      <c r="V86" s="106">
        <f t="shared" si="21"/>
        <v>0</v>
      </c>
      <c r="W86" s="107"/>
    </row>
    <row r="87" spans="1:23" x14ac:dyDescent="0.2">
      <c r="A87" s="16"/>
      <c r="B87" s="11" t="s">
        <v>62</v>
      </c>
      <c r="C87" s="11"/>
      <c r="D87" s="11"/>
      <c r="E87" s="60">
        <v>4000000</v>
      </c>
      <c r="F87" s="11"/>
      <c r="G87" s="61">
        <v>0</v>
      </c>
      <c r="H87" s="11"/>
      <c r="I87" s="60">
        <f t="shared" si="18"/>
        <v>4000000</v>
      </c>
      <c r="J87" s="11"/>
      <c r="K87" s="50">
        <v>0</v>
      </c>
      <c r="L87" s="11"/>
      <c r="M87" s="106">
        <f t="shared" si="22"/>
        <v>400000</v>
      </c>
      <c r="N87" s="106"/>
      <c r="O87" s="34"/>
      <c r="P87" s="106">
        <f t="shared" si="19"/>
        <v>0</v>
      </c>
      <c r="Q87" s="106"/>
      <c r="R87" s="34"/>
      <c r="S87" s="106">
        <f t="shared" si="20"/>
        <v>0</v>
      </c>
      <c r="T87" s="106"/>
      <c r="U87" s="34"/>
      <c r="V87" s="106">
        <f t="shared" si="21"/>
        <v>0</v>
      </c>
      <c r="W87" s="107"/>
    </row>
    <row r="88" spans="1:23" x14ac:dyDescent="0.2">
      <c r="A88" s="16"/>
      <c r="B88" s="11" t="s">
        <v>64</v>
      </c>
      <c r="C88" s="11"/>
      <c r="D88" s="11"/>
      <c r="E88" s="60">
        <v>50000</v>
      </c>
      <c r="F88" s="11"/>
      <c r="G88" s="61">
        <v>0</v>
      </c>
      <c r="H88" s="11"/>
      <c r="I88" s="60">
        <f t="shared" si="18"/>
        <v>50000</v>
      </c>
      <c r="J88" s="11"/>
      <c r="K88" s="50">
        <v>0</v>
      </c>
      <c r="L88" s="11"/>
      <c r="M88" s="106">
        <f t="shared" si="22"/>
        <v>5000</v>
      </c>
      <c r="N88" s="106"/>
      <c r="O88" s="34"/>
      <c r="P88" s="106">
        <f t="shared" si="19"/>
        <v>0</v>
      </c>
      <c r="Q88" s="106"/>
      <c r="R88" s="34"/>
      <c r="S88" s="106">
        <f t="shared" si="20"/>
        <v>0</v>
      </c>
      <c r="T88" s="106"/>
      <c r="U88" s="34"/>
      <c r="V88" s="106">
        <f t="shared" si="21"/>
        <v>0</v>
      </c>
      <c r="W88" s="107"/>
    </row>
    <row r="89" spans="1:23" ht="11.25" thickBot="1" x14ac:dyDescent="0.25">
      <c r="A89" s="16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63" t="s">
        <v>39</v>
      </c>
      <c r="R89" s="11"/>
      <c r="S89" s="132">
        <f>SUM(S81:T88)</f>
        <v>0</v>
      </c>
      <c r="T89" s="133"/>
      <c r="U89" s="11"/>
      <c r="V89" s="11"/>
      <c r="W89" s="12"/>
    </row>
    <row r="90" spans="1:23" ht="12" customHeight="1" x14ac:dyDescent="0.2">
      <c r="A90" s="16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42"/>
      <c r="W90" s="64"/>
    </row>
    <row r="91" spans="1:23" ht="24" customHeight="1" x14ac:dyDescent="0.2">
      <c r="A91" s="148" t="s">
        <v>82</v>
      </c>
      <c r="B91" s="149"/>
      <c r="C91" s="149"/>
      <c r="D91" s="149"/>
      <c r="E91" s="149"/>
      <c r="F91" s="149"/>
      <c r="G91" s="149"/>
      <c r="H91" s="149"/>
      <c r="I91" s="149"/>
      <c r="J91" s="11"/>
      <c r="K91" s="150" t="s">
        <v>53</v>
      </c>
      <c r="L91" s="150"/>
      <c r="M91" s="150"/>
      <c r="N91" s="150"/>
      <c r="O91" s="65"/>
      <c r="P91" s="151" t="s">
        <v>99</v>
      </c>
      <c r="Q91" s="151"/>
      <c r="R91" s="65"/>
      <c r="S91" s="151" t="s">
        <v>22</v>
      </c>
      <c r="T91" s="151"/>
      <c r="U91" s="65"/>
      <c r="V91" s="151" t="s">
        <v>23</v>
      </c>
      <c r="W91" s="152"/>
    </row>
    <row r="92" spans="1:23" x14ac:dyDescent="0.15">
      <c r="A92" s="134" t="s">
        <v>40</v>
      </c>
      <c r="B92" s="135"/>
      <c r="C92" s="135"/>
      <c r="D92" s="135"/>
      <c r="E92" s="135"/>
      <c r="F92" s="66"/>
      <c r="G92" s="147">
        <f>+S40</f>
        <v>0</v>
      </c>
      <c r="H92" s="147"/>
      <c r="I92" s="147"/>
      <c r="J92" s="11"/>
      <c r="K92" s="127" t="s">
        <v>32</v>
      </c>
      <c r="L92" s="127"/>
      <c r="M92" s="127"/>
      <c r="N92" s="67">
        <v>0</v>
      </c>
      <c r="O92" s="68"/>
      <c r="P92" s="128" t="e">
        <f>+S92/$D$36</f>
        <v>#DIV/0!</v>
      </c>
      <c r="Q92" s="128"/>
      <c r="R92" s="69"/>
      <c r="S92" s="128">
        <f>+IF($G$16&gt;0,$M$17,N92*$M$13)</f>
        <v>0</v>
      </c>
      <c r="T92" s="128"/>
      <c r="U92" s="69"/>
      <c r="V92" s="129" t="e">
        <f>+(S92/$D$36)*12</f>
        <v>#DIV/0!</v>
      </c>
      <c r="W92" s="130"/>
    </row>
    <row r="93" spans="1:23" ht="12.75" customHeight="1" x14ac:dyDescent="0.15">
      <c r="A93" s="134" t="s">
        <v>37</v>
      </c>
      <c r="B93" s="135"/>
      <c r="C93" s="135"/>
      <c r="D93" s="135"/>
      <c r="E93" s="135"/>
      <c r="F93" s="66"/>
      <c r="G93" s="146">
        <f>+S62</f>
        <v>0</v>
      </c>
      <c r="H93" s="146"/>
      <c r="I93" s="146"/>
      <c r="J93" s="11"/>
      <c r="K93" s="127" t="s">
        <v>81</v>
      </c>
      <c r="L93" s="127"/>
      <c r="M93" s="127"/>
      <c r="N93" s="67">
        <v>0</v>
      </c>
      <c r="O93" s="68"/>
      <c r="P93" s="128" t="e">
        <f t="shared" ref="P93:P101" si="23">+S93/$D$36</f>
        <v>#DIV/0!</v>
      </c>
      <c r="Q93" s="128"/>
      <c r="R93" s="69"/>
      <c r="S93" s="128">
        <f>+IF($G$16&gt;0,0,N93*$M$13)</f>
        <v>0</v>
      </c>
      <c r="T93" s="128"/>
      <c r="U93" s="69"/>
      <c r="V93" s="129" t="e">
        <f t="shared" ref="V93:V103" si="24">+(S93/$D$36)*12</f>
        <v>#DIV/0!</v>
      </c>
      <c r="W93" s="130"/>
    </row>
    <row r="94" spans="1:23" ht="12.75" customHeight="1" x14ac:dyDescent="0.15">
      <c r="A94" s="134" t="s">
        <v>38</v>
      </c>
      <c r="B94" s="135"/>
      <c r="C94" s="135"/>
      <c r="D94" s="135"/>
      <c r="E94" s="135"/>
      <c r="F94" s="66"/>
      <c r="G94" s="146" t="e">
        <f>+S77</f>
        <v>#DIV/0!</v>
      </c>
      <c r="H94" s="146"/>
      <c r="I94" s="146"/>
      <c r="J94" s="11"/>
      <c r="K94" s="127" t="s">
        <v>80</v>
      </c>
      <c r="L94" s="127"/>
      <c r="M94" s="127"/>
      <c r="N94" s="67">
        <v>0</v>
      </c>
      <c r="O94" s="68"/>
      <c r="P94" s="128" t="e">
        <f t="shared" si="23"/>
        <v>#DIV/0!</v>
      </c>
      <c r="Q94" s="128"/>
      <c r="R94" s="69"/>
      <c r="S94" s="128">
        <f t="shared" ref="S94:S101" si="25">+N94*$M$13</f>
        <v>0</v>
      </c>
      <c r="T94" s="128"/>
      <c r="U94" s="69"/>
      <c r="V94" s="129" t="e">
        <f t="shared" si="24"/>
        <v>#DIV/0!</v>
      </c>
      <c r="W94" s="130"/>
    </row>
    <row r="95" spans="1:23" ht="12.75" customHeight="1" x14ac:dyDescent="0.15">
      <c r="A95" s="134" t="s">
        <v>49</v>
      </c>
      <c r="B95" s="135"/>
      <c r="C95" s="135"/>
      <c r="D95" s="135"/>
      <c r="E95" s="135"/>
      <c r="F95" s="66"/>
      <c r="G95" s="146">
        <f>+S89</f>
        <v>0</v>
      </c>
      <c r="H95" s="146"/>
      <c r="I95" s="146"/>
      <c r="J95" s="11"/>
      <c r="K95" s="127" t="s">
        <v>101</v>
      </c>
      <c r="L95" s="127"/>
      <c r="M95" s="127"/>
      <c r="N95" s="67">
        <v>0</v>
      </c>
      <c r="O95" s="68"/>
      <c r="P95" s="128" t="e">
        <f t="shared" si="23"/>
        <v>#DIV/0!</v>
      </c>
      <c r="Q95" s="128"/>
      <c r="R95" s="69"/>
      <c r="S95" s="128">
        <f t="shared" si="25"/>
        <v>0</v>
      </c>
      <c r="T95" s="128"/>
      <c r="U95" s="69"/>
      <c r="V95" s="129" t="e">
        <f t="shared" si="24"/>
        <v>#DIV/0!</v>
      </c>
      <c r="W95" s="130"/>
    </row>
    <row r="96" spans="1:23" ht="10.5" customHeight="1" x14ac:dyDescent="0.15">
      <c r="A96" s="134" t="s">
        <v>50</v>
      </c>
      <c r="B96" s="135"/>
      <c r="C96" s="135"/>
      <c r="D96" s="135"/>
      <c r="E96" s="135"/>
      <c r="F96" s="66"/>
      <c r="G96" s="146">
        <f>+S105</f>
        <v>0</v>
      </c>
      <c r="H96" s="146"/>
      <c r="I96" s="146"/>
      <c r="J96" s="11"/>
      <c r="K96" s="127" t="s">
        <v>100</v>
      </c>
      <c r="L96" s="127"/>
      <c r="M96" s="127"/>
      <c r="N96" s="67">
        <v>0</v>
      </c>
      <c r="O96" s="68"/>
      <c r="P96" s="128" t="e">
        <f t="shared" si="23"/>
        <v>#DIV/0!</v>
      </c>
      <c r="Q96" s="128"/>
      <c r="R96" s="69"/>
      <c r="S96" s="128">
        <f t="shared" si="25"/>
        <v>0</v>
      </c>
      <c r="T96" s="128"/>
      <c r="U96" s="69"/>
      <c r="V96" s="129" t="e">
        <f t="shared" si="24"/>
        <v>#DIV/0!</v>
      </c>
      <c r="W96" s="130"/>
    </row>
    <row r="97" spans="1:23" x14ac:dyDescent="0.2">
      <c r="A97" s="143"/>
      <c r="B97" s="144"/>
      <c r="C97" s="144"/>
      <c r="D97" s="144"/>
      <c r="E97" s="145"/>
      <c r="F97" s="66"/>
      <c r="G97" s="146"/>
      <c r="H97" s="146"/>
      <c r="I97" s="146"/>
      <c r="J97" s="11"/>
      <c r="K97" s="127" t="s">
        <v>105</v>
      </c>
      <c r="L97" s="127"/>
      <c r="M97" s="127"/>
      <c r="N97" s="67">
        <v>0</v>
      </c>
      <c r="O97" s="68"/>
      <c r="P97" s="128" t="e">
        <f t="shared" si="23"/>
        <v>#DIV/0!</v>
      </c>
      <c r="Q97" s="128"/>
      <c r="R97" s="69"/>
      <c r="S97" s="128">
        <f t="shared" si="25"/>
        <v>0</v>
      </c>
      <c r="T97" s="128"/>
      <c r="U97" s="69"/>
      <c r="V97" s="129" t="e">
        <f t="shared" si="24"/>
        <v>#DIV/0!</v>
      </c>
      <c r="W97" s="130"/>
    </row>
    <row r="98" spans="1:23" ht="12.75" customHeight="1" x14ac:dyDescent="0.15">
      <c r="A98" s="140"/>
      <c r="B98" s="141"/>
      <c r="C98" s="141"/>
      <c r="D98" s="141"/>
      <c r="E98" s="141"/>
      <c r="F98" s="70"/>
      <c r="G98" s="142"/>
      <c r="H98" s="142"/>
      <c r="I98" s="142"/>
      <c r="J98" s="11"/>
      <c r="K98" s="127" t="s">
        <v>104</v>
      </c>
      <c r="L98" s="127"/>
      <c r="M98" s="127"/>
      <c r="N98" s="67">
        <v>0</v>
      </c>
      <c r="O98" s="68"/>
      <c r="P98" s="128" t="e">
        <f t="shared" si="23"/>
        <v>#DIV/0!</v>
      </c>
      <c r="Q98" s="128"/>
      <c r="R98" s="69"/>
      <c r="S98" s="128">
        <f t="shared" si="25"/>
        <v>0</v>
      </c>
      <c r="T98" s="128"/>
      <c r="U98" s="69"/>
      <c r="V98" s="129" t="e">
        <f t="shared" si="24"/>
        <v>#DIV/0!</v>
      </c>
      <c r="W98" s="130"/>
    </row>
    <row r="99" spans="1:23" ht="12.75" customHeight="1" x14ac:dyDescent="0.15">
      <c r="A99" s="134"/>
      <c r="B99" s="135"/>
      <c r="C99" s="135"/>
      <c r="D99" s="135"/>
      <c r="E99" s="135"/>
      <c r="F99" s="66"/>
      <c r="G99" s="136"/>
      <c r="H99" s="136"/>
      <c r="I99" s="136"/>
      <c r="J99" s="11"/>
      <c r="K99" s="127" t="s">
        <v>57</v>
      </c>
      <c r="L99" s="127"/>
      <c r="M99" s="127"/>
      <c r="N99" s="67">
        <v>0</v>
      </c>
      <c r="O99" s="68"/>
      <c r="P99" s="128" t="e">
        <f t="shared" si="23"/>
        <v>#DIV/0!</v>
      </c>
      <c r="Q99" s="128"/>
      <c r="R99" s="69"/>
      <c r="S99" s="128">
        <f t="shared" si="25"/>
        <v>0</v>
      </c>
      <c r="T99" s="128"/>
      <c r="U99" s="69"/>
      <c r="V99" s="129" t="e">
        <f t="shared" si="24"/>
        <v>#DIV/0!</v>
      </c>
      <c r="W99" s="130"/>
    </row>
    <row r="100" spans="1:23" x14ac:dyDescent="0.15">
      <c r="A100" s="134"/>
      <c r="B100" s="135"/>
      <c r="C100" s="135"/>
      <c r="D100" s="135"/>
      <c r="E100" s="135"/>
      <c r="F100" s="66"/>
      <c r="G100" s="136"/>
      <c r="H100" s="136"/>
      <c r="I100" s="136"/>
      <c r="J100" s="11"/>
      <c r="K100" s="127" t="s">
        <v>58</v>
      </c>
      <c r="L100" s="127"/>
      <c r="M100" s="127"/>
      <c r="N100" s="67">
        <v>0</v>
      </c>
      <c r="O100" s="68"/>
      <c r="P100" s="128" t="e">
        <f t="shared" si="23"/>
        <v>#DIV/0!</v>
      </c>
      <c r="Q100" s="128"/>
      <c r="R100" s="69"/>
      <c r="S100" s="128">
        <f t="shared" si="25"/>
        <v>0</v>
      </c>
      <c r="T100" s="128"/>
      <c r="U100" s="69"/>
      <c r="V100" s="129" t="e">
        <f t="shared" si="24"/>
        <v>#DIV/0!</v>
      </c>
      <c r="W100" s="130"/>
    </row>
    <row r="101" spans="1:23" ht="12.75" customHeight="1" x14ac:dyDescent="0.15">
      <c r="A101" s="134"/>
      <c r="B101" s="135"/>
      <c r="C101" s="135"/>
      <c r="D101" s="135"/>
      <c r="E101" s="135"/>
      <c r="F101" s="66"/>
      <c r="G101" s="136"/>
      <c r="H101" s="136"/>
      <c r="I101" s="136"/>
      <c r="J101" s="11"/>
      <c r="K101" s="137" t="s">
        <v>55</v>
      </c>
      <c r="L101" s="138"/>
      <c r="M101" s="139"/>
      <c r="N101" s="71">
        <v>0.02</v>
      </c>
      <c r="O101" s="68"/>
      <c r="P101" s="128" t="e">
        <f t="shared" si="23"/>
        <v>#DIV/0!</v>
      </c>
      <c r="Q101" s="128"/>
      <c r="R101" s="69"/>
      <c r="S101" s="128">
        <f t="shared" si="25"/>
        <v>0</v>
      </c>
      <c r="T101" s="128"/>
      <c r="U101" s="69"/>
      <c r="V101" s="129" t="e">
        <f t="shared" si="24"/>
        <v>#DIV/0!</v>
      </c>
      <c r="W101" s="130"/>
    </row>
    <row r="102" spans="1:23" ht="10.5" customHeight="1" x14ac:dyDescent="0.15">
      <c r="A102" s="134"/>
      <c r="B102" s="135"/>
      <c r="C102" s="135"/>
      <c r="D102" s="135"/>
      <c r="E102" s="135"/>
      <c r="F102" s="66"/>
      <c r="G102" s="136"/>
      <c r="H102" s="136"/>
      <c r="I102" s="136"/>
      <c r="J102" s="11"/>
      <c r="K102" s="127" t="s">
        <v>83</v>
      </c>
      <c r="L102" s="127"/>
      <c r="M102" s="127"/>
      <c r="N102" s="72">
        <v>0</v>
      </c>
      <c r="O102" s="68"/>
      <c r="P102" s="128">
        <v>0</v>
      </c>
      <c r="Q102" s="128"/>
      <c r="R102" s="69"/>
      <c r="S102" s="128">
        <f>+P102*N102*D36</f>
        <v>0</v>
      </c>
      <c r="T102" s="128"/>
      <c r="U102" s="69"/>
      <c r="V102" s="129" t="e">
        <f t="shared" si="24"/>
        <v>#DIV/0!</v>
      </c>
      <c r="W102" s="130"/>
    </row>
    <row r="103" spans="1:23" x14ac:dyDescent="0.15">
      <c r="A103" s="134"/>
      <c r="B103" s="135"/>
      <c r="C103" s="135"/>
      <c r="D103" s="135"/>
      <c r="E103" s="135"/>
      <c r="F103" s="66"/>
      <c r="G103" s="136"/>
      <c r="H103" s="136"/>
      <c r="I103" s="136"/>
      <c r="J103" s="11"/>
      <c r="K103" s="127" t="s">
        <v>125</v>
      </c>
      <c r="L103" s="127"/>
      <c r="M103" s="127"/>
      <c r="N103" s="72">
        <v>0</v>
      </c>
      <c r="O103" s="68"/>
      <c r="P103" s="128">
        <v>0</v>
      </c>
      <c r="Q103" s="128"/>
      <c r="R103" s="69"/>
      <c r="S103" s="128">
        <f>+P103*N103</f>
        <v>0</v>
      </c>
      <c r="T103" s="128"/>
      <c r="U103" s="69"/>
      <c r="V103" s="129" t="e">
        <f t="shared" si="24"/>
        <v>#DIV/0!</v>
      </c>
      <c r="W103" s="130"/>
    </row>
    <row r="104" spans="1:23" x14ac:dyDescent="0.15">
      <c r="A104" s="73"/>
      <c r="B104" s="74"/>
      <c r="C104" s="74"/>
      <c r="D104" s="74"/>
      <c r="E104" s="74"/>
      <c r="F104" s="11"/>
      <c r="G104" s="43"/>
      <c r="H104" s="43"/>
      <c r="I104" s="43"/>
      <c r="J104" s="11"/>
      <c r="K104" s="127" t="s">
        <v>84</v>
      </c>
      <c r="L104" s="127"/>
      <c r="M104" s="127"/>
      <c r="N104" s="75">
        <v>0</v>
      </c>
      <c r="O104" s="68"/>
      <c r="P104" s="128">
        <v>0</v>
      </c>
      <c r="Q104" s="128"/>
      <c r="R104" s="69"/>
      <c r="S104" s="128">
        <f>+P104*N104</f>
        <v>0</v>
      </c>
      <c r="T104" s="128"/>
      <c r="U104" s="69"/>
      <c r="V104" s="129" t="e">
        <f>+(S104/$D$36)*12</f>
        <v>#DIV/0!</v>
      </c>
      <c r="W104" s="130"/>
    </row>
    <row r="105" spans="1:23" ht="12" customHeight="1" thickBot="1" x14ac:dyDescent="0.25">
      <c r="A105" s="10"/>
      <c r="B105" s="11"/>
      <c r="C105" s="11"/>
      <c r="D105" s="11"/>
      <c r="E105" s="11"/>
      <c r="F105" s="11"/>
      <c r="G105" s="131"/>
      <c r="H105" s="131"/>
      <c r="I105" s="131"/>
      <c r="J105" s="11"/>
      <c r="K105" s="11"/>
      <c r="L105" s="11"/>
      <c r="M105" s="27"/>
      <c r="N105" s="11"/>
      <c r="O105" s="11"/>
      <c r="P105" s="11"/>
      <c r="Q105" s="11"/>
      <c r="R105" s="11"/>
      <c r="S105" s="132">
        <f>SUM(S92:T104)</f>
        <v>0</v>
      </c>
      <c r="T105" s="133"/>
      <c r="U105" s="11"/>
      <c r="V105" s="11"/>
      <c r="W105" s="12"/>
    </row>
    <row r="106" spans="1:23" ht="12" customHeight="1" x14ac:dyDescent="0.2">
      <c r="A106" s="10"/>
      <c r="B106" s="11"/>
      <c r="C106" s="11"/>
      <c r="D106" s="11"/>
      <c r="E106" s="11"/>
      <c r="F106" s="11"/>
      <c r="G106" s="76"/>
      <c r="H106" s="76"/>
      <c r="I106" s="76"/>
      <c r="J106" s="11"/>
      <c r="K106" s="11"/>
      <c r="L106" s="11"/>
      <c r="M106" s="27"/>
      <c r="N106" s="11"/>
      <c r="O106" s="11"/>
      <c r="P106" s="11"/>
      <c r="Q106" s="11"/>
      <c r="R106" s="11"/>
      <c r="S106" s="20"/>
      <c r="T106" s="11"/>
      <c r="U106" s="11"/>
      <c r="V106" s="11"/>
      <c r="W106" s="12"/>
    </row>
    <row r="107" spans="1:23" ht="11.25" thickBot="1" x14ac:dyDescent="0.25">
      <c r="A107" s="16"/>
      <c r="B107" s="11"/>
      <c r="C107" s="11"/>
      <c r="D107" s="11"/>
      <c r="E107" s="63" t="s">
        <v>30</v>
      </c>
      <c r="F107" s="11"/>
      <c r="G107" s="108" t="e">
        <f>SUM(G92:I102)</f>
        <v>#DIV/0!</v>
      </c>
      <c r="H107" s="108"/>
      <c r="I107" s="108"/>
      <c r="J107" s="11"/>
      <c r="K107" s="77" t="e">
        <f>G107/G125</f>
        <v>#DIV/0!</v>
      </c>
      <c r="L107" s="11"/>
      <c r="M107" s="11"/>
      <c r="N107" s="11"/>
      <c r="O107" s="63"/>
      <c r="P107" s="20"/>
      <c r="Q107" s="20"/>
      <c r="R107" s="11"/>
      <c r="S107" s="20"/>
      <c r="T107" s="11"/>
      <c r="U107" s="11"/>
      <c r="V107" s="11"/>
      <c r="W107" s="12"/>
    </row>
    <row r="108" spans="1:23" ht="3.75" customHeight="1" x14ac:dyDescent="0.2">
      <c r="A108" s="13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78"/>
      <c r="N108" s="14"/>
      <c r="O108" s="78"/>
      <c r="P108" s="79"/>
      <c r="Q108" s="79"/>
      <c r="R108" s="14"/>
      <c r="S108" s="14"/>
      <c r="T108" s="14"/>
      <c r="U108" s="14"/>
      <c r="V108" s="14"/>
      <c r="W108" s="15"/>
    </row>
    <row r="109" spans="1:23" ht="4.5" customHeight="1" x14ac:dyDescent="0.2">
      <c r="A109" s="16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</row>
    <row r="110" spans="1:23" ht="12.75" customHeight="1" x14ac:dyDescent="0.2">
      <c r="A110" s="109" t="s">
        <v>31</v>
      </c>
      <c r="B110" s="110"/>
      <c r="C110" s="110"/>
      <c r="D110" s="110"/>
      <c r="E110" s="110"/>
      <c r="F110" s="110"/>
      <c r="G110" s="110"/>
      <c r="H110" s="110"/>
      <c r="I110" s="110"/>
      <c r="J110" s="110"/>
      <c r="K110" s="110"/>
      <c r="L110" s="110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  <c r="W110" s="111"/>
    </row>
    <row r="111" spans="1:23" ht="22.5" customHeight="1" x14ac:dyDescent="0.2">
      <c r="A111" s="16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27"/>
      <c r="O111" s="11"/>
      <c r="P111" s="112" t="s">
        <v>29</v>
      </c>
      <c r="Q111" s="112"/>
      <c r="R111" s="39"/>
      <c r="S111" s="112" t="s">
        <v>22</v>
      </c>
      <c r="T111" s="112"/>
      <c r="U111" s="39"/>
      <c r="V111" s="112" t="s">
        <v>23</v>
      </c>
      <c r="W111" s="113"/>
    </row>
    <row r="112" spans="1:23" x14ac:dyDescent="0.2">
      <c r="A112" s="16"/>
      <c r="B112" s="11"/>
      <c r="C112" s="11"/>
      <c r="D112" s="11"/>
      <c r="E112" s="11"/>
      <c r="F112" s="11"/>
      <c r="G112" s="27" t="s">
        <v>33</v>
      </c>
      <c r="H112" s="27"/>
      <c r="I112" s="11"/>
      <c r="J112" s="11"/>
      <c r="K112" s="11"/>
      <c r="L112" s="11"/>
      <c r="M112" s="11"/>
      <c r="N112" s="80">
        <v>0.01</v>
      </c>
      <c r="O112" s="11"/>
      <c r="P112" s="106" t="e">
        <f>+S112/$D$36</f>
        <v>#DIV/0!</v>
      </c>
      <c r="Q112" s="106"/>
      <c r="R112" s="11"/>
      <c r="S112" s="106">
        <f>+N112*(G12+G16)</f>
        <v>0</v>
      </c>
      <c r="T112" s="106"/>
      <c r="U112" s="11"/>
      <c r="V112" s="106" t="e">
        <f>+(S112/$D$36)*12</f>
        <v>#DIV/0!</v>
      </c>
      <c r="W112" s="107"/>
    </row>
    <row r="113" spans="1:24" x14ac:dyDescent="0.2">
      <c r="A113" s="16"/>
      <c r="B113" s="11"/>
      <c r="C113" s="11"/>
      <c r="D113" s="11"/>
      <c r="E113" s="11"/>
      <c r="F113" s="11"/>
      <c r="G113" s="81" t="s">
        <v>34</v>
      </c>
      <c r="H113" s="81"/>
      <c r="I113" s="29"/>
      <c r="J113" s="29"/>
      <c r="K113" s="29"/>
      <c r="L113" s="29"/>
      <c r="M113" s="29"/>
      <c r="N113" s="82">
        <v>0.12</v>
      </c>
      <c r="O113" s="29"/>
      <c r="P113" s="106" t="e">
        <f>+S113/$D$36</f>
        <v>#DIV/0!</v>
      </c>
      <c r="Q113" s="106"/>
      <c r="R113" s="29"/>
      <c r="S113" s="106" t="e">
        <f>+G107*N113</f>
        <v>#DIV/0!</v>
      </c>
      <c r="T113" s="106"/>
      <c r="U113" s="29"/>
      <c r="V113" s="106" t="e">
        <f>+(S113/$D$36)*12</f>
        <v>#DIV/0!</v>
      </c>
      <c r="W113" s="107"/>
    </row>
    <row r="114" spans="1:24" x14ac:dyDescent="0.2">
      <c r="A114" s="16"/>
      <c r="B114" s="11"/>
      <c r="C114" s="11"/>
      <c r="D114" s="11"/>
      <c r="E114" s="11"/>
      <c r="F114" s="11"/>
      <c r="G114" s="81" t="s">
        <v>73</v>
      </c>
      <c r="H114" s="81"/>
      <c r="I114" s="29"/>
      <c r="J114" s="29"/>
      <c r="K114" s="29"/>
      <c r="L114" s="29"/>
      <c r="M114" s="29"/>
      <c r="N114" s="82">
        <v>0</v>
      </c>
      <c r="O114" s="29"/>
      <c r="P114" s="106" t="e">
        <f>+S114/$D$36</f>
        <v>#DIV/0!</v>
      </c>
      <c r="Q114" s="106"/>
      <c r="R114" s="29"/>
      <c r="S114" s="106">
        <f>+((S62+S105)*N114)</f>
        <v>0</v>
      </c>
      <c r="T114" s="106"/>
      <c r="U114" s="29"/>
      <c r="V114" s="106" t="e">
        <f t="shared" ref="V114:V115" si="26">+(S114/$D$36)*12</f>
        <v>#DIV/0!</v>
      </c>
      <c r="W114" s="107"/>
      <c r="X114" s="83"/>
    </row>
    <row r="115" spans="1:24" x14ac:dyDescent="0.2">
      <c r="A115" s="16"/>
      <c r="B115" s="11"/>
      <c r="C115" s="11"/>
      <c r="D115" s="11"/>
      <c r="E115" s="11"/>
      <c r="F115" s="11"/>
      <c r="G115" s="27" t="s">
        <v>5</v>
      </c>
      <c r="H115" s="27"/>
      <c r="I115" s="11"/>
      <c r="J115" s="11"/>
      <c r="K115" s="11"/>
      <c r="L115" s="11"/>
      <c r="M115" s="11"/>
      <c r="N115" s="84">
        <v>5.0000000000000001E-3</v>
      </c>
      <c r="O115" s="11"/>
      <c r="P115" s="106" t="e">
        <f>+S115/$D$36</f>
        <v>#DIV/0!</v>
      </c>
      <c r="Q115" s="106"/>
      <c r="R115" s="11"/>
      <c r="S115" s="106">
        <f>+(M12+M16)*N115</f>
        <v>0</v>
      </c>
      <c r="T115" s="106"/>
      <c r="U115" s="11"/>
      <c r="V115" s="106" t="e">
        <f t="shared" si="26"/>
        <v>#DIV/0!</v>
      </c>
      <c r="W115" s="107"/>
    </row>
    <row r="116" spans="1:24" ht="10.5" customHeight="1" thickBot="1" x14ac:dyDescent="0.25">
      <c r="A116" s="16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24" t="e">
        <f>SUM(S112:T115)</f>
        <v>#DIV/0!</v>
      </c>
      <c r="T116" s="125"/>
      <c r="U116" s="11"/>
      <c r="V116" s="11"/>
      <c r="W116" s="12"/>
    </row>
    <row r="117" spans="1:24" ht="11.25" customHeight="1" x14ac:dyDescent="0.2">
      <c r="A117" s="16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2"/>
    </row>
    <row r="118" spans="1:24" ht="11.25" thickBot="1" x14ac:dyDescent="0.25">
      <c r="A118" s="16"/>
      <c r="B118" s="11"/>
      <c r="C118" s="11"/>
      <c r="D118" s="11"/>
      <c r="E118" s="63" t="s">
        <v>41</v>
      </c>
      <c r="F118" s="11"/>
      <c r="G118" s="126" t="e">
        <f>+S116</f>
        <v>#DIV/0!</v>
      </c>
      <c r="H118" s="126"/>
      <c r="I118" s="126"/>
      <c r="J118" s="11"/>
      <c r="K118" s="77" t="e">
        <f>G118/G125</f>
        <v>#DIV/0!</v>
      </c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2"/>
    </row>
    <row r="119" spans="1:24" ht="3.75" customHeight="1" x14ac:dyDescent="0.2">
      <c r="A119" s="13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78"/>
      <c r="R119" s="14"/>
      <c r="S119" s="79"/>
      <c r="T119" s="79"/>
      <c r="U119" s="14"/>
      <c r="V119" s="14"/>
      <c r="W119" s="15"/>
    </row>
    <row r="120" spans="1:24" ht="4.5" customHeight="1" x14ac:dyDescent="0.2">
      <c r="A120" s="16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63"/>
      <c r="R120" s="11"/>
      <c r="S120" s="31"/>
      <c r="T120" s="31"/>
      <c r="U120" s="11"/>
      <c r="V120" s="11"/>
      <c r="W120" s="12"/>
    </row>
    <row r="121" spans="1:24" ht="10.5" customHeight="1" thickBot="1" x14ac:dyDescent="0.25">
      <c r="A121" s="109" t="s">
        <v>42</v>
      </c>
      <c r="B121" s="110"/>
      <c r="C121" s="110"/>
      <c r="D121" s="110"/>
      <c r="E121" s="110"/>
      <c r="F121" s="110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10"/>
      <c r="U121" s="110"/>
      <c r="V121" s="110"/>
      <c r="W121" s="111"/>
    </row>
    <row r="122" spans="1:24" ht="3.75" customHeight="1" x14ac:dyDescent="0.2">
      <c r="A122" s="94"/>
      <c r="B122" s="95"/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114" t="s">
        <v>109</v>
      </c>
      <c r="T122" s="115"/>
      <c r="U122" s="115"/>
      <c r="V122" s="115"/>
      <c r="W122" s="116"/>
    </row>
    <row r="123" spans="1:24" ht="12.75" customHeight="1" thickBot="1" x14ac:dyDescent="0.25">
      <c r="A123" s="85" t="s">
        <v>52</v>
      </c>
      <c r="B123" s="95"/>
      <c r="C123" s="95"/>
      <c r="D123" s="95"/>
      <c r="E123" s="95"/>
      <c r="F123" s="95"/>
      <c r="G123" s="123">
        <f>+M13+M16</f>
        <v>0</v>
      </c>
      <c r="H123" s="123"/>
      <c r="I123" s="123"/>
      <c r="J123" s="95"/>
      <c r="K123" s="95"/>
      <c r="L123" s="95"/>
      <c r="M123" s="95"/>
      <c r="N123" s="95"/>
      <c r="O123" s="95"/>
      <c r="P123" s="97"/>
      <c r="Q123" s="95"/>
      <c r="R123" s="95"/>
      <c r="S123" s="117"/>
      <c r="T123" s="118"/>
      <c r="U123" s="118"/>
      <c r="V123" s="118"/>
      <c r="W123" s="119"/>
    </row>
    <row r="124" spans="1:24" ht="3.75" customHeight="1" x14ac:dyDescent="0.2">
      <c r="A124" s="94"/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7"/>
      <c r="Q124" s="95"/>
      <c r="R124" s="95"/>
      <c r="S124" s="117"/>
      <c r="T124" s="118"/>
      <c r="U124" s="118"/>
      <c r="V124" s="118"/>
      <c r="W124" s="119"/>
    </row>
    <row r="125" spans="1:24" ht="12.75" customHeight="1" thickBot="1" x14ac:dyDescent="0.25">
      <c r="A125" s="10" t="s">
        <v>46</v>
      </c>
      <c r="B125" s="11"/>
      <c r="C125" s="11"/>
      <c r="D125" s="11"/>
      <c r="E125" s="11"/>
      <c r="F125" s="11"/>
      <c r="G125" s="123" t="e">
        <f>G107+G118</f>
        <v>#DIV/0!</v>
      </c>
      <c r="H125" s="123"/>
      <c r="I125" s="123"/>
      <c r="J125" s="11"/>
      <c r="K125" s="86" t="e">
        <f>G125/G123</f>
        <v>#DIV/0!</v>
      </c>
      <c r="L125" s="11"/>
      <c r="M125" s="11"/>
      <c r="N125" s="11"/>
      <c r="O125" s="11"/>
      <c r="P125" s="87" t="s">
        <v>51</v>
      </c>
      <c r="Q125" s="11"/>
      <c r="R125" s="11"/>
      <c r="S125" s="117"/>
      <c r="T125" s="118"/>
      <c r="U125" s="118"/>
      <c r="V125" s="118"/>
      <c r="W125" s="119"/>
    </row>
    <row r="126" spans="1:24" ht="4.5" customHeight="1" x14ac:dyDescent="0.2">
      <c r="A126" s="10"/>
      <c r="B126" s="11"/>
      <c r="C126" s="11"/>
      <c r="D126" s="88"/>
      <c r="E126" s="88"/>
      <c r="F126" s="11"/>
      <c r="G126" s="89"/>
      <c r="H126" s="11"/>
      <c r="I126" s="11"/>
      <c r="J126" s="11"/>
      <c r="K126" s="11"/>
      <c r="L126" s="11"/>
      <c r="M126" s="11"/>
      <c r="N126" s="11"/>
      <c r="O126" s="11"/>
      <c r="P126" s="90"/>
      <c r="Q126" s="11"/>
      <c r="R126" s="11"/>
      <c r="S126" s="117"/>
      <c r="T126" s="118"/>
      <c r="U126" s="118"/>
      <c r="V126" s="118"/>
      <c r="W126" s="119"/>
    </row>
    <row r="127" spans="1:24" ht="13.5" customHeight="1" thickBot="1" x14ac:dyDescent="0.25">
      <c r="A127" s="10" t="s">
        <v>35</v>
      </c>
      <c r="B127" s="11"/>
      <c r="C127" s="11"/>
      <c r="D127" s="11"/>
      <c r="E127" s="11"/>
      <c r="F127" s="11"/>
      <c r="G127" s="123" t="e">
        <f>G123-G125</f>
        <v>#DIV/0!</v>
      </c>
      <c r="H127" s="123"/>
      <c r="I127" s="123"/>
      <c r="J127" s="11"/>
      <c r="K127" s="11"/>
      <c r="L127" s="11"/>
      <c r="M127" s="11"/>
      <c r="N127" s="11"/>
      <c r="O127" s="11"/>
      <c r="P127" s="91" t="e">
        <f>+G127/G123</f>
        <v>#DIV/0!</v>
      </c>
      <c r="Q127" s="11"/>
      <c r="R127" s="11"/>
      <c r="S127" s="117"/>
      <c r="T127" s="118"/>
      <c r="U127" s="118"/>
      <c r="V127" s="118"/>
      <c r="W127" s="119"/>
    </row>
    <row r="128" spans="1:24" ht="10.5" customHeight="1" thickBot="1" x14ac:dyDescent="0.25">
      <c r="A128" s="92"/>
      <c r="B128" s="93"/>
      <c r="C128" s="93" t="s">
        <v>54</v>
      </c>
      <c r="D128" s="93"/>
      <c r="E128" s="93"/>
      <c r="F128" s="93"/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98"/>
      <c r="S128" s="120"/>
      <c r="T128" s="121"/>
      <c r="U128" s="121"/>
      <c r="V128" s="121"/>
      <c r="W128" s="122"/>
    </row>
    <row r="129" spans="4:4" x14ac:dyDescent="0.2">
      <c r="D129" s="11"/>
    </row>
  </sheetData>
  <mergeCells count="356">
    <mergeCell ref="G13:I13"/>
    <mergeCell ref="M13:N13"/>
    <mergeCell ref="G15:I15"/>
    <mergeCell ref="M15:N15"/>
    <mergeCell ref="G16:I16"/>
    <mergeCell ref="M16:N16"/>
    <mergeCell ref="A7:W7"/>
    <mergeCell ref="T9:W9"/>
    <mergeCell ref="G11:I11"/>
    <mergeCell ref="M11:N11"/>
    <mergeCell ref="G12:I12"/>
    <mergeCell ref="M12:N12"/>
    <mergeCell ref="Q12:T12"/>
    <mergeCell ref="G22:I22"/>
    <mergeCell ref="M22:N22"/>
    <mergeCell ref="G23:I23"/>
    <mergeCell ref="M23:N23"/>
    <mergeCell ref="S23:T23"/>
    <mergeCell ref="G24:I24"/>
    <mergeCell ref="M24:N24"/>
    <mergeCell ref="S16:W16"/>
    <mergeCell ref="M17:O17"/>
    <mergeCell ref="U17:W17"/>
    <mergeCell ref="G19:N19"/>
    <mergeCell ref="G20:I20"/>
    <mergeCell ref="L20:O20"/>
    <mergeCell ref="S20:T21"/>
    <mergeCell ref="G21:I21"/>
    <mergeCell ref="M21:N21"/>
    <mergeCell ref="G25:I25"/>
    <mergeCell ref="M25:N25"/>
    <mergeCell ref="S25:T29"/>
    <mergeCell ref="G26:I26"/>
    <mergeCell ref="M26:N26"/>
    <mergeCell ref="G27:I27"/>
    <mergeCell ref="M27:N27"/>
    <mergeCell ref="G28:I28"/>
    <mergeCell ref="M28:N28"/>
    <mergeCell ref="G29:I29"/>
    <mergeCell ref="G32:I32"/>
    <mergeCell ref="M32:N32"/>
    <mergeCell ref="S32:T32"/>
    <mergeCell ref="A35:W35"/>
    <mergeCell ref="M36:N38"/>
    <mergeCell ref="P36:Q38"/>
    <mergeCell ref="S36:T38"/>
    <mergeCell ref="V36:W38"/>
    <mergeCell ref="M29:N29"/>
    <mergeCell ref="G30:I30"/>
    <mergeCell ref="M30:N30"/>
    <mergeCell ref="S30:T30"/>
    <mergeCell ref="G31:I31"/>
    <mergeCell ref="M31:N31"/>
    <mergeCell ref="E42:K42"/>
    <mergeCell ref="M42:N43"/>
    <mergeCell ref="P42:Q43"/>
    <mergeCell ref="S42:T43"/>
    <mergeCell ref="V42:W43"/>
    <mergeCell ref="E43:G43"/>
    <mergeCell ref="I43:K44"/>
    <mergeCell ref="C39:D39"/>
    <mergeCell ref="M39:N39"/>
    <mergeCell ref="P39:Q39"/>
    <mergeCell ref="S39:T39"/>
    <mergeCell ref="V39:W39"/>
    <mergeCell ref="S40:T40"/>
    <mergeCell ref="I46:K46"/>
    <mergeCell ref="M46:N46"/>
    <mergeCell ref="P46:Q46"/>
    <mergeCell ref="S46:T46"/>
    <mergeCell ref="V46:W46"/>
    <mergeCell ref="I47:K47"/>
    <mergeCell ref="M47:N47"/>
    <mergeCell ref="P47:Q47"/>
    <mergeCell ref="S47:T47"/>
    <mergeCell ref="V47:W47"/>
    <mergeCell ref="I48:K48"/>
    <mergeCell ref="M48:N48"/>
    <mergeCell ref="P48:Q48"/>
    <mergeCell ref="S48:T48"/>
    <mergeCell ref="V48:W48"/>
    <mergeCell ref="I49:K49"/>
    <mergeCell ref="M49:N49"/>
    <mergeCell ref="P49:Q49"/>
    <mergeCell ref="S49:T49"/>
    <mergeCell ref="V49:W49"/>
    <mergeCell ref="I50:K50"/>
    <mergeCell ref="M50:N50"/>
    <mergeCell ref="P50:Q50"/>
    <mergeCell ref="S50:T50"/>
    <mergeCell ref="V50:W50"/>
    <mergeCell ref="I51:K51"/>
    <mergeCell ref="M51:N51"/>
    <mergeCell ref="P51:Q51"/>
    <mergeCell ref="S51:T51"/>
    <mergeCell ref="V51:W51"/>
    <mergeCell ref="V54:W54"/>
    <mergeCell ref="I55:K55"/>
    <mergeCell ref="M55:N55"/>
    <mergeCell ref="P55:Q55"/>
    <mergeCell ref="S55:T55"/>
    <mergeCell ref="V55:W55"/>
    <mergeCell ref="I52:K52"/>
    <mergeCell ref="M52:N52"/>
    <mergeCell ref="P52:Q52"/>
    <mergeCell ref="S52:T52"/>
    <mergeCell ref="V52:W52"/>
    <mergeCell ref="I53:K53"/>
    <mergeCell ref="M53:N53"/>
    <mergeCell ref="P53:Q53"/>
    <mergeCell ref="S53:T53"/>
    <mergeCell ref="V53:W53"/>
    <mergeCell ref="M54:N54"/>
    <mergeCell ref="P54:Q54"/>
    <mergeCell ref="S54:T54"/>
    <mergeCell ref="I61:K61"/>
    <mergeCell ref="M61:N61"/>
    <mergeCell ref="P61:Q61"/>
    <mergeCell ref="S61:T61"/>
    <mergeCell ref="V61:W61"/>
    <mergeCell ref="E62:G62"/>
    <mergeCell ref="I62:K62"/>
    <mergeCell ref="S62:T62"/>
    <mergeCell ref="I58:K58"/>
    <mergeCell ref="M58:N58"/>
    <mergeCell ref="P58:Q58"/>
    <mergeCell ref="S58:T58"/>
    <mergeCell ref="V58:W58"/>
    <mergeCell ref="I59:K59"/>
    <mergeCell ref="M59:N59"/>
    <mergeCell ref="P59:Q59"/>
    <mergeCell ref="S59:T59"/>
    <mergeCell ref="V59:W59"/>
    <mergeCell ref="M66:N66"/>
    <mergeCell ref="P66:Q66"/>
    <mergeCell ref="S66:T66"/>
    <mergeCell ref="V66:W66"/>
    <mergeCell ref="M67:N67"/>
    <mergeCell ref="P67:Q67"/>
    <mergeCell ref="S67:T67"/>
    <mergeCell ref="V67:W67"/>
    <mergeCell ref="E64:K64"/>
    <mergeCell ref="M64:N65"/>
    <mergeCell ref="P64:Q65"/>
    <mergeCell ref="S64:T65"/>
    <mergeCell ref="V64:W65"/>
    <mergeCell ref="E65:G65"/>
    <mergeCell ref="I65:K65"/>
    <mergeCell ref="M70:N70"/>
    <mergeCell ref="P70:Q70"/>
    <mergeCell ref="S70:T70"/>
    <mergeCell ref="V70:W70"/>
    <mergeCell ref="M71:N71"/>
    <mergeCell ref="P71:Q71"/>
    <mergeCell ref="S71:T71"/>
    <mergeCell ref="V71:W71"/>
    <mergeCell ref="M68:N68"/>
    <mergeCell ref="P68:Q68"/>
    <mergeCell ref="S68:T68"/>
    <mergeCell ref="V68:W68"/>
    <mergeCell ref="M69:N69"/>
    <mergeCell ref="P69:Q69"/>
    <mergeCell ref="S69:T69"/>
    <mergeCell ref="V69:W69"/>
    <mergeCell ref="M74:N74"/>
    <mergeCell ref="P74:Q74"/>
    <mergeCell ref="S74:T74"/>
    <mergeCell ref="V74:W74"/>
    <mergeCell ref="M75:N75"/>
    <mergeCell ref="P75:Q75"/>
    <mergeCell ref="S75:T75"/>
    <mergeCell ref="V75:W75"/>
    <mergeCell ref="M72:N72"/>
    <mergeCell ref="P72:Q72"/>
    <mergeCell ref="S72:T72"/>
    <mergeCell ref="V72:W72"/>
    <mergeCell ref="M73:N73"/>
    <mergeCell ref="P73:Q73"/>
    <mergeCell ref="S73:T73"/>
    <mergeCell ref="V73:W73"/>
    <mergeCell ref="M76:N76"/>
    <mergeCell ref="P76:Q76"/>
    <mergeCell ref="S76:T76"/>
    <mergeCell ref="V76:W76"/>
    <mergeCell ref="S77:T77"/>
    <mergeCell ref="E79:K79"/>
    <mergeCell ref="M79:N80"/>
    <mergeCell ref="P79:Q80"/>
    <mergeCell ref="S79:T80"/>
    <mergeCell ref="V79:W80"/>
    <mergeCell ref="M82:N82"/>
    <mergeCell ref="P82:Q82"/>
    <mergeCell ref="S82:T82"/>
    <mergeCell ref="V82:W82"/>
    <mergeCell ref="M83:N83"/>
    <mergeCell ref="P83:Q83"/>
    <mergeCell ref="S83:T83"/>
    <mergeCell ref="V83:W83"/>
    <mergeCell ref="E80:G80"/>
    <mergeCell ref="I80:K80"/>
    <mergeCell ref="M81:N81"/>
    <mergeCell ref="P81:Q81"/>
    <mergeCell ref="S81:T81"/>
    <mergeCell ref="V81:W81"/>
    <mergeCell ref="M86:N86"/>
    <mergeCell ref="P86:Q86"/>
    <mergeCell ref="S86:T86"/>
    <mergeCell ref="V86:W86"/>
    <mergeCell ref="M87:N87"/>
    <mergeCell ref="P87:Q87"/>
    <mergeCell ref="S87:T87"/>
    <mergeCell ref="V87:W87"/>
    <mergeCell ref="M84:N84"/>
    <mergeCell ref="P84:Q84"/>
    <mergeCell ref="S84:T84"/>
    <mergeCell ref="V84:W84"/>
    <mergeCell ref="M85:N85"/>
    <mergeCell ref="P85:Q85"/>
    <mergeCell ref="S85:T85"/>
    <mergeCell ref="V85:W85"/>
    <mergeCell ref="A92:E92"/>
    <mergeCell ref="G92:I92"/>
    <mergeCell ref="K92:M92"/>
    <mergeCell ref="P92:Q92"/>
    <mergeCell ref="S92:T92"/>
    <mergeCell ref="V92:W92"/>
    <mergeCell ref="M88:N88"/>
    <mergeCell ref="P88:Q88"/>
    <mergeCell ref="S88:T88"/>
    <mergeCell ref="V88:W88"/>
    <mergeCell ref="S89:T89"/>
    <mergeCell ref="A91:I91"/>
    <mergeCell ref="K91:N91"/>
    <mergeCell ref="P91:Q91"/>
    <mergeCell ref="S91:T91"/>
    <mergeCell ref="V91:W91"/>
    <mergeCell ref="A94:E94"/>
    <mergeCell ref="G94:I94"/>
    <mergeCell ref="K94:M94"/>
    <mergeCell ref="P94:Q94"/>
    <mergeCell ref="S94:T94"/>
    <mergeCell ref="V94:W94"/>
    <mergeCell ref="A93:E93"/>
    <mergeCell ref="G93:I93"/>
    <mergeCell ref="K93:M93"/>
    <mergeCell ref="P93:Q93"/>
    <mergeCell ref="S93:T93"/>
    <mergeCell ref="V93:W93"/>
    <mergeCell ref="A96:E96"/>
    <mergeCell ref="G96:I96"/>
    <mergeCell ref="K96:M96"/>
    <mergeCell ref="P96:Q96"/>
    <mergeCell ref="S96:T96"/>
    <mergeCell ref="V96:W96"/>
    <mergeCell ref="A95:E95"/>
    <mergeCell ref="G95:I95"/>
    <mergeCell ref="K95:M95"/>
    <mergeCell ref="P95:Q95"/>
    <mergeCell ref="S95:T95"/>
    <mergeCell ref="V95:W95"/>
    <mergeCell ref="A98:E98"/>
    <mergeCell ref="G98:I98"/>
    <mergeCell ref="K98:M98"/>
    <mergeCell ref="P98:Q98"/>
    <mergeCell ref="S98:T98"/>
    <mergeCell ref="V98:W98"/>
    <mergeCell ref="A97:E97"/>
    <mergeCell ref="G97:I97"/>
    <mergeCell ref="K97:M97"/>
    <mergeCell ref="P97:Q97"/>
    <mergeCell ref="S97:T97"/>
    <mergeCell ref="V97:W97"/>
    <mergeCell ref="A100:E100"/>
    <mergeCell ref="G100:I100"/>
    <mergeCell ref="K100:M100"/>
    <mergeCell ref="P100:Q100"/>
    <mergeCell ref="S100:T100"/>
    <mergeCell ref="V100:W100"/>
    <mergeCell ref="A99:E99"/>
    <mergeCell ref="G99:I99"/>
    <mergeCell ref="K99:M99"/>
    <mergeCell ref="P99:Q99"/>
    <mergeCell ref="S99:T99"/>
    <mergeCell ref="V99:W99"/>
    <mergeCell ref="A102:E102"/>
    <mergeCell ref="G102:I102"/>
    <mergeCell ref="K102:M102"/>
    <mergeCell ref="P102:Q102"/>
    <mergeCell ref="S102:T102"/>
    <mergeCell ref="V102:W102"/>
    <mergeCell ref="A101:E101"/>
    <mergeCell ref="G101:I101"/>
    <mergeCell ref="K101:M101"/>
    <mergeCell ref="P101:Q101"/>
    <mergeCell ref="S101:T101"/>
    <mergeCell ref="V101:W101"/>
    <mergeCell ref="K104:M104"/>
    <mergeCell ref="P104:Q104"/>
    <mergeCell ref="S104:T104"/>
    <mergeCell ref="V104:W104"/>
    <mergeCell ref="G105:I105"/>
    <mergeCell ref="S105:T105"/>
    <mergeCell ref="A103:E103"/>
    <mergeCell ref="G103:I103"/>
    <mergeCell ref="K103:M103"/>
    <mergeCell ref="P103:Q103"/>
    <mergeCell ref="S103:T103"/>
    <mergeCell ref="V103:W103"/>
    <mergeCell ref="S122:W128"/>
    <mergeCell ref="G123:I123"/>
    <mergeCell ref="G125:I125"/>
    <mergeCell ref="G127:I127"/>
    <mergeCell ref="P115:Q115"/>
    <mergeCell ref="S115:T115"/>
    <mergeCell ref="V115:W115"/>
    <mergeCell ref="S116:T116"/>
    <mergeCell ref="G118:I118"/>
    <mergeCell ref="A121:W121"/>
    <mergeCell ref="P113:Q113"/>
    <mergeCell ref="S113:T113"/>
    <mergeCell ref="V113:W113"/>
    <mergeCell ref="P114:Q114"/>
    <mergeCell ref="S114:T114"/>
    <mergeCell ref="V114:W114"/>
    <mergeCell ref="G107:I107"/>
    <mergeCell ref="A110:W110"/>
    <mergeCell ref="P111:Q111"/>
    <mergeCell ref="S111:T111"/>
    <mergeCell ref="V111:W111"/>
    <mergeCell ref="P112:Q112"/>
    <mergeCell ref="S112:T112"/>
    <mergeCell ref="V112:W112"/>
    <mergeCell ref="A1:W1"/>
    <mergeCell ref="A2:W2"/>
    <mergeCell ref="A3:W3"/>
    <mergeCell ref="I45:K45"/>
    <mergeCell ref="M45:N45"/>
    <mergeCell ref="P45:Q45"/>
    <mergeCell ref="S45:T45"/>
    <mergeCell ref="V45:W45"/>
    <mergeCell ref="I60:K60"/>
    <mergeCell ref="M60:N60"/>
    <mergeCell ref="P60:Q60"/>
    <mergeCell ref="S60:T60"/>
    <mergeCell ref="V60:W60"/>
    <mergeCell ref="I56:K56"/>
    <mergeCell ref="M56:N56"/>
    <mergeCell ref="P56:Q56"/>
    <mergeCell ref="S56:T56"/>
    <mergeCell ref="V56:W56"/>
    <mergeCell ref="I57:K57"/>
    <mergeCell ref="M57:N57"/>
    <mergeCell ref="P57:Q57"/>
    <mergeCell ref="S57:T57"/>
    <mergeCell ref="V57:W57"/>
    <mergeCell ref="I54:K54"/>
  </mergeCells>
  <printOptions horizontalCentered="1"/>
  <pageMargins left="0.19685039370078741" right="0.19685039370078741" top="0.59055118110236227" bottom="0.19685039370078741" header="0" footer="0"/>
  <pageSetup scale="54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31"/>
  <sheetViews>
    <sheetView workbookViewId="0">
      <selection activeCell="B33" sqref="B33"/>
    </sheetView>
  </sheetViews>
  <sheetFormatPr baseColWidth="10" defaultRowHeight="12.75" x14ac:dyDescent="0.2"/>
  <cols>
    <col min="2" max="2" width="30.5703125" customWidth="1"/>
    <col min="3" max="3" width="12.7109375" bestFit="1" customWidth="1"/>
    <col min="4" max="4" width="15.7109375" customWidth="1"/>
    <col min="5" max="5" width="19.7109375" customWidth="1"/>
  </cols>
  <sheetData>
    <row r="5" spans="2:5" ht="25.5" x14ac:dyDescent="0.2">
      <c r="B5" s="3" t="s">
        <v>95</v>
      </c>
      <c r="C5" s="3" t="s">
        <v>94</v>
      </c>
      <c r="D5" s="3" t="s">
        <v>85</v>
      </c>
      <c r="E5" s="3" t="s">
        <v>87</v>
      </c>
    </row>
    <row r="6" spans="2:5" x14ac:dyDescent="0.2">
      <c r="B6" s="1" t="s">
        <v>86</v>
      </c>
      <c r="C6" s="4">
        <v>10000000</v>
      </c>
      <c r="D6" s="5">
        <v>0.2</v>
      </c>
      <c r="E6" s="4">
        <f t="shared" ref="E6:E12" si="0">+C6*D6</f>
        <v>2000000</v>
      </c>
    </row>
    <row r="7" spans="2:5" x14ac:dyDescent="0.2">
      <c r="B7" s="1" t="s">
        <v>88</v>
      </c>
      <c r="C7" s="4">
        <v>50000000</v>
      </c>
      <c r="D7" s="5">
        <v>0.18</v>
      </c>
      <c r="E7" s="4">
        <f t="shared" si="0"/>
        <v>9000000</v>
      </c>
    </row>
    <row r="8" spans="2:5" x14ac:dyDescent="0.2">
      <c r="B8" s="1" t="s">
        <v>89</v>
      </c>
      <c r="C8" s="4">
        <v>100000000</v>
      </c>
      <c r="D8" s="5">
        <v>0.15</v>
      </c>
      <c r="E8" s="4">
        <f t="shared" si="0"/>
        <v>15000000</v>
      </c>
    </row>
    <row r="9" spans="2:5" x14ac:dyDescent="0.2">
      <c r="B9" s="1" t="s">
        <v>90</v>
      </c>
      <c r="C9" s="4">
        <v>300000000</v>
      </c>
      <c r="D9" s="5">
        <v>0.12</v>
      </c>
      <c r="E9" s="4">
        <f t="shared" si="0"/>
        <v>36000000</v>
      </c>
    </row>
    <row r="10" spans="2:5" x14ac:dyDescent="0.2">
      <c r="B10" s="1" t="s">
        <v>91</v>
      </c>
      <c r="C10" s="4">
        <v>500000000</v>
      </c>
      <c r="D10" s="5">
        <v>0.09</v>
      </c>
      <c r="E10" s="4">
        <f t="shared" si="0"/>
        <v>45000000</v>
      </c>
    </row>
    <row r="11" spans="2:5" x14ac:dyDescent="0.2">
      <c r="B11" s="1" t="s">
        <v>92</v>
      </c>
      <c r="C11" s="4">
        <v>700000000</v>
      </c>
      <c r="D11" s="5">
        <v>0.06</v>
      </c>
      <c r="E11" s="4">
        <f t="shared" si="0"/>
        <v>42000000</v>
      </c>
    </row>
    <row r="12" spans="2:5" x14ac:dyDescent="0.2">
      <c r="B12" s="1" t="s">
        <v>93</v>
      </c>
      <c r="C12" s="4">
        <v>700000000</v>
      </c>
      <c r="D12" s="5">
        <v>0.04</v>
      </c>
      <c r="E12" s="4">
        <f t="shared" si="0"/>
        <v>28000000</v>
      </c>
    </row>
    <row r="13" spans="2:5" x14ac:dyDescent="0.2">
      <c r="B13" s="2"/>
      <c r="C13" s="4"/>
      <c r="D13" s="2"/>
      <c r="E13" s="4"/>
    </row>
    <row r="15" spans="2:5" x14ac:dyDescent="0.2">
      <c r="D15" s="6"/>
    </row>
    <row r="16" spans="2:5" x14ac:dyDescent="0.2">
      <c r="D16" s="6"/>
    </row>
    <row r="17" spans="4:5" x14ac:dyDescent="0.2">
      <c r="D17" s="6"/>
      <c r="E17" s="8"/>
    </row>
    <row r="18" spans="4:5" x14ac:dyDescent="0.2">
      <c r="D18" s="6"/>
      <c r="E18" s="8"/>
    </row>
    <row r="19" spans="4:5" x14ac:dyDescent="0.2">
      <c r="D19" s="6"/>
      <c r="E19" s="8"/>
    </row>
    <row r="20" spans="4:5" x14ac:dyDescent="0.2">
      <c r="D20" s="6"/>
      <c r="E20" s="8"/>
    </row>
    <row r="21" spans="4:5" x14ac:dyDescent="0.2">
      <c r="D21" s="6"/>
      <c r="E21" s="8"/>
    </row>
    <row r="22" spans="4:5" x14ac:dyDescent="0.2">
      <c r="D22" s="6"/>
      <c r="E22" s="8"/>
    </row>
    <row r="23" spans="4:5" x14ac:dyDescent="0.2">
      <c r="D23" s="6"/>
      <c r="E23" s="8"/>
    </row>
    <row r="24" spans="4:5" x14ac:dyDescent="0.2">
      <c r="D24" s="6"/>
      <c r="E24" s="8"/>
    </row>
    <row r="25" spans="4:5" x14ac:dyDescent="0.2">
      <c r="D25" s="6"/>
      <c r="E25" s="8"/>
    </row>
    <row r="26" spans="4:5" x14ac:dyDescent="0.2">
      <c r="D26" s="6"/>
      <c r="E26" s="8"/>
    </row>
    <row r="27" spans="4:5" x14ac:dyDescent="0.2">
      <c r="D27" s="6"/>
      <c r="E27" s="8"/>
    </row>
    <row r="28" spans="4:5" x14ac:dyDescent="0.2">
      <c r="D28" s="6"/>
    </row>
    <row r="29" spans="4:5" x14ac:dyDescent="0.2">
      <c r="D29" s="7"/>
    </row>
    <row r="30" spans="4:5" x14ac:dyDescent="0.2">
      <c r="D30" s="6"/>
    </row>
    <row r="31" spans="4:5" x14ac:dyDescent="0.2">
      <c r="D31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Evaluacion de Ofertas</vt:lpstr>
      <vt:lpstr>INFRAESTRUCTURA</vt:lpstr>
      <vt:lpstr>'Evaluacion de Ofertas'!Área_de_impresión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Selcomp</dc:creator>
  <cp:lastModifiedBy>Anderson Carrillo</cp:lastModifiedBy>
  <cp:lastPrinted>2018-10-18T16:27:45Z</cp:lastPrinted>
  <dcterms:created xsi:type="dcterms:W3CDTF">2001-03-09T15:39:00Z</dcterms:created>
  <dcterms:modified xsi:type="dcterms:W3CDTF">2018-10-18T16:47:19Z</dcterms:modified>
</cp:coreProperties>
</file>