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son.carrillo\Desktop\4. INFORMACIÓN DOCUMENTADA\3. GESTIÓN COMERCIAL\Red de Funcionarios COMERCIAL\4. FORMATOS\"/>
    </mc:Choice>
  </mc:AlternateContent>
  <bookViews>
    <workbookView xWindow="0" yWindow="0" windowWidth="16320" windowHeight="4830" tabRatio="686" firstSheet="1" activeTab="1"/>
  </bookViews>
  <sheets>
    <sheet name="PORTADA" sheetId="4" r:id="rId1"/>
    <sheet name="EVALUACIÓN DE SERVICI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J79" i="1"/>
  <c r="J80" i="1"/>
  <c r="J81" i="1"/>
  <c r="J82" i="1"/>
  <c r="J83" i="1"/>
  <c r="J84" i="1"/>
  <c r="J85" i="1"/>
  <c r="J86" i="1"/>
  <c r="J87" i="1"/>
  <c r="J88" i="1"/>
  <c r="F117" i="1"/>
  <c r="G117" i="1" s="1"/>
  <c r="F118" i="1"/>
  <c r="G118" i="1"/>
  <c r="F119" i="1"/>
  <c r="G119" i="1" s="1"/>
  <c r="F120" i="1"/>
  <c r="G120" i="1"/>
  <c r="L68" i="1" l="1"/>
  <c r="L71" i="1"/>
  <c r="K58" i="1"/>
  <c r="K111" i="1" l="1"/>
  <c r="L111" i="1" s="1"/>
  <c r="I7" i="1" l="1"/>
  <c r="L67" i="1" l="1"/>
  <c r="K67" i="1"/>
  <c r="K70" i="1"/>
  <c r="L70" i="1"/>
  <c r="D77" i="1"/>
  <c r="F116" i="1"/>
  <c r="F115" i="1"/>
  <c r="F114" i="1"/>
  <c r="F113" i="1"/>
  <c r="F112" i="1"/>
  <c r="F111" i="1"/>
  <c r="F110" i="1"/>
  <c r="F109" i="1"/>
  <c r="F108" i="1"/>
  <c r="K110" i="1"/>
  <c r="K109" i="1"/>
  <c r="K108" i="1"/>
  <c r="L62" i="1"/>
  <c r="K57" i="1"/>
  <c r="L57" i="1"/>
  <c r="L69" i="1"/>
  <c r="K69" i="1"/>
  <c r="K68" i="1"/>
  <c r="F121" i="1" l="1"/>
  <c r="C7" i="1"/>
  <c r="E6" i="4"/>
  <c r="F129" i="1" l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J143" i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G143" i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C139" i="1"/>
  <c r="J113" i="1" l="1"/>
  <c r="J95" i="1"/>
  <c r="K95" i="1" s="1"/>
  <c r="J96" i="1"/>
  <c r="K96" i="1" s="1"/>
  <c r="J97" i="1"/>
  <c r="K97" i="1" s="1"/>
  <c r="J98" i="1"/>
  <c r="J99" i="1"/>
  <c r="J100" i="1"/>
  <c r="J101" i="1"/>
  <c r="J94" i="1"/>
  <c r="K94" i="1" s="1"/>
  <c r="L58" i="1"/>
  <c r="L59" i="1"/>
  <c r="L60" i="1"/>
  <c r="L61" i="1"/>
  <c r="L63" i="1"/>
  <c r="L64" i="1"/>
  <c r="L65" i="1"/>
  <c r="L66" i="1"/>
  <c r="K59" i="1"/>
  <c r="K60" i="1"/>
  <c r="K61" i="1"/>
  <c r="K62" i="1"/>
  <c r="K63" i="1"/>
  <c r="K64" i="1"/>
  <c r="K65" i="1"/>
  <c r="K66" i="1"/>
  <c r="K71" i="1"/>
  <c r="H72" i="1"/>
  <c r="G72" i="1"/>
  <c r="D12" i="1"/>
  <c r="AV133" i="1"/>
  <c r="AU133" i="1"/>
  <c r="AT133" i="1"/>
  <c r="AS133" i="1"/>
  <c r="AR133" i="1"/>
  <c r="AQ133" i="1"/>
  <c r="AV132" i="1"/>
  <c r="AU132" i="1"/>
  <c r="AT132" i="1"/>
  <c r="AS132" i="1"/>
  <c r="AR132" i="1"/>
  <c r="AQ132" i="1"/>
  <c r="AV131" i="1"/>
  <c r="AU131" i="1"/>
  <c r="AT131" i="1"/>
  <c r="AS131" i="1"/>
  <c r="AR131" i="1"/>
  <c r="AQ131" i="1"/>
  <c r="AV130" i="1"/>
  <c r="AU130" i="1"/>
  <c r="AT130" i="1"/>
  <c r="AS130" i="1"/>
  <c r="AR130" i="1"/>
  <c r="AQ130" i="1"/>
  <c r="J125" i="1"/>
  <c r="J126" i="1" s="1"/>
  <c r="D126" i="1"/>
  <c r="L72" i="1" l="1"/>
  <c r="L109" i="1"/>
  <c r="K112" i="1"/>
  <c r="L112" i="1" s="1"/>
  <c r="L110" i="1"/>
  <c r="D14" i="4" l="1"/>
  <c r="AG131" i="1" l="1"/>
  <c r="AH131" i="1" l="1"/>
  <c r="AI131" i="1" l="1"/>
  <c r="AJ131" i="1" l="1"/>
  <c r="D13" i="4" l="1"/>
  <c r="AK131" i="1"/>
  <c r="AL131" i="1" l="1"/>
  <c r="AM131" i="1" l="1"/>
  <c r="AN131" i="1" l="1"/>
  <c r="AO131" i="1" l="1"/>
  <c r="AP131" i="1" l="1"/>
  <c r="G116" i="1" l="1"/>
  <c r="G115" i="1"/>
  <c r="G114" i="1"/>
  <c r="G113" i="1"/>
  <c r="G112" i="1"/>
  <c r="G111" i="1"/>
  <c r="G110" i="1"/>
  <c r="G109" i="1"/>
  <c r="G108" i="1"/>
  <c r="G121" i="1" l="1"/>
  <c r="G22" i="1"/>
  <c r="H102" i="1" l="1"/>
  <c r="I102" i="1"/>
  <c r="K98" i="1"/>
  <c r="K99" i="1"/>
  <c r="K100" i="1"/>
  <c r="K101" i="1"/>
  <c r="K79" i="1"/>
  <c r="H89" i="1"/>
  <c r="G89" i="1"/>
  <c r="F72" i="1"/>
  <c r="E72" i="1"/>
  <c r="H51" i="1"/>
  <c r="K31" i="1"/>
  <c r="L31" i="1" s="1"/>
  <c r="M31" i="1" s="1"/>
  <c r="K32" i="1"/>
  <c r="L32" i="1" s="1"/>
  <c r="M32" i="1" s="1"/>
  <c r="K33" i="1"/>
  <c r="L33" i="1" s="1"/>
  <c r="K34" i="1"/>
  <c r="L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M50" i="1" s="1"/>
  <c r="K30" i="1"/>
  <c r="C6" i="1"/>
  <c r="K87" i="1" l="1"/>
  <c r="L87" i="1" s="1"/>
  <c r="K102" i="1"/>
  <c r="G21" i="1" s="1"/>
  <c r="J102" i="1"/>
  <c r="K83" i="1"/>
  <c r="L83" i="1" s="1"/>
  <c r="K86" i="1"/>
  <c r="L86" i="1" s="1"/>
  <c r="K82" i="1"/>
  <c r="L82" i="1" s="1"/>
  <c r="K88" i="1"/>
  <c r="L88" i="1" s="1"/>
  <c r="K72" i="1"/>
  <c r="K85" i="1"/>
  <c r="L85" i="1" s="1"/>
  <c r="K81" i="1"/>
  <c r="L81" i="1" s="1"/>
  <c r="K84" i="1"/>
  <c r="L84" i="1" s="1"/>
  <c r="K80" i="1"/>
  <c r="L80" i="1" s="1"/>
  <c r="K51" i="1"/>
  <c r="L30" i="1"/>
  <c r="L51" i="1" l="1"/>
  <c r="G18" i="1" s="1"/>
  <c r="M30" i="1"/>
  <c r="G19" i="1"/>
  <c r="H19" i="1" s="1"/>
  <c r="H21" i="1"/>
  <c r="I21" i="1" s="1"/>
  <c r="L79" i="1"/>
  <c r="L89" i="1" s="1"/>
  <c r="G20" i="1" s="1"/>
  <c r="H20" i="1" s="1"/>
  <c r="K89" i="1"/>
  <c r="H18" i="1" l="1"/>
  <c r="I18" i="1" s="1"/>
  <c r="I19" i="1"/>
  <c r="I20" i="1"/>
  <c r="H126" i="1" s="1"/>
  <c r="E133" i="1" l="1"/>
  <c r="F130" i="1" l="1"/>
  <c r="F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G131" i="1"/>
  <c r="K131" i="1"/>
  <c r="L131" i="1"/>
  <c r="H131" i="1"/>
  <c r="I131" i="1"/>
  <c r="J131" i="1"/>
  <c r="F132" i="1" l="1"/>
  <c r="F133" i="1" s="1"/>
  <c r="G130" i="1" s="1"/>
  <c r="G132" i="1" s="1"/>
  <c r="G133" i="1" s="1"/>
  <c r="H130" i="1" s="1"/>
  <c r="H132" i="1" s="1"/>
  <c r="H133" i="1" s="1"/>
  <c r="I130" i="1" s="1"/>
  <c r="I132" i="1" s="1"/>
  <c r="I133" i="1" s="1"/>
  <c r="J130" i="1" s="1"/>
  <c r="J132" i="1" s="1"/>
  <c r="J133" i="1" s="1"/>
  <c r="D131" i="1"/>
  <c r="K130" i="1" l="1"/>
  <c r="K132" i="1" s="1"/>
  <c r="K133" i="1" s="1"/>
  <c r="L130" i="1" l="1"/>
  <c r="L132" i="1" s="1"/>
  <c r="L133" i="1" s="1"/>
  <c r="H25" i="1"/>
  <c r="I22" i="1"/>
  <c r="M130" i="1" l="1"/>
  <c r="M132" i="1" s="1"/>
  <c r="M133" i="1" s="1"/>
  <c r="N130" i="1" l="1"/>
  <c r="N132" i="1" s="1"/>
  <c r="N133" i="1" s="1"/>
  <c r="O130" i="1" l="1"/>
  <c r="O132" i="1" s="1"/>
  <c r="O133" i="1" s="1"/>
  <c r="P130" i="1" l="1"/>
  <c r="P132" i="1" s="1"/>
  <c r="P133" i="1" s="1"/>
  <c r="Q130" i="1" l="1"/>
  <c r="Q132" i="1" l="1"/>
  <c r="Q133" i="1" s="1"/>
  <c r="R130" i="1" l="1"/>
  <c r="R132" i="1" l="1"/>
  <c r="R133" i="1" s="1"/>
  <c r="S130" i="1" l="1"/>
  <c r="S132" i="1" l="1"/>
  <c r="S133" i="1" s="1"/>
  <c r="T130" i="1" l="1"/>
  <c r="T132" i="1" l="1"/>
  <c r="T133" i="1" s="1"/>
  <c r="E14" i="4" l="1"/>
  <c r="U130" i="1"/>
  <c r="E13" i="4" l="1"/>
  <c r="U132" i="1"/>
  <c r="U133" i="1" s="1"/>
  <c r="V130" i="1" l="1"/>
  <c r="V132" i="1" s="1"/>
  <c r="V133" i="1" s="1"/>
  <c r="W130" i="1" l="1"/>
  <c r="W132" i="1" s="1"/>
  <c r="W133" i="1" s="1"/>
  <c r="X130" i="1" l="1"/>
  <c r="X132" i="1" s="1"/>
  <c r="X133" i="1" s="1"/>
  <c r="Y130" i="1" l="1"/>
  <c r="Y132" i="1" s="1"/>
  <c r="Y133" i="1" s="1"/>
  <c r="Z130" i="1" l="1"/>
  <c r="Z132" i="1" s="1"/>
  <c r="Z133" i="1" s="1"/>
  <c r="AA130" i="1" l="1"/>
  <c r="AA132" i="1" s="1"/>
  <c r="AA133" i="1" s="1"/>
  <c r="AB130" i="1" l="1"/>
  <c r="AB132" i="1" s="1"/>
  <c r="AB133" i="1" s="1"/>
  <c r="AC130" i="1" l="1"/>
  <c r="AC132" i="1" s="1"/>
  <c r="AC133" i="1" s="1"/>
  <c r="AD130" i="1" l="1"/>
  <c r="AD132" i="1" s="1"/>
  <c r="AD133" i="1" s="1"/>
  <c r="AE130" i="1" l="1"/>
  <c r="AE132" i="1" s="1"/>
  <c r="AE133" i="1" s="1"/>
  <c r="AF130" i="1" l="1"/>
  <c r="AF132" i="1" l="1"/>
  <c r="AF133" i="1" s="1"/>
  <c r="AG130" i="1" l="1"/>
  <c r="AG132" i="1" l="1"/>
  <c r="AG133" i="1" s="1"/>
  <c r="AH130" i="1" l="1"/>
  <c r="AH132" i="1" l="1"/>
  <c r="AH133" i="1" s="1"/>
  <c r="AI130" i="1" l="1"/>
  <c r="AI132" i="1" l="1"/>
  <c r="AI133" i="1" s="1"/>
  <c r="AJ130" i="1" l="1"/>
  <c r="AJ132" i="1" l="1"/>
  <c r="AJ133" i="1" s="1"/>
  <c r="AK130" i="1" l="1"/>
  <c r="AK132" i="1" l="1"/>
  <c r="AK133" i="1" s="1"/>
  <c r="AL130" i="1" l="1"/>
  <c r="AL132" i="1" s="1"/>
  <c r="AL133" i="1" s="1"/>
  <c r="AM130" i="1" l="1"/>
  <c r="AM132" i="1" s="1"/>
  <c r="AM133" i="1"/>
  <c r="AN130" i="1" l="1"/>
  <c r="AN132" i="1" s="1"/>
  <c r="AN133" i="1"/>
  <c r="AO130" i="1" l="1"/>
  <c r="AO132" i="1" s="1"/>
  <c r="AO133" i="1" s="1"/>
  <c r="AP130" i="1" l="1"/>
  <c r="AP132" i="1" l="1"/>
  <c r="AP133" i="1" s="1"/>
  <c r="D130" i="1"/>
  <c r="D134" i="1" l="1"/>
  <c r="G24" i="1"/>
  <c r="I24" i="1" l="1"/>
  <c r="K113" i="1" l="1"/>
  <c r="L108" i="1"/>
  <c r="L113" i="1" s="1"/>
  <c r="G23" i="1" s="1"/>
  <c r="G25" i="1" l="1"/>
  <c r="I23" i="1"/>
  <c r="I25" i="1" s="1"/>
  <c r="J24" i="1" l="1"/>
  <c r="J18" i="1"/>
  <c r="J22" i="1"/>
  <c r="L12" i="1"/>
  <c r="M18" i="1"/>
  <c r="M22" i="1" s="1"/>
  <c r="J23" i="1"/>
  <c r="E139" i="1"/>
  <c r="L13" i="1"/>
  <c r="M13" i="1" s="1"/>
  <c r="D15" i="1"/>
  <c r="F149" i="1"/>
  <c r="F143" i="1"/>
  <c r="I155" i="1"/>
  <c r="I143" i="1"/>
  <c r="I146" i="1"/>
  <c r="F142" i="1"/>
  <c r="L151" i="1"/>
  <c r="I142" i="1"/>
  <c r="L147" i="1"/>
  <c r="I150" i="1"/>
  <c r="J20" i="1"/>
  <c r="F152" i="1"/>
  <c r="I152" i="1"/>
  <c r="I148" i="1"/>
  <c r="L152" i="1"/>
  <c r="L154" i="1"/>
  <c r="L153" i="1"/>
  <c r="I153" i="1"/>
  <c r="L149" i="1"/>
  <c r="F154" i="1"/>
  <c r="I144" i="1"/>
  <c r="L144" i="1"/>
  <c r="F145" i="1"/>
  <c r="L145" i="1"/>
  <c r="L142" i="1"/>
  <c r="F150" i="1"/>
  <c r="I154" i="1"/>
  <c r="L155" i="1"/>
  <c r="L146" i="1"/>
  <c r="F146" i="1"/>
  <c r="L143" i="1"/>
  <c r="F151" i="1"/>
  <c r="I151" i="1"/>
  <c r="F144" i="1"/>
  <c r="I145" i="1"/>
  <c r="J19" i="1"/>
  <c r="F155" i="1"/>
  <c r="F147" i="1"/>
  <c r="L150" i="1"/>
  <c r="L148" i="1"/>
  <c r="I147" i="1"/>
  <c r="F148" i="1"/>
  <c r="J21" i="1"/>
  <c r="I149" i="1"/>
  <c r="F153" i="1"/>
  <c r="M19" i="1" l="1"/>
  <c r="M20" i="1" s="1"/>
  <c r="L14" i="1"/>
  <c r="M14" i="1" s="1"/>
  <c r="L15" i="1" s="1"/>
  <c r="M21" i="1" s="1"/>
  <c r="M24" i="1" s="1"/>
  <c r="K22" i="1"/>
  <c r="K19" i="1" s="1"/>
  <c r="M70" i="1" s="1"/>
  <c r="J25" i="1"/>
  <c r="M67" i="1" l="1"/>
  <c r="D12" i="4"/>
  <c r="H141" i="1"/>
  <c r="K141" i="1"/>
  <c r="E141" i="1"/>
  <c r="K18" i="1"/>
  <c r="M46" i="1" s="1"/>
  <c r="E12" i="4"/>
  <c r="K20" i="1"/>
  <c r="M79" i="1" s="1"/>
  <c r="K21" i="1"/>
  <c r="M96" i="1" l="1"/>
  <c r="M101" i="1"/>
  <c r="M98" i="1"/>
  <c r="M99" i="1"/>
  <c r="M100" i="1"/>
  <c r="M33" i="1"/>
  <c r="M34" i="1"/>
  <c r="M44" i="1"/>
  <c r="M45" i="1"/>
  <c r="M48" i="1"/>
  <c r="M49" i="1"/>
  <c r="M42" i="1"/>
  <c r="M47" i="1"/>
  <c r="M43" i="1"/>
  <c r="M94" i="1"/>
  <c r="M88" i="1"/>
  <c r="M95" i="1"/>
  <c r="M97" i="1"/>
  <c r="M84" i="1"/>
  <c r="M81" i="1"/>
  <c r="M82" i="1"/>
  <c r="M86" i="1"/>
  <c r="M87" i="1"/>
  <c r="M83" i="1"/>
  <c r="M80" i="1"/>
  <c r="M85" i="1"/>
  <c r="M59" i="1"/>
  <c r="M64" i="1"/>
  <c r="M60" i="1"/>
  <c r="M62" i="1"/>
  <c r="M63" i="1"/>
  <c r="M57" i="1"/>
  <c r="M66" i="1"/>
  <c r="M61" i="1"/>
  <c r="M65" i="1"/>
  <c r="M58" i="1"/>
  <c r="M71" i="1"/>
  <c r="M69" i="1"/>
  <c r="M68" i="1"/>
  <c r="M72" i="1" l="1"/>
  <c r="M51" i="1"/>
  <c r="M89" i="1"/>
  <c r="M102" i="1" l="1"/>
  <c r="M23" i="1" s="1"/>
</calcChain>
</file>

<file path=xl/comments1.xml><?xml version="1.0" encoding="utf-8"?>
<comments xmlns="http://schemas.openxmlformats.org/spreadsheetml/2006/main">
  <authors>
    <author>Usuario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MARGEN DE GANANCIA SOBRE TOTAL DE COSTOS</t>
        </r>
      </text>
    </comment>
  </commentList>
</comments>
</file>

<file path=xl/sharedStrings.xml><?xml version="1.0" encoding="utf-8"?>
<sst xmlns="http://schemas.openxmlformats.org/spreadsheetml/2006/main" count="210" uniqueCount="152">
  <si>
    <t>FECHA:</t>
  </si>
  <si>
    <t>NOMBRE EJECUTIVO DE CUENTA:</t>
  </si>
  <si>
    <t>CLIENTE:</t>
  </si>
  <si>
    <t>IVA</t>
  </si>
  <si>
    <t>TIEMPO (MESES):</t>
  </si>
  <si>
    <t>Categoría No. 21</t>
  </si>
  <si>
    <t>Categoría No. 20</t>
  </si>
  <si>
    <t>Categoría No. 19</t>
  </si>
  <si>
    <t>Categoría No. 18</t>
  </si>
  <si>
    <t>Categoría No. 17</t>
  </si>
  <si>
    <t>Categoría No. 16</t>
  </si>
  <si>
    <t xml:space="preserve">Categoría No. 15 </t>
  </si>
  <si>
    <t>Categoría No. 14</t>
  </si>
  <si>
    <t>Categoría No. 13</t>
  </si>
  <si>
    <t>Categoría No. 12</t>
  </si>
  <si>
    <t>Categoría No. 11</t>
  </si>
  <si>
    <t>Categoría No. 10</t>
  </si>
  <si>
    <t>Categoría No. 9</t>
  </si>
  <si>
    <t>NÓMINA</t>
  </si>
  <si>
    <t>COSTO EMPRESA</t>
  </si>
  <si>
    <t>%</t>
  </si>
  <si>
    <t>#</t>
  </si>
  <si>
    <t>COSTO MENSUAL</t>
  </si>
  <si>
    <t>COSTO PERIODO</t>
  </si>
  <si>
    <t>OBSERVACIÓN PERFILES</t>
  </si>
  <si>
    <t>COSTO PERSONAL TÉCNICO</t>
  </si>
  <si>
    <t>COSTO MANTENIMIENTO PREVENTIVO</t>
  </si>
  <si>
    <t>GASTOS ADMINISTRATIVOS</t>
  </si>
  <si>
    <t>TOTAL</t>
  </si>
  <si>
    <t>PC's Escritorio</t>
  </si>
  <si>
    <t>Portátiles</t>
  </si>
  <si>
    <t>Impresoras Gama Media</t>
  </si>
  <si>
    <t>Impresoras Gama Alta</t>
  </si>
  <si>
    <t>Plotter</t>
  </si>
  <si>
    <t>Scanner Gama Media</t>
  </si>
  <si>
    <t>Scanner Gama Alta</t>
  </si>
  <si>
    <t>Video Beam</t>
  </si>
  <si>
    <t>Servidores</t>
  </si>
  <si>
    <t>Otros Equipos (Monitores, FAX, Teléfonos, etc)</t>
  </si>
  <si>
    <t>BOGOTA</t>
  </si>
  <si>
    <t>OTRAS CIUDADES</t>
  </si>
  <si>
    <t>VALOR EQUIPOS</t>
  </si>
  <si>
    <t>TASA</t>
  </si>
  <si>
    <t># EQUIPOS DE SOPORTE</t>
  </si>
  <si>
    <t># EQUIPOS A INTERVENIR</t>
  </si>
  <si>
    <t>VALOR SERVICIO/EQUIPO</t>
  </si>
  <si>
    <t>INVERSIÓN EQUIPOS DE SOPORTE</t>
  </si>
  <si>
    <t>DEPRECIACIÓN</t>
  </si>
  <si>
    <t>INVERSIÓN ADQUISICIÓN EQUIPOS Y SERVICIOS</t>
  </si>
  <si>
    <t>VALOR SIN IVA</t>
  </si>
  <si>
    <t>DESCRIPCIÓN DEL EQUIPO Y SERVICIO</t>
  </si>
  <si>
    <t>CANTIDAD</t>
  </si>
  <si>
    <t>Repuestos</t>
  </si>
  <si>
    <t>Fungibles</t>
  </si>
  <si>
    <t>Service Desk</t>
  </si>
  <si>
    <t>Subcontratistas</t>
  </si>
  <si>
    <t>Laboratorio</t>
  </si>
  <si>
    <t>Tecnología Hardware</t>
  </si>
  <si>
    <t>Tecnología Software</t>
  </si>
  <si>
    <t>Transportes</t>
  </si>
  <si>
    <t>Encomiendas</t>
  </si>
  <si>
    <t>Imprevistos</t>
  </si>
  <si>
    <t>Comunicaciones</t>
  </si>
  <si>
    <t>Trámite Garantías</t>
  </si>
  <si>
    <t>OTROS COSTOS</t>
  </si>
  <si>
    <t>VALOR</t>
  </si>
  <si>
    <t>Cableado Estructurado</t>
  </si>
  <si>
    <t xml:space="preserve">% </t>
  </si>
  <si>
    <t>BOLSA DE REPUESTOS</t>
  </si>
  <si>
    <t>VALOR MENSUAL</t>
  </si>
  <si>
    <t>VALOR PERIODO</t>
  </si>
  <si>
    <t>Legales</t>
  </si>
  <si>
    <t>Infraestructura</t>
  </si>
  <si>
    <t>IPC</t>
  </si>
  <si>
    <t>Comisión Ventas</t>
  </si>
  <si>
    <t>GASTOS FINANCIEROS</t>
  </si>
  <si>
    <t>Deuda</t>
  </si>
  <si>
    <t>Equity</t>
  </si>
  <si>
    <t>DTF</t>
  </si>
  <si>
    <t>Tasa Crédito</t>
  </si>
  <si>
    <t>Tasa E.A</t>
  </si>
  <si>
    <t>Tasa Mensual</t>
  </si>
  <si>
    <t>Plazo (meses)</t>
  </si>
  <si>
    <t>INTERES</t>
  </si>
  <si>
    <t>CUOTA</t>
  </si>
  <si>
    <t>ABONO A K</t>
  </si>
  <si>
    <t>MES</t>
  </si>
  <si>
    <t>SALDO</t>
  </si>
  <si>
    <t>Valor</t>
  </si>
  <si>
    <t>TIPO DE COSTO</t>
  </si>
  <si>
    <t>RESUMEN DE COSTOS</t>
  </si>
  <si>
    <t>AMORTIZACIÓN</t>
  </si>
  <si>
    <t>TIPO</t>
  </si>
  <si>
    <t>PRESUPUESTO CON IVA</t>
  </si>
  <si>
    <t>PRESUPUESTO SIN IVA</t>
  </si>
  <si>
    <t>**NOTA: Campos azules a completar</t>
  </si>
  <si>
    <t># SERVICIOS</t>
  </si>
  <si>
    <t>MARGEN DEL PROYECTO</t>
  </si>
  <si>
    <t>COSTOS/PRESUPUESTO</t>
  </si>
  <si>
    <t>UTILIDAD SIN AJUSTE</t>
  </si>
  <si>
    <t>OFERTA</t>
  </si>
  <si>
    <t>FACTOR</t>
  </si>
  <si>
    <t>VALIDADOR</t>
  </si>
  <si>
    <t>ESCENARIOS</t>
  </si>
  <si>
    <t>BENEFICIO</t>
  </si>
  <si>
    <t>MARGEN</t>
  </si>
  <si>
    <t>% FACTOR TIPO</t>
  </si>
  <si>
    <t>OFERTA SIN IVA</t>
  </si>
  <si>
    <t>RENTABILIDAD</t>
  </si>
  <si>
    <t>UTILIDAD SIN DEUDA</t>
  </si>
  <si>
    <t>UTILIDAD CON DEUDA</t>
  </si>
  <si>
    <t>TAX SHIELD</t>
  </si>
  <si>
    <t>IMPUESTOS</t>
  </si>
  <si>
    <t>Categoría No. 8</t>
  </si>
  <si>
    <t>Categoría No. 7</t>
  </si>
  <si>
    <t>Categoría No. 6</t>
  </si>
  <si>
    <t>Categoría No. 5</t>
  </si>
  <si>
    <t>Categoría No. 4</t>
  </si>
  <si>
    <t>Categoría No. 3</t>
  </si>
  <si>
    <t>Categoría No. 2</t>
  </si>
  <si>
    <t>Categoría No. 1</t>
  </si>
  <si>
    <t>INVERSIÓN EN EQUIPOS DE SOPORTE</t>
  </si>
  <si>
    <t>TOTAL COSTOS</t>
  </si>
  <si>
    <t>OFERTA CON IVA</t>
  </si>
  <si>
    <t>% PRESUPUESTO</t>
  </si>
  <si>
    <t>RESUMÉN</t>
  </si>
  <si>
    <t>EVALUACIÓN DE PROPUESTAS DE SERVICIO</t>
  </si>
  <si>
    <t>NOMBRE HOJA DE CALCULO</t>
  </si>
  <si>
    <t>FORMATO DE VALORACIÓN DE PROPUESTAS</t>
  </si>
  <si>
    <t>DEPARTAMENTO</t>
  </si>
  <si>
    <t>COMERCIAL</t>
  </si>
  <si>
    <t>CONTENIDO FORMATOS</t>
  </si>
  <si>
    <t>EVALUACIÓN DE SERVICIOS</t>
  </si>
  <si>
    <t>EVALUACIÓN DE VENTA-ARRIENDO</t>
  </si>
  <si>
    <t>FECHA</t>
  </si>
  <si>
    <t>EVALUACIÓN DE SERVICIO</t>
  </si>
  <si>
    <t>RESULTADOS OBTENIDOS FORMATOS</t>
  </si>
  <si>
    <t>PROYECTO</t>
  </si>
  <si>
    <t>NOMBRE EJECUTIVO DE CUENTA</t>
  </si>
  <si>
    <t>VALOR PROPUESTA CON IVA</t>
  </si>
  <si>
    <t>EVALUACIÓN DE ARRIENDO</t>
  </si>
  <si>
    <t>EVALUACIÓN DE VENTA</t>
  </si>
  <si>
    <t>SUBASTAS</t>
  </si>
  <si>
    <t>Sistema de control ambiental</t>
  </si>
  <si>
    <t>Sistema de cableado estructurado</t>
  </si>
  <si>
    <t>Firewall</t>
  </si>
  <si>
    <t xml:space="preserve">VALOR BASE </t>
  </si>
  <si>
    <t xml:space="preserve">Valor base cercano al presupuesto o al costo total </t>
  </si>
  <si>
    <t>Elementos de Red (UPS)</t>
  </si>
  <si>
    <t>Elementos de Red(Switches)</t>
  </si>
  <si>
    <t>Otros Equipos (Teléfonos)</t>
  </si>
  <si>
    <t>GC-P02-F05-R0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</si>
</sst>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;[Red]\-&quot;$&quot;#,##0"/>
    <numFmt numFmtId="165" formatCode="&quot;$&quot;#,##0.00;[Red]\-&quot;$&quot;#,##0.00"/>
    <numFmt numFmtId="166" formatCode="_(&quot;$&quot;\ * #,##0.00_);_(&quot;$&quot;\ * \(#,##0.00\);_(&quot;$&quot;\ * &quot;-&quot;??_);_(@_)"/>
    <numFmt numFmtId="167" formatCode="[$-240A]d&quot; de &quot;mmmm&quot; de &quot;yyyy;@"/>
    <numFmt numFmtId="168" formatCode="_(&quot;$&quot;\ * #,##0_);_(&quot;$&quot;\ * \(#,##0\);_(&quot;$&quot;\ * &quot;-&quot;??_);_(@_)"/>
    <numFmt numFmtId="169" formatCode="0.0%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i/>
      <sz val="8"/>
      <color theme="1"/>
      <name val="Verdana"/>
      <family val="2"/>
    </font>
    <font>
      <i/>
      <sz val="8"/>
      <color theme="1"/>
      <name val="Verdana"/>
      <family val="2"/>
    </font>
    <font>
      <b/>
      <sz val="8"/>
      <color theme="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BF1739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7">
    <xf numFmtId="0" fontId="0" fillId="0" borderId="0" xfId="0"/>
    <xf numFmtId="0" fontId="0" fillId="6" borderId="0" xfId="0" applyFill="1" applyBorder="1"/>
    <xf numFmtId="0" fontId="5" fillId="0" borderId="0" xfId="0" applyFont="1" applyBorder="1"/>
    <xf numFmtId="0" fontId="2" fillId="10" borderId="5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/>
    <xf numFmtId="0" fontId="2" fillId="10" borderId="55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2" fillId="0" borderId="57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4" borderId="60" xfId="0" applyFont="1" applyFill="1" applyBorder="1"/>
    <xf numFmtId="165" fontId="3" fillId="0" borderId="55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4" borderId="55" xfId="0" applyFont="1" applyFill="1" applyBorder="1"/>
    <xf numFmtId="0" fontId="3" fillId="4" borderId="56" xfId="0" applyFont="1" applyFill="1" applyBorder="1"/>
    <xf numFmtId="0" fontId="2" fillId="0" borderId="58" xfId="0" applyFont="1" applyBorder="1" applyAlignment="1">
      <alignment horizontal="center"/>
    </xf>
    <xf numFmtId="14" fontId="2" fillId="0" borderId="59" xfId="0" applyNumberFormat="1" applyFont="1" applyBorder="1" applyAlignment="1">
      <alignment horizontal="center" vertical="top" wrapText="1"/>
    </xf>
    <xf numFmtId="0" fontId="2" fillId="10" borderId="60" xfId="0" applyFont="1" applyFill="1" applyBorder="1" applyAlignment="1">
      <alignment horizontal="center" vertical="top" wrapText="1"/>
    </xf>
    <xf numFmtId="0" fontId="8" fillId="9" borderId="60" xfId="0" applyFont="1" applyFill="1" applyBorder="1" applyAlignment="1">
      <alignment horizontal="center" vertical="center"/>
    </xf>
    <xf numFmtId="0" fontId="10" fillId="7" borderId="6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" fillId="6" borderId="19" xfId="0" applyFont="1" applyFill="1" applyBorder="1" applyAlignment="1">
      <alignment horizontal="center"/>
    </xf>
    <xf numFmtId="0" fontId="3" fillId="2" borderId="5" xfId="0" applyFont="1" applyFill="1" applyBorder="1" applyAlignment="1"/>
    <xf numFmtId="164" fontId="3" fillId="0" borderId="56" xfId="0" applyNumberFormat="1" applyFont="1" applyBorder="1" applyAlignment="1">
      <alignment horizontal="center"/>
    </xf>
    <xf numFmtId="168" fontId="3" fillId="0" borderId="55" xfId="1" applyNumberFormat="1" applyFont="1" applyBorder="1" applyAlignment="1">
      <alignment horizontal="center"/>
    </xf>
    <xf numFmtId="164" fontId="3" fillId="0" borderId="55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9" fillId="11" borderId="5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0" borderId="5" xfId="3" applyBorder="1" applyAlignment="1">
      <alignment horizontal="center" vertical="center"/>
    </xf>
    <xf numFmtId="0" fontId="7" fillId="0" borderId="6" xfId="3" applyBorder="1" applyAlignment="1">
      <alignment horizontal="center" vertical="center"/>
    </xf>
    <xf numFmtId="0" fontId="7" fillId="0" borderId="61" xfId="3" applyBorder="1" applyAlignment="1">
      <alignment horizontal="center" vertical="center"/>
    </xf>
    <xf numFmtId="0" fontId="7" fillId="0" borderId="62" xfId="3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67" xfId="0" applyFont="1" applyBorder="1" applyAlignment="1">
      <alignment horizontal="right"/>
    </xf>
    <xf numFmtId="0" fontId="13" fillId="0" borderId="0" xfId="0" applyFont="1" applyBorder="1"/>
    <xf numFmtId="0" fontId="13" fillId="2" borderId="0" xfId="0" applyFont="1" applyFill="1" applyBorder="1"/>
    <xf numFmtId="0" fontId="13" fillId="2" borderId="10" xfId="0" applyFont="1" applyFill="1" applyBorder="1"/>
    <xf numFmtId="0" fontId="13" fillId="0" borderId="0" xfId="0" applyFont="1"/>
    <xf numFmtId="0" fontId="13" fillId="2" borderId="9" xfId="0" applyFont="1" applyFill="1" applyBorder="1"/>
    <xf numFmtId="0" fontId="13" fillId="2" borderId="11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5" fillId="3" borderId="13" xfId="0" applyFont="1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left"/>
    </xf>
    <xf numFmtId="167" fontId="13" fillId="2" borderId="2" xfId="0" applyNumberFormat="1" applyFont="1" applyFill="1" applyBorder="1" applyAlignment="1">
      <alignment horizontal="left"/>
    </xf>
    <xf numFmtId="167" fontId="13" fillId="2" borderId="3" xfId="0" applyNumberFormat="1" applyFont="1" applyFill="1" applyBorder="1" applyAlignment="1"/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2" fillId="0" borderId="7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5" xfId="0" applyFont="1" applyBorder="1"/>
    <xf numFmtId="0" fontId="12" fillId="0" borderId="4" xfId="0" applyFont="1" applyBorder="1"/>
    <xf numFmtId="0" fontId="12" fillId="0" borderId="6" xfId="0" applyFont="1" applyBorder="1"/>
    <xf numFmtId="0" fontId="14" fillId="3" borderId="22" xfId="0" applyFont="1" applyFill="1" applyBorder="1" applyAlignment="1">
      <alignment horizontal="right"/>
    </xf>
    <xf numFmtId="0" fontId="14" fillId="3" borderId="23" xfId="0" applyFont="1" applyFill="1" applyBorder="1" applyAlignment="1">
      <alignment horizontal="right"/>
    </xf>
    <xf numFmtId="168" fontId="14" fillId="6" borderId="23" xfId="1" applyNumberFormat="1" applyFont="1" applyFill="1" applyBorder="1" applyAlignment="1">
      <alignment horizontal="center"/>
    </xf>
    <xf numFmtId="168" fontId="14" fillId="6" borderId="24" xfId="1" applyNumberFormat="1" applyFont="1" applyFill="1" applyBorder="1" applyAlignment="1">
      <alignment horizontal="center"/>
    </xf>
    <xf numFmtId="0" fontId="12" fillId="6" borderId="0" xfId="0" applyFont="1" applyFill="1" applyBorder="1"/>
    <xf numFmtId="0" fontId="16" fillId="0" borderId="0" xfId="0" applyFont="1" applyBorder="1"/>
    <xf numFmtId="0" fontId="12" fillId="0" borderId="8" xfId="0" applyFont="1" applyBorder="1"/>
    <xf numFmtId="0" fontId="14" fillId="3" borderId="21" xfId="0" applyFont="1" applyFill="1" applyBorder="1" applyAlignment="1">
      <alignment horizontal="right"/>
    </xf>
    <xf numFmtId="0" fontId="14" fillId="3" borderId="12" xfId="0" applyFont="1" applyFill="1" applyBorder="1" applyAlignment="1">
      <alignment horizontal="right"/>
    </xf>
    <xf numFmtId="168" fontId="14" fillId="0" borderId="12" xfId="1" applyNumberFormat="1" applyFont="1" applyBorder="1" applyAlignment="1">
      <alignment horizontal="center"/>
    </xf>
    <xf numFmtId="168" fontId="14" fillId="0" borderId="25" xfId="1" applyNumberFormat="1" applyFont="1" applyBorder="1" applyAlignment="1">
      <alignment horizontal="center"/>
    </xf>
    <xf numFmtId="0" fontId="14" fillId="3" borderId="13" xfId="0" applyFont="1" applyFill="1" applyBorder="1" applyAlignment="1">
      <alignment horizontal="right"/>
    </xf>
    <xf numFmtId="10" fontId="14" fillId="2" borderId="1" xfId="0" applyNumberFormat="1" applyFont="1" applyFill="1" applyBorder="1"/>
    <xf numFmtId="168" fontId="14" fillId="6" borderId="12" xfId="1" applyNumberFormat="1" applyFont="1" applyFill="1" applyBorder="1" applyAlignment="1">
      <alignment horizontal="center"/>
    </xf>
    <xf numFmtId="168" fontId="14" fillId="6" borderId="25" xfId="1" applyNumberFormat="1" applyFont="1" applyFill="1" applyBorder="1" applyAlignment="1">
      <alignment horizontal="center"/>
    </xf>
    <xf numFmtId="168" fontId="14" fillId="2" borderId="1" xfId="1" applyNumberFormat="1" applyFont="1" applyFill="1" applyBorder="1"/>
    <xf numFmtId="168" fontId="14" fillId="2" borderId="13" xfId="1" applyNumberFormat="1" applyFont="1" applyFill="1" applyBorder="1"/>
    <xf numFmtId="9" fontId="14" fillId="2" borderId="12" xfId="2" applyFont="1" applyFill="1" applyBorder="1" applyAlignment="1">
      <alignment horizontal="center"/>
    </xf>
    <xf numFmtId="9" fontId="14" fillId="2" borderId="25" xfId="2" applyFont="1" applyFill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0" fontId="14" fillId="3" borderId="45" xfId="0" applyFont="1" applyFill="1" applyBorder="1" applyAlignment="1">
      <alignment horizontal="center"/>
    </xf>
    <xf numFmtId="10" fontId="14" fillId="0" borderId="46" xfId="0" applyNumberFormat="1" applyFont="1" applyBorder="1" applyAlignment="1">
      <alignment horizontal="center"/>
    </xf>
    <xf numFmtId="10" fontId="14" fillId="0" borderId="47" xfId="0" applyNumberFormat="1" applyFont="1" applyBorder="1" applyAlignment="1">
      <alignment horizontal="center"/>
    </xf>
    <xf numFmtId="9" fontId="12" fillId="0" borderId="0" xfId="0" applyNumberFormat="1" applyFont="1" applyBorder="1" applyAlignment="1">
      <alignment horizontal="center"/>
    </xf>
    <xf numFmtId="0" fontId="14" fillId="3" borderId="48" xfId="0" applyFont="1" applyFill="1" applyBorder="1" applyAlignment="1">
      <alignment horizontal="center"/>
    </xf>
    <xf numFmtId="0" fontId="14" fillId="3" borderId="49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4" fillId="3" borderId="54" xfId="0" applyFont="1" applyFill="1" applyBorder="1" applyAlignment="1">
      <alignment horizontal="center"/>
    </xf>
    <xf numFmtId="0" fontId="14" fillId="3" borderId="5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right"/>
    </xf>
    <xf numFmtId="9" fontId="14" fillId="6" borderId="13" xfId="0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168" fontId="12" fillId="0" borderId="12" xfId="1" applyNumberFormat="1" applyFont="1" applyBorder="1"/>
    <xf numFmtId="169" fontId="12" fillId="0" borderId="33" xfId="2" applyNumberFormat="1" applyFont="1" applyBorder="1" applyAlignment="1">
      <alignment horizontal="center"/>
    </xf>
    <xf numFmtId="170" fontId="12" fillId="0" borderId="55" xfId="0" applyNumberFormat="1" applyFont="1" applyBorder="1" applyAlignment="1">
      <alignment horizontal="center"/>
    </xf>
    <xf numFmtId="168" fontId="14" fillId="0" borderId="13" xfId="0" applyNumberFormat="1" applyFont="1" applyBorder="1"/>
    <xf numFmtId="0" fontId="14" fillId="3" borderId="0" xfId="0" applyFont="1" applyFill="1" applyBorder="1" applyAlignment="1">
      <alignment horizontal="right"/>
    </xf>
    <xf numFmtId="10" fontId="14" fillId="0" borderId="13" xfId="2" applyNumberFormat="1" applyFont="1" applyBorder="1" applyAlignment="1">
      <alignment horizontal="center"/>
    </xf>
    <xf numFmtId="170" fontId="12" fillId="0" borderId="56" xfId="2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68" fontId="14" fillId="0" borderId="13" xfId="1" applyNumberFormat="1" applyFont="1" applyBorder="1"/>
    <xf numFmtId="0" fontId="14" fillId="0" borderId="13" xfId="0" applyNumberFormat="1" applyFont="1" applyBorder="1"/>
    <xf numFmtId="0" fontId="14" fillId="3" borderId="2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168" fontId="14" fillId="3" borderId="27" xfId="1" applyNumberFormat="1" applyFont="1" applyFill="1" applyBorder="1"/>
    <xf numFmtId="166" fontId="14" fillId="3" borderId="27" xfId="0" applyNumberFormat="1" applyFont="1" applyFill="1" applyBorder="1"/>
    <xf numFmtId="168" fontId="14" fillId="3" borderId="27" xfId="0" applyNumberFormat="1" applyFont="1" applyFill="1" applyBorder="1"/>
    <xf numFmtId="9" fontId="14" fillId="3" borderId="46" xfId="2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5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4" fillId="3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/>
    </xf>
    <xf numFmtId="0" fontId="14" fillId="0" borderId="18" xfId="0" applyFont="1" applyBorder="1"/>
    <xf numFmtId="0" fontId="12" fillId="0" borderId="18" xfId="0" applyFont="1" applyBorder="1"/>
    <xf numFmtId="168" fontId="12" fillId="0" borderId="18" xfId="1" applyNumberFormat="1" applyFont="1" applyBorder="1"/>
    <xf numFmtId="169" fontId="12" fillId="0" borderId="18" xfId="2" applyNumberFormat="1" applyFont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0" borderId="20" xfId="0" applyFont="1" applyBorder="1"/>
    <xf numFmtId="0" fontId="12" fillId="0" borderId="20" xfId="0" applyFont="1" applyBorder="1"/>
    <xf numFmtId="168" fontId="12" fillId="0" borderId="20" xfId="1" applyNumberFormat="1" applyFont="1" applyBorder="1"/>
    <xf numFmtId="169" fontId="12" fillId="0" borderId="20" xfId="2" applyNumberFormat="1" applyFont="1" applyBorder="1" applyAlignment="1">
      <alignment horizontal="center"/>
    </xf>
    <xf numFmtId="0" fontId="14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168" fontId="14" fillId="8" borderId="8" xfId="1" applyNumberFormat="1" applyFont="1" applyFill="1" applyBorder="1" applyAlignment="1">
      <alignment horizontal="center"/>
    </xf>
    <xf numFmtId="0" fontId="14" fillId="0" borderId="36" xfId="0" applyFont="1" applyBorder="1"/>
    <xf numFmtId="0" fontId="12" fillId="0" borderId="36" xfId="0" applyFont="1" applyBorder="1"/>
    <xf numFmtId="168" fontId="12" fillId="0" borderId="36" xfId="1" applyNumberFormat="1" applyFont="1" applyBorder="1"/>
    <xf numFmtId="169" fontId="12" fillId="0" borderId="36" xfId="2" applyNumberFormat="1" applyFont="1" applyBorder="1" applyAlignment="1">
      <alignment horizontal="center"/>
    </xf>
    <xf numFmtId="0" fontId="14" fillId="6" borderId="36" xfId="0" applyFont="1" applyFill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18" xfId="0" applyFont="1" applyBorder="1" applyAlignment="1">
      <alignment horizontal="center"/>
    </xf>
    <xf numFmtId="168" fontId="14" fillId="0" borderId="18" xfId="0" applyNumberFormat="1" applyFont="1" applyBorder="1"/>
    <xf numFmtId="168" fontId="14" fillId="8" borderId="19" xfId="1" applyNumberFormat="1" applyFont="1" applyFill="1" applyBorder="1"/>
    <xf numFmtId="166" fontId="12" fillId="0" borderId="11" xfId="1" applyFont="1" applyBorder="1"/>
    <xf numFmtId="0" fontId="14" fillId="5" borderId="12" xfId="0" applyFont="1" applyFill="1" applyBorder="1" applyAlignment="1"/>
    <xf numFmtId="0" fontId="14" fillId="5" borderId="33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/>
    </xf>
    <xf numFmtId="0" fontId="14" fillId="0" borderId="28" xfId="0" applyFont="1" applyBorder="1"/>
    <xf numFmtId="1" fontId="14" fillId="6" borderId="17" xfId="0" applyNumberFormat="1" applyFont="1" applyFill="1" applyBorder="1" applyAlignment="1">
      <alignment horizontal="center"/>
    </xf>
    <xf numFmtId="1" fontId="14" fillId="6" borderId="34" xfId="0" applyNumberFormat="1" applyFont="1" applyFill="1" applyBorder="1" applyAlignment="1">
      <alignment horizontal="center"/>
    </xf>
    <xf numFmtId="168" fontId="12" fillId="0" borderId="34" xfId="1" applyNumberFormat="1" applyFont="1" applyBorder="1"/>
    <xf numFmtId="168" fontId="12" fillId="0" borderId="18" xfId="0" applyNumberFormat="1" applyFont="1" applyBorder="1"/>
    <xf numFmtId="0" fontId="14" fillId="0" borderId="35" xfId="0" applyFont="1" applyBorder="1"/>
    <xf numFmtId="1" fontId="14" fillId="6" borderId="33" xfId="0" applyNumberFormat="1" applyFont="1" applyFill="1" applyBorder="1" applyAlignment="1">
      <alignment horizontal="center"/>
    </xf>
    <xf numFmtId="1" fontId="14" fillId="6" borderId="12" xfId="0" applyNumberFormat="1" applyFont="1" applyFill="1" applyBorder="1" applyAlignment="1">
      <alignment horizontal="center"/>
    </xf>
    <xf numFmtId="168" fontId="12" fillId="0" borderId="20" xfId="0" applyNumberFormat="1" applyFont="1" applyBorder="1"/>
    <xf numFmtId="0" fontId="14" fillId="0" borderId="63" xfId="0" applyFont="1" applyBorder="1"/>
    <xf numFmtId="0" fontId="12" fillId="0" borderId="64" xfId="0" applyFont="1" applyBorder="1"/>
    <xf numFmtId="1" fontId="14" fillId="6" borderId="65" xfId="0" applyNumberFormat="1" applyFont="1" applyFill="1" applyBorder="1" applyAlignment="1">
      <alignment horizontal="center"/>
    </xf>
    <xf numFmtId="1" fontId="14" fillId="6" borderId="66" xfId="0" applyNumberFormat="1" applyFont="1" applyFill="1" applyBorder="1" applyAlignment="1">
      <alignment horizontal="center"/>
    </xf>
    <xf numFmtId="0" fontId="14" fillId="0" borderId="40" xfId="0" applyFont="1" applyBorder="1"/>
    <xf numFmtId="1" fontId="14" fillId="6" borderId="37" xfId="0" applyNumberFormat="1" applyFont="1" applyFill="1" applyBorder="1" applyAlignment="1">
      <alignment horizontal="center"/>
    </xf>
    <xf numFmtId="1" fontId="14" fillId="6" borderId="39" xfId="0" applyNumberFormat="1" applyFont="1" applyFill="1" applyBorder="1" applyAlignment="1">
      <alignment horizontal="center"/>
    </xf>
    <xf numFmtId="168" fontId="12" fillId="0" borderId="39" xfId="1" applyNumberFormat="1" applyFont="1" applyBorder="1"/>
    <xf numFmtId="168" fontId="12" fillId="0" borderId="36" xfId="0" applyNumberFormat="1" applyFont="1" applyBorder="1"/>
    <xf numFmtId="168" fontId="14" fillId="8" borderId="15" xfId="1" applyNumberFormat="1" applyFont="1" applyFill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1" fontId="14" fillId="2" borderId="31" xfId="0" applyNumberFormat="1" applyFont="1" applyFill="1" applyBorder="1" applyAlignment="1">
      <alignment horizontal="center"/>
    </xf>
    <xf numFmtId="1" fontId="14" fillId="2" borderId="30" xfId="0" applyNumberFormat="1" applyFont="1" applyFill="1" applyBorder="1" applyAlignment="1">
      <alignment horizontal="center"/>
    </xf>
    <xf numFmtId="168" fontId="14" fillId="0" borderId="0" xfId="0" applyNumberFormat="1" applyFont="1" applyBorder="1"/>
    <xf numFmtId="168" fontId="14" fillId="8" borderId="8" xfId="0" applyNumberFormat="1" applyFont="1" applyFill="1" applyBorder="1"/>
    <xf numFmtId="1" fontId="12" fillId="0" borderId="10" xfId="0" applyNumberFormat="1" applyFont="1" applyBorder="1"/>
    <xf numFmtId="168" fontId="12" fillId="0" borderId="10" xfId="0" applyNumberFormat="1" applyFont="1" applyBorder="1"/>
    <xf numFmtId="0" fontId="14" fillId="3" borderId="12" xfId="0" applyFont="1" applyFill="1" applyBorder="1"/>
    <xf numFmtId="0" fontId="14" fillId="6" borderId="12" xfId="0" applyFont="1" applyFill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3" borderId="29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168" fontId="12" fillId="0" borderId="33" xfId="1" applyNumberFormat="1" applyFont="1" applyBorder="1"/>
    <xf numFmtId="168" fontId="12" fillId="0" borderId="32" xfId="1" applyNumberFormat="1" applyFont="1" applyBorder="1"/>
    <xf numFmtId="168" fontId="12" fillId="0" borderId="37" xfId="1" applyNumberFormat="1" applyFont="1" applyBorder="1"/>
    <xf numFmtId="168" fontId="12" fillId="0" borderId="38" xfId="1" applyNumberFormat="1" applyFont="1" applyBorder="1"/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" fontId="12" fillId="0" borderId="31" xfId="0" applyNumberFormat="1" applyFont="1" applyBorder="1" applyAlignment="1">
      <alignment horizontal="center"/>
    </xf>
    <xf numFmtId="1" fontId="12" fillId="0" borderId="30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16" xfId="0" applyFont="1" applyBorder="1"/>
    <xf numFmtId="0" fontId="14" fillId="3" borderId="12" xfId="0" applyFont="1" applyFill="1" applyBorder="1" applyAlignment="1">
      <alignment horizontal="left"/>
    </xf>
    <xf numFmtId="0" fontId="14" fillId="8" borderId="30" xfId="0" applyFont="1" applyFill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14" fillId="6" borderId="34" xfId="0" applyFont="1" applyFill="1" applyBorder="1" applyAlignment="1">
      <alignment horizontal="center"/>
    </xf>
    <xf numFmtId="168" fontId="14" fillId="6" borderId="34" xfId="1" applyNumberFormat="1" applyFont="1" applyFill="1" applyBorder="1"/>
    <xf numFmtId="168" fontId="12" fillId="8" borderId="0" xfId="1" applyNumberFormat="1" applyFont="1" applyFill="1" applyBorder="1"/>
    <xf numFmtId="0" fontId="1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168" fontId="14" fillId="6" borderId="12" xfId="1" applyNumberFormat="1" applyFont="1" applyFill="1" applyBorder="1"/>
    <xf numFmtId="0" fontId="12" fillId="0" borderId="39" xfId="0" applyFont="1" applyBorder="1" applyAlignment="1">
      <alignment horizontal="center"/>
    </xf>
    <xf numFmtId="0" fontId="14" fillId="6" borderId="39" xfId="0" applyFont="1" applyFill="1" applyBorder="1" applyAlignment="1">
      <alignment horizontal="center"/>
    </xf>
    <xf numFmtId="168" fontId="14" fillId="6" borderId="39" xfId="1" applyNumberFormat="1" applyFont="1" applyFill="1" applyBorder="1"/>
    <xf numFmtId="168" fontId="12" fillId="8" borderId="51" xfId="1" applyNumberFormat="1" applyFont="1" applyFill="1" applyBorder="1"/>
    <xf numFmtId="0" fontId="14" fillId="0" borderId="16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166" fontId="14" fillId="0" borderId="30" xfId="1" applyFont="1" applyBorder="1" applyAlignment="1">
      <alignment horizontal="center"/>
    </xf>
    <xf numFmtId="168" fontId="14" fillId="0" borderId="30" xfId="1" applyNumberFormat="1" applyFont="1" applyBorder="1" applyAlignment="1">
      <alignment horizontal="center"/>
    </xf>
    <xf numFmtId="168" fontId="14" fillId="8" borderId="0" xfId="0" applyNumberFormat="1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4" fillId="3" borderId="18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18" xfId="0" applyFont="1" applyFill="1" applyBorder="1"/>
    <xf numFmtId="10" fontId="14" fillId="6" borderId="18" xfId="2" applyNumberFormat="1" applyFont="1" applyFill="1" applyBorder="1" applyAlignment="1">
      <alignment horizontal="center"/>
    </xf>
    <xf numFmtId="0" fontId="12" fillId="0" borderId="28" xfId="0" applyFont="1" applyBorder="1" applyAlignment="1">
      <alignment horizontal="right"/>
    </xf>
    <xf numFmtId="169" fontId="14" fillId="6" borderId="18" xfId="2" applyNumberFormat="1" applyFont="1" applyFill="1" applyBorder="1" applyAlignment="1">
      <alignment horizontal="center"/>
    </xf>
    <xf numFmtId="0" fontId="12" fillId="0" borderId="35" xfId="0" applyFont="1" applyBorder="1" applyAlignment="1">
      <alignment horizontal="right"/>
    </xf>
    <xf numFmtId="169" fontId="14" fillId="6" borderId="20" xfId="2" applyNumberFormat="1" applyFont="1" applyFill="1" applyBorder="1" applyAlignment="1">
      <alignment horizontal="center"/>
    </xf>
    <xf numFmtId="0" fontId="12" fillId="0" borderId="40" xfId="0" applyFont="1" applyBorder="1"/>
    <xf numFmtId="0" fontId="14" fillId="6" borderId="36" xfId="0" applyFont="1" applyFill="1" applyBorder="1"/>
    <xf numFmtId="0" fontId="14" fillId="0" borderId="7" xfId="0" applyFont="1" applyBorder="1" applyAlignment="1">
      <alignment horizontal="right"/>
    </xf>
    <xf numFmtId="169" fontId="14" fillId="0" borderId="0" xfId="0" applyNumberFormat="1" applyFont="1" applyBorder="1" applyAlignment="1">
      <alignment horizontal="center"/>
    </xf>
    <xf numFmtId="0" fontId="14" fillId="0" borderId="13" xfId="0" applyFont="1" applyBorder="1"/>
    <xf numFmtId="168" fontId="14" fillId="6" borderId="13" xfId="1" applyNumberFormat="1" applyFont="1" applyFill="1" applyBorder="1"/>
    <xf numFmtId="0" fontId="17" fillId="0" borderId="0" xfId="0" applyFont="1" applyBorder="1"/>
    <xf numFmtId="10" fontId="14" fillId="6" borderId="36" xfId="2" applyNumberFormat="1" applyFont="1" applyFill="1" applyBorder="1" applyAlignment="1">
      <alignment horizontal="center"/>
    </xf>
    <xf numFmtId="168" fontId="14" fillId="0" borderId="0" xfId="1" applyNumberFormat="1" applyFont="1" applyBorder="1"/>
    <xf numFmtId="9" fontId="14" fillId="6" borderId="12" xfId="2" applyFont="1" applyFill="1" applyBorder="1" applyAlignment="1">
      <alignment horizontal="center"/>
    </xf>
    <xf numFmtId="10" fontId="14" fillId="6" borderId="12" xfId="0" applyNumberFormat="1" applyFont="1" applyFill="1" applyBorder="1" applyAlignment="1">
      <alignment horizontal="center"/>
    </xf>
    <xf numFmtId="10" fontId="14" fillId="0" borderId="12" xfId="2" applyNumberFormat="1" applyFont="1" applyBorder="1" applyAlignment="1">
      <alignment horizontal="center"/>
    </xf>
    <xf numFmtId="9" fontId="14" fillId="0" borderId="12" xfId="2" applyFont="1" applyBorder="1" applyAlignment="1">
      <alignment horizontal="center"/>
    </xf>
    <xf numFmtId="168" fontId="14" fillId="6" borderId="12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8" fontId="12" fillId="0" borderId="0" xfId="1" applyNumberFormat="1" applyFont="1" applyBorder="1"/>
    <xf numFmtId="168" fontId="12" fillId="0" borderId="8" xfId="1" applyNumberFormat="1" applyFont="1" applyBorder="1"/>
    <xf numFmtId="168" fontId="12" fillId="0" borderId="0" xfId="1" applyNumberFormat="1" applyFont="1"/>
    <xf numFmtId="0" fontId="14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168" fontId="14" fillId="0" borderId="53" xfId="0" applyNumberFormat="1" applyFont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0" fontId="18" fillId="9" borderId="13" xfId="0" applyFont="1" applyFill="1" applyBorder="1" applyAlignment="1">
      <alignment horizontal="center"/>
    </xf>
    <xf numFmtId="168" fontId="14" fillId="3" borderId="13" xfId="0" applyNumberFormat="1" applyFont="1" applyFill="1" applyBorder="1"/>
    <xf numFmtId="169" fontId="14" fillId="3" borderId="34" xfId="0" applyNumberFormat="1" applyFont="1" applyFill="1" applyBorder="1" applyAlignment="1">
      <alignment horizontal="center"/>
    </xf>
    <xf numFmtId="168" fontId="12" fillId="0" borderId="34" xfId="0" applyNumberFormat="1" applyFont="1" applyBorder="1"/>
    <xf numFmtId="169" fontId="14" fillId="3" borderId="12" xfId="0" applyNumberFormat="1" applyFont="1" applyFill="1" applyBorder="1" applyAlignment="1">
      <alignment horizontal="center"/>
    </xf>
    <xf numFmtId="168" fontId="12" fillId="0" borderId="12" xfId="0" applyNumberFormat="1" applyFont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F1739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0039478442387E-2"/>
          <c:y val="0.19578559353963074"/>
          <c:w val="0.92500000000000004"/>
          <c:h val="0.7644670457859436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'EVALUACIÓN DE SERVICIO'!$B$15</c:f>
              <c:strCache>
                <c:ptCount val="1"/>
                <c:pt idx="0">
                  <c:v>COSTOS/PRESUPUESTO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'EVALUACIÓN DE SERVICIO'!$C$11:$E$11</c:f>
              <c:numCache>
                <c:formatCode>_("$"\ * #,##0_);_("$"\ * \(#,##0\);_("$"\ * "-"??_);_(@_)</c:formatCode>
                <c:ptCount val="3"/>
              </c:numCache>
            </c:numRef>
          </c:cat>
          <c:val>
            <c:numRef>
              <c:f>'EVALUACIÓN DE SERVICIO'!$D$15:$E$15</c:f>
              <c:numCache>
                <c:formatCode>0.00%</c:formatCode>
                <c:ptCount val="2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AE-4557-B5EF-2353341D9AE0}"/>
            </c:ext>
          </c:extLst>
        </c:ser>
        <c:ser>
          <c:idx val="0"/>
          <c:order val="1"/>
          <c:tx>
            <c:strRef>
              <c:f>'EVALUACIÓN DE SERVICIO'!$K$12</c:f>
              <c:strCache>
                <c:ptCount val="1"/>
                <c:pt idx="0">
                  <c:v>UTILIDAD SIN AJUSTE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'EVALUACIÓN DE SERVICIO'!$L$12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AE-4557-B5EF-2353341D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0787168"/>
        <c:axId val="-970786080"/>
      </c:barChart>
      <c:catAx>
        <c:axId val="-97078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70786080"/>
        <c:crosses val="autoZero"/>
        <c:auto val="1"/>
        <c:lblAlgn val="ctr"/>
        <c:lblOffset val="100"/>
        <c:noMultiLvlLbl val="0"/>
      </c:catAx>
      <c:valAx>
        <c:axId val="-970786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9707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57421649558863"/>
          <c:y val="0.89973293924397868"/>
          <c:w val="0.5479887529466505"/>
          <c:h val="9.5142229386618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3</xdr:row>
      <xdr:rowOff>9524</xdr:rowOff>
    </xdr:from>
    <xdr:to>
      <xdr:col>2</xdr:col>
      <xdr:colOff>2600325</xdr:colOff>
      <xdr:row>4</xdr:row>
      <xdr:rowOff>133350</xdr:rowOff>
    </xdr:to>
    <xdr:pic>
      <xdr:nvPicPr>
        <xdr:cNvPr id="3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714374"/>
          <a:ext cx="2152650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1441036</xdr:colOff>
      <xdr:row>5</xdr:row>
      <xdr:rowOff>6477</xdr:rowOff>
    </xdr:from>
    <xdr:to>
      <xdr:col>10</xdr:col>
      <xdr:colOff>80337</xdr:colOff>
      <xdr:row>15</xdr:row>
      <xdr:rowOff>135445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2</xdr:col>
      <xdr:colOff>963682</xdr:colOff>
      <xdr:row>3</xdr:row>
      <xdr:rowOff>24102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66675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showGridLines="0" topLeftCell="A4" zoomScale="90" zoomScaleNormal="90" workbookViewId="0">
      <selection activeCell="D8" sqref="D8:E8"/>
    </sheetView>
  </sheetViews>
  <sheetFormatPr baseColWidth="10" defaultRowHeight="15" x14ac:dyDescent="0.25"/>
  <cols>
    <col min="1" max="1" width="2.85546875" customWidth="1"/>
    <col min="2" max="2" width="4.28515625" customWidth="1"/>
    <col min="3" max="3" width="49.7109375" customWidth="1"/>
    <col min="4" max="4" width="43.5703125" customWidth="1"/>
    <col min="5" max="5" width="55.140625" customWidth="1"/>
  </cols>
  <sheetData>
    <row r="1" spans="2:5" ht="15.75" thickBot="1" x14ac:dyDescent="0.3"/>
    <row r="2" spans="2:5" ht="24" thickBot="1" x14ac:dyDescent="0.4">
      <c r="C2" s="28" t="s">
        <v>128</v>
      </c>
      <c r="D2" s="29"/>
      <c r="E2" s="30"/>
    </row>
    <row r="3" spans="2:5" ht="15.75" x14ac:dyDescent="0.25">
      <c r="C3" s="23"/>
      <c r="D3" s="3" t="s">
        <v>129</v>
      </c>
      <c r="E3" s="15" t="s">
        <v>130</v>
      </c>
    </row>
    <row r="4" spans="2:5" ht="15.75" x14ac:dyDescent="0.25">
      <c r="C4" s="4"/>
      <c r="D4" s="17" t="s">
        <v>138</v>
      </c>
      <c r="E4" s="22"/>
    </row>
    <row r="5" spans="2:5" ht="15.75" x14ac:dyDescent="0.25">
      <c r="C5" s="4"/>
      <c r="D5" s="17" t="s">
        <v>137</v>
      </c>
      <c r="E5" s="22"/>
    </row>
    <row r="6" spans="2:5" ht="16.5" thickBot="1" x14ac:dyDescent="0.3">
      <c r="C6" s="4"/>
      <c r="D6" s="5" t="s">
        <v>134</v>
      </c>
      <c r="E6" s="16">
        <f ca="1">+TODAY()</f>
        <v>43391</v>
      </c>
    </row>
    <row r="7" spans="2:5" ht="19.5" thickBot="1" x14ac:dyDescent="0.3">
      <c r="B7" s="6" t="s">
        <v>21</v>
      </c>
      <c r="C7" s="20" t="s">
        <v>131</v>
      </c>
      <c r="D7" s="31" t="s">
        <v>127</v>
      </c>
      <c r="E7" s="32"/>
    </row>
    <row r="8" spans="2:5" ht="36.75" customHeight="1" thickBot="1" x14ac:dyDescent="0.3">
      <c r="B8" s="7">
        <v>1</v>
      </c>
      <c r="C8" s="21" t="s">
        <v>132</v>
      </c>
      <c r="D8" s="33" t="s">
        <v>132</v>
      </c>
      <c r="E8" s="34"/>
    </row>
    <row r="9" spans="2:5" ht="40.5" customHeight="1" thickBot="1" x14ac:dyDescent="0.3">
      <c r="B9" s="8">
        <v>2</v>
      </c>
      <c r="C9" s="21" t="s">
        <v>133</v>
      </c>
      <c r="D9" s="35" t="s">
        <v>133</v>
      </c>
      <c r="E9" s="36"/>
    </row>
    <row r="10" spans="2:5" ht="40.5" customHeight="1" thickBot="1" x14ac:dyDescent="0.3">
      <c r="B10" s="8">
        <v>3</v>
      </c>
      <c r="C10" s="21" t="s">
        <v>142</v>
      </c>
      <c r="D10" s="33" t="s">
        <v>142</v>
      </c>
      <c r="E10" s="34"/>
    </row>
    <row r="11" spans="2:5" ht="19.5" thickBot="1" x14ac:dyDescent="0.3">
      <c r="C11" s="9" t="s">
        <v>136</v>
      </c>
      <c r="D11" s="18" t="s">
        <v>139</v>
      </c>
      <c r="E11" s="19" t="s">
        <v>104</v>
      </c>
    </row>
    <row r="12" spans="2:5" ht="15.75" x14ac:dyDescent="0.25">
      <c r="C12" s="10" t="s">
        <v>135</v>
      </c>
      <c r="D12" s="26">
        <f>+IFERROR('EVALUACIÓN DE SERVICIO'!M19,"")</f>
        <v>4142985.0000000005</v>
      </c>
      <c r="E12" s="25">
        <f>+IFERROR('EVALUACIÓN DE SERVICIO'!M21,"")</f>
        <v>316500.00000000047</v>
      </c>
    </row>
    <row r="13" spans="2:5" ht="15.75" x14ac:dyDescent="0.25">
      <c r="C13" s="13" t="s">
        <v>140</v>
      </c>
      <c r="D13" s="11" t="str">
        <f>+IFERROR(#REF!,"")</f>
        <v/>
      </c>
      <c r="E13" s="12" t="str">
        <f>+IFERROR(#REF!,"")</f>
        <v/>
      </c>
    </row>
    <row r="14" spans="2:5" ht="16.5" thickBot="1" x14ac:dyDescent="0.3">
      <c r="C14" s="14" t="s">
        <v>141</v>
      </c>
      <c r="D14" s="24" t="e">
        <f>+#REF!</f>
        <v>#REF!</v>
      </c>
      <c r="E14" s="24" t="str">
        <f>+IFERROR(#REF!,"")</f>
        <v/>
      </c>
    </row>
    <row r="16" spans="2:5" x14ac:dyDescent="0.25">
      <c r="D16" s="1"/>
      <c r="E16" s="2" t="s">
        <v>95</v>
      </c>
    </row>
  </sheetData>
  <mergeCells count="5">
    <mergeCell ref="C2:E2"/>
    <mergeCell ref="D7:E7"/>
    <mergeCell ref="D8:E8"/>
    <mergeCell ref="D9:E9"/>
    <mergeCell ref="D10:E10"/>
  </mergeCells>
  <hyperlinks>
    <hyperlink ref="D8:E8" location="'EVALUACIÓN DE SERVICIO'!A1" display="EVALUACIÓN DE SERVICIOS"/>
    <hyperlink ref="D9:E9" location="'EVALUACIÓN DE VENTA-ARRIENDO'!A1" display="EVALUACIÓN DE VENTA-ARRIENDO"/>
    <hyperlink ref="D10:E10" location="SUBASTAS!A1" display="SUBASTA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56"/>
  <sheetViews>
    <sheetView showGridLines="0" tabSelected="1" zoomScaleNormal="100" workbookViewId="0">
      <selection activeCell="G8" sqref="G8"/>
    </sheetView>
  </sheetViews>
  <sheetFormatPr baseColWidth="10" defaultRowHeight="10.5" x14ac:dyDescent="0.15"/>
  <cols>
    <col min="1" max="1" width="1" style="45" customWidth="1"/>
    <col min="2" max="2" width="13" style="45" customWidth="1"/>
    <col min="3" max="3" width="24.7109375" style="45" customWidth="1"/>
    <col min="4" max="4" width="17.5703125" style="45" customWidth="1"/>
    <col min="5" max="5" width="24" style="45" customWidth="1"/>
    <col min="6" max="6" width="23" style="45" customWidth="1"/>
    <col min="7" max="7" width="24" style="45" customWidth="1"/>
    <col min="8" max="8" width="22.85546875" style="45" customWidth="1"/>
    <col min="9" max="9" width="24.42578125" style="45" customWidth="1"/>
    <col min="10" max="10" width="21.140625" style="45" customWidth="1"/>
    <col min="11" max="11" width="33.5703125" style="45" customWidth="1"/>
    <col min="12" max="12" width="26.42578125" style="45" customWidth="1"/>
    <col min="13" max="13" width="29.5703125" style="45" customWidth="1"/>
    <col min="14" max="16384" width="11.42578125" style="45"/>
  </cols>
  <sheetData>
    <row r="1" spans="1:13" ht="18" customHeight="1" x14ac:dyDescent="0.15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8" customHeight="1" x14ac:dyDescent="0.25">
      <c r="B2" s="37" t="s">
        <v>126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18" customHeight="1" x14ac:dyDescent="0.15">
      <c r="B3" s="38" t="s">
        <v>151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18" customHeight="1" x14ac:dyDescent="0.1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s="42" customFormat="1" ht="18.75" customHeight="1" thickBot="1" x14ac:dyDescent="0.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</row>
    <row r="6" spans="1:13" s="42" customFormat="1" ht="11.25" thickBot="1" x14ac:dyDescent="0.2">
      <c r="B6" s="47" t="s">
        <v>0</v>
      </c>
      <c r="C6" s="48">
        <f ca="1">+TODAY()</f>
        <v>43391</v>
      </c>
      <c r="D6" s="49"/>
      <c r="E6" s="49"/>
      <c r="F6" s="50"/>
      <c r="G6" s="51" t="s">
        <v>4</v>
      </c>
      <c r="H6" s="52"/>
      <c r="I6" s="53">
        <v>1</v>
      </c>
      <c r="J6" s="54"/>
      <c r="K6" s="54"/>
      <c r="L6" s="54"/>
      <c r="M6" s="55"/>
    </row>
    <row r="7" spans="1:13" s="42" customFormat="1" ht="11.25" thickBot="1" x14ac:dyDescent="0.2">
      <c r="B7" s="47" t="s">
        <v>2</v>
      </c>
      <c r="C7" s="56">
        <f>+PORTADA!E5</f>
        <v>0</v>
      </c>
      <c r="D7" s="57"/>
      <c r="E7" s="57"/>
      <c r="F7" s="58"/>
      <c r="G7" s="51" t="s">
        <v>1</v>
      </c>
      <c r="H7" s="52"/>
      <c r="I7" s="56">
        <f>+PORTADA!E4</f>
        <v>0</v>
      </c>
      <c r="J7" s="57"/>
      <c r="K7" s="57"/>
      <c r="L7" s="57"/>
      <c r="M7" s="58"/>
    </row>
    <row r="8" spans="1:13" s="42" customFormat="1" ht="11.25" thickBot="1" x14ac:dyDescent="0.2">
      <c r="B8" s="43"/>
      <c r="C8" s="41"/>
      <c r="D8" s="41"/>
      <c r="E8" s="41"/>
      <c r="F8" s="41"/>
      <c r="G8" s="41"/>
      <c r="H8" s="41"/>
      <c r="I8" s="41"/>
      <c r="J8" s="41"/>
      <c r="K8" s="41"/>
      <c r="L8" s="41"/>
      <c r="M8" s="44"/>
    </row>
    <row r="9" spans="1:13" ht="11.25" thickBot="1" x14ac:dyDescent="0.2">
      <c r="B9" s="59" t="s">
        <v>90</v>
      </c>
      <c r="C9" s="60"/>
      <c r="D9" s="60"/>
      <c r="E9" s="60"/>
      <c r="F9" s="60"/>
      <c r="G9" s="60"/>
      <c r="H9" s="60"/>
      <c r="I9" s="60"/>
      <c r="J9" s="61"/>
      <c r="K9" s="62" t="s">
        <v>97</v>
      </c>
      <c r="L9" s="63"/>
      <c r="M9" s="64"/>
    </row>
    <row r="10" spans="1:13" ht="11.25" thickBot="1" x14ac:dyDescent="0.2">
      <c r="B10" s="65"/>
      <c r="C10" s="66"/>
      <c r="D10" s="67"/>
      <c r="E10" s="67"/>
      <c r="F10" s="67"/>
      <c r="G10" s="67"/>
      <c r="H10" s="67"/>
      <c r="I10" s="67"/>
      <c r="J10" s="67"/>
      <c r="K10" s="68"/>
      <c r="L10" s="69"/>
      <c r="M10" s="70"/>
    </row>
    <row r="11" spans="1:13" ht="11.25" thickBot="1" x14ac:dyDescent="0.2">
      <c r="B11" s="71" t="s">
        <v>93</v>
      </c>
      <c r="C11" s="72"/>
      <c r="D11" s="73"/>
      <c r="E11" s="74"/>
      <c r="F11" s="66"/>
      <c r="G11" s="75"/>
      <c r="H11" s="76" t="s">
        <v>95</v>
      </c>
      <c r="I11" s="66"/>
      <c r="J11" s="66"/>
      <c r="K11" s="65"/>
      <c r="L11" s="66"/>
      <c r="M11" s="77"/>
    </row>
    <row r="12" spans="1:13" ht="11.25" thickBot="1" x14ac:dyDescent="0.2">
      <c r="B12" s="78" t="s">
        <v>94</v>
      </c>
      <c r="C12" s="79"/>
      <c r="D12" s="80">
        <f>+D11/(1+$D$14)</f>
        <v>0</v>
      </c>
      <c r="E12" s="81"/>
      <c r="F12" s="66"/>
      <c r="G12" s="66"/>
      <c r="H12" s="66"/>
      <c r="I12" s="66"/>
      <c r="J12" s="66"/>
      <c r="K12" s="82" t="s">
        <v>99</v>
      </c>
      <c r="L12" s="83" t="e">
        <f>(D12-G25)/D12</f>
        <v>#DIV/0!</v>
      </c>
      <c r="M12" s="82" t="s">
        <v>112</v>
      </c>
    </row>
    <row r="13" spans="1:13" ht="11.25" thickBot="1" x14ac:dyDescent="0.2">
      <c r="B13" s="78" t="s">
        <v>68</v>
      </c>
      <c r="C13" s="79"/>
      <c r="D13" s="84">
        <v>0</v>
      </c>
      <c r="E13" s="85"/>
      <c r="F13" s="66"/>
      <c r="G13" s="66"/>
      <c r="H13" s="66"/>
      <c r="I13" s="66"/>
      <c r="J13" s="66"/>
      <c r="K13" s="82" t="s">
        <v>110</v>
      </c>
      <c r="L13" s="86">
        <f>+D12-G25</f>
        <v>-3165000</v>
      </c>
      <c r="M13" s="87">
        <f>+L13*33%</f>
        <v>-1044450</v>
      </c>
    </row>
    <row r="14" spans="1:13" ht="11.25" thickBot="1" x14ac:dyDescent="0.2">
      <c r="B14" s="78" t="s">
        <v>3</v>
      </c>
      <c r="C14" s="79"/>
      <c r="D14" s="88">
        <v>0.19</v>
      </c>
      <c r="E14" s="89"/>
      <c r="F14" s="66"/>
      <c r="G14" s="66"/>
      <c r="H14" s="66"/>
      <c r="I14" s="66"/>
      <c r="J14" s="66"/>
      <c r="K14" s="82" t="s">
        <v>109</v>
      </c>
      <c r="L14" s="87">
        <f>+L13+G24</f>
        <v>-3165000</v>
      </c>
      <c r="M14" s="87">
        <f>+L14*33%</f>
        <v>-1044450</v>
      </c>
    </row>
    <row r="15" spans="1:13" ht="11.25" thickBot="1" x14ac:dyDescent="0.2">
      <c r="B15" s="90" t="s">
        <v>98</v>
      </c>
      <c r="C15" s="91"/>
      <c r="D15" s="92" t="e">
        <f>+G25/$D$12</f>
        <v>#DIV/0!</v>
      </c>
      <c r="E15" s="93"/>
      <c r="F15" s="66"/>
      <c r="G15" s="66"/>
      <c r="H15" s="66"/>
      <c r="I15" s="66"/>
      <c r="J15" s="66"/>
      <c r="K15" s="82" t="s">
        <v>111</v>
      </c>
      <c r="L15" s="87">
        <f>+M14-M13</f>
        <v>0</v>
      </c>
      <c r="M15" s="77"/>
    </row>
    <row r="16" spans="1:13" ht="11.25" thickBot="1" x14ac:dyDescent="0.2">
      <c r="B16" s="65"/>
      <c r="C16" s="66"/>
      <c r="D16" s="94"/>
      <c r="E16" s="94"/>
      <c r="F16" s="66"/>
      <c r="G16" s="66"/>
      <c r="H16" s="66"/>
      <c r="I16" s="66"/>
      <c r="J16" s="66"/>
      <c r="K16" s="65"/>
      <c r="L16" s="66"/>
      <c r="M16" s="77"/>
    </row>
    <row r="17" spans="2:13" ht="11.25" thickBot="1" x14ac:dyDescent="0.2">
      <c r="B17" s="95" t="s">
        <v>92</v>
      </c>
      <c r="C17" s="96"/>
      <c r="D17" s="96"/>
      <c r="E17" s="96"/>
      <c r="F17" s="97"/>
      <c r="G17" s="98" t="s">
        <v>65</v>
      </c>
      <c r="H17" s="98" t="s">
        <v>3</v>
      </c>
      <c r="I17" s="98" t="s">
        <v>28</v>
      </c>
      <c r="J17" s="99" t="s">
        <v>20</v>
      </c>
      <c r="K17" s="100" t="s">
        <v>106</v>
      </c>
      <c r="L17" s="101" t="s">
        <v>105</v>
      </c>
      <c r="M17" s="102">
        <v>0.1</v>
      </c>
    </row>
    <row r="18" spans="2:13" ht="11.25" thickBot="1" x14ac:dyDescent="0.2">
      <c r="B18" s="103" t="s">
        <v>25</v>
      </c>
      <c r="C18" s="104"/>
      <c r="D18" s="104"/>
      <c r="E18" s="104"/>
      <c r="F18" s="104"/>
      <c r="G18" s="105">
        <f>+L51</f>
        <v>0</v>
      </c>
      <c r="H18" s="105">
        <f>+G18*$D$14</f>
        <v>0</v>
      </c>
      <c r="I18" s="105">
        <f>+G18+H18</f>
        <v>0</v>
      </c>
      <c r="J18" s="106" t="str">
        <f>+IF(I18=0,"",I18/$I$25)</f>
        <v/>
      </c>
      <c r="K18" s="107" t="str">
        <f t="shared" ref="K18:K21" si="0">+IFERROR(J18+$K$22,"")</f>
        <v/>
      </c>
      <c r="L18" s="101" t="s">
        <v>107</v>
      </c>
      <c r="M18" s="108">
        <f>+G25*(1+$M$17)</f>
        <v>3481500.0000000005</v>
      </c>
    </row>
    <row r="19" spans="2:13" ht="11.25" thickBot="1" x14ac:dyDescent="0.2">
      <c r="B19" s="103" t="s">
        <v>26</v>
      </c>
      <c r="C19" s="104"/>
      <c r="D19" s="104"/>
      <c r="E19" s="104"/>
      <c r="F19" s="104"/>
      <c r="G19" s="105">
        <f>+L72</f>
        <v>0</v>
      </c>
      <c r="H19" s="105">
        <f>+G19*$D$14</f>
        <v>0</v>
      </c>
      <c r="I19" s="105">
        <f>+G19+H19</f>
        <v>0</v>
      </c>
      <c r="J19" s="106" t="str">
        <f t="shared" ref="J19:J24" si="1">+IF(I19=0,"",I19/$I$25)</f>
        <v/>
      </c>
      <c r="K19" s="107" t="str">
        <f>+IFERROR(J19+$K$22,"")</f>
        <v/>
      </c>
      <c r="L19" s="101" t="s">
        <v>123</v>
      </c>
      <c r="M19" s="108">
        <f>+M18*(1+$D$14)</f>
        <v>4142985.0000000005</v>
      </c>
    </row>
    <row r="20" spans="2:13" ht="11.25" thickBot="1" x14ac:dyDescent="0.2">
      <c r="B20" s="103" t="s">
        <v>46</v>
      </c>
      <c r="C20" s="104"/>
      <c r="D20" s="104"/>
      <c r="E20" s="104"/>
      <c r="F20" s="104"/>
      <c r="G20" s="105">
        <f>+L89</f>
        <v>0</v>
      </c>
      <c r="H20" s="105">
        <f>+G20*$D$14</f>
        <v>0</v>
      </c>
      <c r="I20" s="105">
        <f t="shared" ref="I20:I24" si="2">+G20+H20</f>
        <v>0</v>
      </c>
      <c r="J20" s="106" t="str">
        <f t="shared" si="1"/>
        <v/>
      </c>
      <c r="K20" s="107" t="str">
        <f>+IFERROR(J20+$K$22,"")</f>
        <v/>
      </c>
      <c r="L20" s="109" t="s">
        <v>124</v>
      </c>
      <c r="M20" s="110" t="str">
        <f>+IF(D11=0,"",M19/$D$11)</f>
        <v/>
      </c>
    </row>
    <row r="21" spans="2:13" ht="11.25" thickBot="1" x14ac:dyDescent="0.2">
      <c r="B21" s="103" t="s">
        <v>48</v>
      </c>
      <c r="C21" s="104"/>
      <c r="D21" s="104"/>
      <c r="E21" s="104"/>
      <c r="F21" s="104"/>
      <c r="G21" s="105">
        <f>+K102/(1+D14)</f>
        <v>0</v>
      </c>
      <c r="H21" s="105">
        <f t="shared" ref="H21" si="3">+G21*$D$14</f>
        <v>0</v>
      </c>
      <c r="I21" s="105">
        <f t="shared" si="2"/>
        <v>0</v>
      </c>
      <c r="J21" s="106" t="str">
        <f t="shared" si="1"/>
        <v/>
      </c>
      <c r="K21" s="107" t="str">
        <f t="shared" si="0"/>
        <v/>
      </c>
      <c r="L21" s="101" t="s">
        <v>104</v>
      </c>
      <c r="M21" s="108">
        <f>+M18-G25+L15</f>
        <v>316500.00000000047</v>
      </c>
    </row>
    <row r="22" spans="2:13" ht="11.25" thickBot="1" x14ac:dyDescent="0.2">
      <c r="B22" s="103" t="s">
        <v>64</v>
      </c>
      <c r="C22" s="104"/>
      <c r="D22" s="104"/>
      <c r="E22" s="104"/>
      <c r="F22" s="104"/>
      <c r="G22" s="105">
        <f>+G121</f>
        <v>1500000</v>
      </c>
      <c r="H22" s="105"/>
      <c r="I22" s="105">
        <f t="shared" si="2"/>
        <v>1500000</v>
      </c>
      <c r="J22" s="106">
        <f t="shared" si="1"/>
        <v>0.47393364928909953</v>
      </c>
      <c r="K22" s="111" t="e">
        <f>+SUM(J22:J24)/COUNT(J18:J21)</f>
        <v>#DIV/0!</v>
      </c>
      <c r="L22" s="101" t="s">
        <v>101</v>
      </c>
      <c r="M22" s="112">
        <f>+M18/$I$25</f>
        <v>1.1000000000000001</v>
      </c>
    </row>
    <row r="23" spans="2:13" ht="11.25" thickBot="1" x14ac:dyDescent="0.2">
      <c r="B23" s="103" t="s">
        <v>27</v>
      </c>
      <c r="C23" s="104"/>
      <c r="D23" s="104"/>
      <c r="E23" s="104"/>
      <c r="F23" s="104"/>
      <c r="G23" s="105">
        <f>+L113</f>
        <v>1665000</v>
      </c>
      <c r="H23" s="105"/>
      <c r="I23" s="105">
        <f t="shared" si="2"/>
        <v>1665000</v>
      </c>
      <c r="J23" s="106">
        <f t="shared" si="1"/>
        <v>0.52606635071090047</v>
      </c>
      <c r="K23" s="65"/>
      <c r="L23" s="82" t="s">
        <v>102</v>
      </c>
      <c r="M23" s="113" t="e">
        <f>+M51+M72+M89+M102</f>
        <v>#VALUE!</v>
      </c>
    </row>
    <row r="24" spans="2:13" ht="11.25" thickBot="1" x14ac:dyDescent="0.2">
      <c r="B24" s="103" t="s">
        <v>75</v>
      </c>
      <c r="C24" s="104"/>
      <c r="D24" s="104"/>
      <c r="E24" s="104"/>
      <c r="F24" s="104"/>
      <c r="G24" s="105">
        <f>+D130</f>
        <v>0</v>
      </c>
      <c r="H24" s="105"/>
      <c r="I24" s="105">
        <f t="shared" si="2"/>
        <v>0</v>
      </c>
      <c r="J24" s="106" t="str">
        <f t="shared" si="1"/>
        <v/>
      </c>
      <c r="K24" s="65"/>
      <c r="L24" s="82" t="s">
        <v>108</v>
      </c>
      <c r="M24" s="114">
        <f>+M21/M18</f>
        <v>9.0909090909091037E-2</v>
      </c>
    </row>
    <row r="25" spans="2:13" ht="11.25" thickBot="1" x14ac:dyDescent="0.2">
      <c r="B25" s="115" t="s">
        <v>28</v>
      </c>
      <c r="C25" s="116"/>
      <c r="D25" s="116"/>
      <c r="E25" s="116"/>
      <c r="F25" s="116"/>
      <c r="G25" s="117">
        <f>+SUM(G18:G24)</f>
        <v>3165000</v>
      </c>
      <c r="H25" s="118">
        <f>+SUM(H18:H24)</f>
        <v>0</v>
      </c>
      <c r="I25" s="119">
        <f>+SUM(I18:I24)</f>
        <v>3165000</v>
      </c>
      <c r="J25" s="120">
        <f>+SUM(J18:J24)</f>
        <v>1</v>
      </c>
      <c r="K25" s="65"/>
      <c r="L25" s="66"/>
      <c r="M25" s="77"/>
    </row>
    <row r="26" spans="2:13" ht="11.25" thickBot="1" x14ac:dyDescent="0.2">
      <c r="B26" s="121"/>
      <c r="C26" s="122"/>
      <c r="D26" s="122"/>
      <c r="E26" s="122"/>
      <c r="F26" s="122"/>
      <c r="G26" s="122"/>
      <c r="H26" s="122"/>
      <c r="I26" s="122"/>
      <c r="J26" s="122"/>
      <c r="K26" s="121"/>
      <c r="L26" s="122"/>
      <c r="M26" s="123"/>
    </row>
    <row r="27" spans="2:13" ht="11.25" thickBot="1" x14ac:dyDescent="0.2">
      <c r="B27" s="59" t="s">
        <v>25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</row>
    <row r="28" spans="2:13" x14ac:dyDescent="0.15"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 ht="11.25" thickBot="1" x14ac:dyDescent="0.2">
      <c r="B29" s="65"/>
      <c r="C29" s="66"/>
      <c r="D29" s="66"/>
      <c r="E29" s="127" t="s">
        <v>18</v>
      </c>
      <c r="F29" s="127" t="s">
        <v>20</v>
      </c>
      <c r="G29" s="127" t="s">
        <v>19</v>
      </c>
      <c r="H29" s="127" t="s">
        <v>21</v>
      </c>
      <c r="I29" s="128" t="s">
        <v>24</v>
      </c>
      <c r="J29" s="128"/>
      <c r="K29" s="127" t="s">
        <v>22</v>
      </c>
      <c r="L29" s="127" t="s">
        <v>23</v>
      </c>
      <c r="M29" s="129" t="s">
        <v>100</v>
      </c>
    </row>
    <row r="30" spans="2:13" ht="11.25" thickTop="1" x14ac:dyDescent="0.15">
      <c r="B30" s="65"/>
      <c r="C30" s="130" t="s">
        <v>5</v>
      </c>
      <c r="D30" s="131"/>
      <c r="E30" s="132">
        <v>7148925.7300000004</v>
      </c>
      <c r="F30" s="133">
        <v>0.38</v>
      </c>
      <c r="G30" s="132">
        <f>+E30*(1+F30)</f>
        <v>9865517.5074000005</v>
      </c>
      <c r="H30" s="134"/>
      <c r="I30" s="135"/>
      <c r="J30" s="135"/>
      <c r="K30" s="132">
        <f t="shared" ref="K30:K50" si="4">+G30*H30</f>
        <v>0</v>
      </c>
      <c r="L30" s="132">
        <f t="shared" ref="L30:L50" si="5">+K30*$I$6</f>
        <v>0</v>
      </c>
      <c r="M30" s="136" t="str">
        <f>+IF(L30=0,"",($I$25*$K$18)*(L30/$L$51)*$M$22)</f>
        <v/>
      </c>
    </row>
    <row r="31" spans="2:13" x14ac:dyDescent="0.15">
      <c r="B31" s="65"/>
      <c r="C31" s="137" t="s">
        <v>6</v>
      </c>
      <c r="D31" s="138"/>
      <c r="E31" s="139">
        <v>6499023.7800000003</v>
      </c>
      <c r="F31" s="140">
        <v>0.38</v>
      </c>
      <c r="G31" s="139">
        <f t="shared" ref="G31:G50" si="6">+E31*(1+F31)</f>
        <v>8968652.816399999</v>
      </c>
      <c r="H31" s="141"/>
      <c r="I31" s="142"/>
      <c r="J31" s="142"/>
      <c r="K31" s="139">
        <f t="shared" si="4"/>
        <v>0</v>
      </c>
      <c r="L31" s="139">
        <f t="shared" si="5"/>
        <v>0</v>
      </c>
      <c r="M31" s="136" t="str">
        <f t="shared" ref="M31:M50" si="7">+IF(L31=0,"",($I$25*$K$18)*(L31/$L$51)*$M$22)</f>
        <v/>
      </c>
    </row>
    <row r="32" spans="2:13" x14ac:dyDescent="0.15">
      <c r="B32" s="65"/>
      <c r="C32" s="137" t="s">
        <v>7</v>
      </c>
      <c r="D32" s="138"/>
      <c r="E32" s="139">
        <v>5908202.9500000002</v>
      </c>
      <c r="F32" s="140">
        <v>0.38</v>
      </c>
      <c r="G32" s="139">
        <f t="shared" si="6"/>
        <v>8153320.0709999995</v>
      </c>
      <c r="H32" s="141"/>
      <c r="I32" s="142"/>
      <c r="J32" s="142"/>
      <c r="K32" s="139">
        <f t="shared" si="4"/>
        <v>0</v>
      </c>
      <c r="L32" s="139">
        <f t="shared" si="5"/>
        <v>0</v>
      </c>
      <c r="M32" s="136" t="str">
        <f t="shared" si="7"/>
        <v/>
      </c>
    </row>
    <row r="33" spans="2:13" x14ac:dyDescent="0.15">
      <c r="B33" s="65"/>
      <c r="C33" s="137" t="s">
        <v>8</v>
      </c>
      <c r="D33" s="138"/>
      <c r="E33" s="139">
        <v>5371093.9800000004</v>
      </c>
      <c r="F33" s="140">
        <v>0.38</v>
      </c>
      <c r="G33" s="139">
        <f t="shared" si="6"/>
        <v>7412109.6924000001</v>
      </c>
      <c r="H33" s="141"/>
      <c r="I33" s="142"/>
      <c r="J33" s="142"/>
      <c r="K33" s="139">
        <f t="shared" si="4"/>
        <v>0</v>
      </c>
      <c r="L33" s="139">
        <f t="shared" si="5"/>
        <v>0</v>
      </c>
      <c r="M33" s="143" t="str">
        <f t="shared" si="7"/>
        <v/>
      </c>
    </row>
    <row r="34" spans="2:13" x14ac:dyDescent="0.15">
      <c r="B34" s="65"/>
      <c r="C34" s="137" t="s">
        <v>9</v>
      </c>
      <c r="D34" s="138"/>
      <c r="E34" s="139">
        <v>4882812.32</v>
      </c>
      <c r="F34" s="140">
        <v>0.38</v>
      </c>
      <c r="G34" s="139">
        <f t="shared" si="6"/>
        <v>6738281.0016000001</v>
      </c>
      <c r="H34" s="141"/>
      <c r="I34" s="142"/>
      <c r="J34" s="142"/>
      <c r="K34" s="139">
        <f t="shared" si="4"/>
        <v>0</v>
      </c>
      <c r="L34" s="139">
        <f t="shared" si="5"/>
        <v>0</v>
      </c>
      <c r="M34" s="143" t="str">
        <f t="shared" si="7"/>
        <v/>
      </c>
    </row>
    <row r="35" spans="2:13" x14ac:dyDescent="0.15">
      <c r="B35" s="65"/>
      <c r="C35" s="137" t="s">
        <v>10</v>
      </c>
      <c r="D35" s="138"/>
      <c r="E35" s="139">
        <v>4299411.9400000004</v>
      </c>
      <c r="F35" s="140">
        <v>0.38</v>
      </c>
      <c r="G35" s="139">
        <f t="shared" si="6"/>
        <v>5933188.4772000005</v>
      </c>
      <c r="H35" s="141"/>
      <c r="I35" s="142"/>
      <c r="J35" s="142"/>
      <c r="K35" s="139">
        <f t="shared" si="4"/>
        <v>0</v>
      </c>
      <c r="L35" s="139">
        <f t="shared" si="5"/>
        <v>0</v>
      </c>
      <c r="M35" s="143" t="str">
        <f t="shared" si="7"/>
        <v/>
      </c>
    </row>
    <row r="36" spans="2:13" x14ac:dyDescent="0.15">
      <c r="B36" s="65"/>
      <c r="C36" s="137" t="s">
        <v>11</v>
      </c>
      <c r="D36" s="138"/>
      <c r="E36" s="139">
        <v>3854815.1700000004</v>
      </c>
      <c r="F36" s="140">
        <v>0.38</v>
      </c>
      <c r="G36" s="139">
        <f t="shared" si="6"/>
        <v>5319644.9346000003</v>
      </c>
      <c r="H36" s="141"/>
      <c r="I36" s="142"/>
      <c r="J36" s="142"/>
      <c r="K36" s="139">
        <f t="shared" si="4"/>
        <v>0</v>
      </c>
      <c r="L36" s="139">
        <f t="shared" si="5"/>
        <v>0</v>
      </c>
      <c r="M36" s="143" t="str">
        <f t="shared" si="7"/>
        <v/>
      </c>
    </row>
    <row r="37" spans="2:13" x14ac:dyDescent="0.15">
      <c r="B37" s="65"/>
      <c r="C37" s="137" t="s">
        <v>12</v>
      </c>
      <c r="D37" s="138"/>
      <c r="E37" s="139">
        <v>3426501.66</v>
      </c>
      <c r="F37" s="140">
        <v>0.38</v>
      </c>
      <c r="G37" s="139">
        <f t="shared" si="6"/>
        <v>4728572.2907999996</v>
      </c>
      <c r="H37" s="141"/>
      <c r="I37" s="142"/>
      <c r="J37" s="142"/>
      <c r="K37" s="139">
        <f t="shared" si="4"/>
        <v>0</v>
      </c>
      <c r="L37" s="139">
        <f t="shared" si="5"/>
        <v>0</v>
      </c>
      <c r="M37" s="143" t="str">
        <f t="shared" si="7"/>
        <v/>
      </c>
    </row>
    <row r="38" spans="2:13" x14ac:dyDescent="0.15">
      <c r="B38" s="65"/>
      <c r="C38" s="137" t="s">
        <v>13</v>
      </c>
      <c r="D38" s="138"/>
      <c r="E38" s="139">
        <v>3015320.99</v>
      </c>
      <c r="F38" s="140">
        <v>0.38</v>
      </c>
      <c r="G38" s="139">
        <f t="shared" si="6"/>
        <v>4161142.9662000001</v>
      </c>
      <c r="H38" s="141"/>
      <c r="I38" s="142"/>
      <c r="J38" s="142"/>
      <c r="K38" s="139">
        <f t="shared" si="4"/>
        <v>0</v>
      </c>
      <c r="L38" s="139">
        <f t="shared" si="5"/>
        <v>0</v>
      </c>
      <c r="M38" s="143" t="str">
        <f t="shared" si="7"/>
        <v/>
      </c>
    </row>
    <row r="39" spans="2:13" x14ac:dyDescent="0.15">
      <c r="B39" s="65"/>
      <c r="C39" s="137" t="s">
        <v>14</v>
      </c>
      <c r="D39" s="138"/>
      <c r="E39" s="139">
        <v>2732635.5500000003</v>
      </c>
      <c r="F39" s="140">
        <v>0.38</v>
      </c>
      <c r="G39" s="139">
        <f t="shared" si="6"/>
        <v>3771037.0589999999</v>
      </c>
      <c r="H39" s="141"/>
      <c r="I39" s="142"/>
      <c r="J39" s="142"/>
      <c r="K39" s="139">
        <f t="shared" si="4"/>
        <v>0</v>
      </c>
      <c r="L39" s="139">
        <f t="shared" si="5"/>
        <v>0</v>
      </c>
      <c r="M39" s="143" t="str">
        <f t="shared" si="7"/>
        <v/>
      </c>
    </row>
    <row r="40" spans="2:13" x14ac:dyDescent="0.15">
      <c r="B40" s="65"/>
      <c r="C40" s="137" t="s">
        <v>15</v>
      </c>
      <c r="D40" s="138"/>
      <c r="E40" s="139">
        <v>2553033.91</v>
      </c>
      <c r="F40" s="140">
        <v>0.38</v>
      </c>
      <c r="G40" s="139">
        <f t="shared" si="6"/>
        <v>3523186.7958</v>
      </c>
      <c r="H40" s="141"/>
      <c r="I40" s="142"/>
      <c r="J40" s="142"/>
      <c r="K40" s="139">
        <f t="shared" si="4"/>
        <v>0</v>
      </c>
      <c r="L40" s="139">
        <f t="shared" si="5"/>
        <v>0</v>
      </c>
      <c r="M40" s="143" t="str">
        <f t="shared" si="7"/>
        <v/>
      </c>
    </row>
    <row r="41" spans="2:13" x14ac:dyDescent="0.15">
      <c r="B41" s="65"/>
      <c r="C41" s="137" t="s">
        <v>16</v>
      </c>
      <c r="D41" s="138"/>
      <c r="E41" s="139">
        <v>2258441.5100000002</v>
      </c>
      <c r="F41" s="140">
        <v>0.38</v>
      </c>
      <c r="G41" s="139">
        <f t="shared" si="6"/>
        <v>3116649.2838000003</v>
      </c>
      <c r="H41" s="141"/>
      <c r="I41" s="142"/>
      <c r="J41" s="142"/>
      <c r="K41" s="139">
        <f t="shared" si="4"/>
        <v>0</v>
      </c>
      <c r="L41" s="139">
        <f t="shared" si="5"/>
        <v>0</v>
      </c>
      <c r="M41" s="143" t="str">
        <f t="shared" si="7"/>
        <v/>
      </c>
    </row>
    <row r="42" spans="2:13" x14ac:dyDescent="0.15">
      <c r="B42" s="65"/>
      <c r="C42" s="137" t="s">
        <v>17</v>
      </c>
      <c r="D42" s="138"/>
      <c r="E42" s="139">
        <v>2061999.1400000001</v>
      </c>
      <c r="F42" s="140">
        <v>0.38</v>
      </c>
      <c r="G42" s="139">
        <f t="shared" si="6"/>
        <v>2845558.8131999997</v>
      </c>
      <c r="H42" s="141"/>
      <c r="I42" s="142"/>
      <c r="J42" s="142"/>
      <c r="K42" s="139">
        <f t="shared" si="4"/>
        <v>0</v>
      </c>
      <c r="L42" s="139">
        <f t="shared" si="5"/>
        <v>0</v>
      </c>
      <c r="M42" s="143" t="str">
        <f t="shared" si="7"/>
        <v/>
      </c>
    </row>
    <row r="43" spans="2:13" x14ac:dyDescent="0.15">
      <c r="B43" s="65"/>
      <c r="C43" s="137" t="s">
        <v>113</v>
      </c>
      <c r="D43" s="138"/>
      <c r="E43" s="139">
        <v>1885301.4800000002</v>
      </c>
      <c r="F43" s="140">
        <v>0.38</v>
      </c>
      <c r="G43" s="139">
        <f t="shared" si="6"/>
        <v>2601716.0424000002</v>
      </c>
      <c r="H43" s="141"/>
      <c r="I43" s="142"/>
      <c r="J43" s="142"/>
      <c r="K43" s="139">
        <f t="shared" si="4"/>
        <v>0</v>
      </c>
      <c r="L43" s="139">
        <f t="shared" si="5"/>
        <v>0</v>
      </c>
      <c r="M43" s="143" t="str">
        <f t="shared" si="7"/>
        <v/>
      </c>
    </row>
    <row r="44" spans="2:13" x14ac:dyDescent="0.15">
      <c r="B44" s="65"/>
      <c r="C44" s="137" t="s">
        <v>114</v>
      </c>
      <c r="D44" s="138"/>
      <c r="E44" s="139">
        <v>1698440.9600000002</v>
      </c>
      <c r="F44" s="140">
        <v>0.38</v>
      </c>
      <c r="G44" s="139">
        <f t="shared" si="6"/>
        <v>2343848.5248000002</v>
      </c>
      <c r="H44" s="141"/>
      <c r="I44" s="142"/>
      <c r="J44" s="142"/>
      <c r="K44" s="139">
        <f t="shared" si="4"/>
        <v>0</v>
      </c>
      <c r="L44" s="139">
        <f t="shared" si="5"/>
        <v>0</v>
      </c>
      <c r="M44" s="143" t="str">
        <f t="shared" si="7"/>
        <v/>
      </c>
    </row>
    <row r="45" spans="2:13" x14ac:dyDescent="0.15">
      <c r="B45" s="65"/>
      <c r="C45" s="137" t="s">
        <v>115</v>
      </c>
      <c r="D45" s="138"/>
      <c r="E45" s="139">
        <v>1543958.6400000001</v>
      </c>
      <c r="F45" s="140">
        <v>0.46</v>
      </c>
      <c r="G45" s="139">
        <f t="shared" si="6"/>
        <v>2254179.6144000003</v>
      </c>
      <c r="H45" s="141"/>
      <c r="I45" s="142"/>
      <c r="J45" s="142"/>
      <c r="K45" s="139">
        <f t="shared" si="4"/>
        <v>0</v>
      </c>
      <c r="L45" s="139">
        <f t="shared" si="5"/>
        <v>0</v>
      </c>
      <c r="M45" s="143" t="str">
        <f t="shared" si="7"/>
        <v/>
      </c>
    </row>
    <row r="46" spans="2:13" x14ac:dyDescent="0.15">
      <c r="B46" s="65"/>
      <c r="C46" s="137" t="s">
        <v>116</v>
      </c>
      <c r="D46" s="138"/>
      <c r="E46" s="139">
        <v>1370310.48</v>
      </c>
      <c r="F46" s="140">
        <v>0.46</v>
      </c>
      <c r="G46" s="139">
        <f t="shared" si="6"/>
        <v>2000653.3007999999</v>
      </c>
      <c r="H46" s="141"/>
      <c r="I46" s="142"/>
      <c r="J46" s="142"/>
      <c r="K46" s="139">
        <f t="shared" si="4"/>
        <v>0</v>
      </c>
      <c r="L46" s="139">
        <f t="shared" si="5"/>
        <v>0</v>
      </c>
      <c r="M46" s="143" t="str">
        <f t="shared" si="7"/>
        <v/>
      </c>
    </row>
    <row r="47" spans="2:13" x14ac:dyDescent="0.15">
      <c r="B47" s="65"/>
      <c r="C47" s="137" t="s">
        <v>117</v>
      </c>
      <c r="D47" s="138"/>
      <c r="E47" s="139">
        <v>1215972.6100000001</v>
      </c>
      <c r="F47" s="140">
        <v>0.46</v>
      </c>
      <c r="G47" s="139">
        <f t="shared" si="6"/>
        <v>1775320.0106000002</v>
      </c>
      <c r="H47" s="141"/>
      <c r="I47" s="142"/>
      <c r="J47" s="142"/>
      <c r="K47" s="139">
        <f t="shared" si="4"/>
        <v>0</v>
      </c>
      <c r="L47" s="139">
        <f t="shared" si="5"/>
        <v>0</v>
      </c>
      <c r="M47" s="143" t="str">
        <f t="shared" si="7"/>
        <v/>
      </c>
    </row>
    <row r="48" spans="2:13" x14ac:dyDescent="0.15">
      <c r="B48" s="65"/>
      <c r="C48" s="137" t="s">
        <v>118</v>
      </c>
      <c r="D48" s="138"/>
      <c r="E48" s="139">
        <v>1042905.4600000001</v>
      </c>
      <c r="F48" s="140">
        <v>0.46</v>
      </c>
      <c r="G48" s="139">
        <f t="shared" si="6"/>
        <v>1522641.9716</v>
      </c>
      <c r="H48" s="141"/>
      <c r="I48" s="142"/>
      <c r="J48" s="142"/>
      <c r="K48" s="139">
        <f t="shared" si="4"/>
        <v>0</v>
      </c>
      <c r="L48" s="139">
        <f t="shared" si="5"/>
        <v>0</v>
      </c>
      <c r="M48" s="143" t="str">
        <f t="shared" si="7"/>
        <v/>
      </c>
    </row>
    <row r="49" spans="2:13" x14ac:dyDescent="0.15">
      <c r="B49" s="65"/>
      <c r="C49" s="137" t="s">
        <v>119</v>
      </c>
      <c r="D49" s="138"/>
      <c r="E49" s="139">
        <v>968422.76</v>
      </c>
      <c r="F49" s="140">
        <v>0.46</v>
      </c>
      <c r="G49" s="139">
        <f t="shared" si="6"/>
        <v>1413897.2296</v>
      </c>
      <c r="H49" s="141"/>
      <c r="I49" s="142"/>
      <c r="J49" s="142"/>
      <c r="K49" s="139">
        <f t="shared" si="4"/>
        <v>0</v>
      </c>
      <c r="L49" s="139">
        <f t="shared" si="5"/>
        <v>0</v>
      </c>
      <c r="M49" s="143" t="str">
        <f t="shared" si="7"/>
        <v/>
      </c>
    </row>
    <row r="50" spans="2:13" ht="11.25" thickBot="1" x14ac:dyDescent="0.2">
      <c r="B50" s="65"/>
      <c r="C50" s="144" t="s">
        <v>120</v>
      </c>
      <c r="D50" s="145"/>
      <c r="E50" s="146">
        <v>910200.85000000009</v>
      </c>
      <c r="F50" s="147">
        <v>0.46</v>
      </c>
      <c r="G50" s="146">
        <f t="shared" si="6"/>
        <v>1328893.2410000002</v>
      </c>
      <c r="H50" s="148"/>
      <c r="I50" s="149"/>
      <c r="J50" s="149"/>
      <c r="K50" s="146">
        <f t="shared" si="4"/>
        <v>0</v>
      </c>
      <c r="L50" s="146">
        <f t="shared" si="5"/>
        <v>0</v>
      </c>
      <c r="M50" s="143" t="str">
        <f t="shared" si="7"/>
        <v/>
      </c>
    </row>
    <row r="51" spans="2:13" ht="11.25" thickTop="1" x14ac:dyDescent="0.15">
      <c r="B51" s="65"/>
      <c r="C51" s="150" t="s">
        <v>28</v>
      </c>
      <c r="D51" s="150"/>
      <c r="E51" s="151"/>
      <c r="F51" s="151"/>
      <c r="G51" s="151"/>
      <c r="H51" s="152">
        <f>+SUM(H30:H50)</f>
        <v>0</v>
      </c>
      <c r="I51" s="150"/>
      <c r="J51" s="150"/>
      <c r="K51" s="153">
        <f>+SUM(K30:K50)</f>
        <v>0</v>
      </c>
      <c r="L51" s="153">
        <f>+SUM(L30:L50)</f>
        <v>0</v>
      </c>
      <c r="M51" s="154">
        <f>+SUM(M30:M50)</f>
        <v>0</v>
      </c>
    </row>
    <row r="52" spans="2:13" ht="11.25" thickBot="1" x14ac:dyDescent="0.2">
      <c r="B52" s="121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55"/>
    </row>
    <row r="53" spans="2:13" ht="11.25" thickBot="1" x14ac:dyDescent="0.2">
      <c r="B53" s="59" t="s">
        <v>26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1"/>
    </row>
    <row r="54" spans="2:13" x14ac:dyDescent="0.1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6"/>
    </row>
    <row r="55" spans="2:13" x14ac:dyDescent="0.15">
      <c r="B55" s="65"/>
      <c r="C55" s="66"/>
      <c r="D55" s="66"/>
      <c r="E55" s="156" t="s">
        <v>44</v>
      </c>
      <c r="F55" s="156"/>
      <c r="G55" s="157" t="s">
        <v>96</v>
      </c>
      <c r="H55" s="158"/>
      <c r="I55" s="157" t="s">
        <v>45</v>
      </c>
      <c r="J55" s="158"/>
      <c r="K55" s="66"/>
      <c r="L55" s="66"/>
      <c r="M55" s="77"/>
    </row>
    <row r="56" spans="2:13" x14ac:dyDescent="0.15">
      <c r="B56" s="65"/>
      <c r="C56" s="66"/>
      <c r="D56" s="66"/>
      <c r="E56" s="159" t="s">
        <v>39</v>
      </c>
      <c r="F56" s="160" t="s">
        <v>40</v>
      </c>
      <c r="G56" s="159" t="s">
        <v>39</v>
      </c>
      <c r="H56" s="160" t="s">
        <v>40</v>
      </c>
      <c r="I56" s="159" t="s">
        <v>39</v>
      </c>
      <c r="J56" s="160" t="s">
        <v>40</v>
      </c>
      <c r="K56" s="161" t="s">
        <v>22</v>
      </c>
      <c r="L56" s="161" t="s">
        <v>23</v>
      </c>
      <c r="M56" s="162" t="s">
        <v>100</v>
      </c>
    </row>
    <row r="57" spans="2:13" x14ac:dyDescent="0.15">
      <c r="B57" s="163" t="s">
        <v>29</v>
      </c>
      <c r="C57" s="131"/>
      <c r="D57" s="131"/>
      <c r="E57" s="164"/>
      <c r="F57" s="165"/>
      <c r="G57" s="164"/>
      <c r="H57" s="165"/>
      <c r="I57" s="166">
        <v>30000</v>
      </c>
      <c r="J57" s="166">
        <v>72500</v>
      </c>
      <c r="K57" s="167">
        <f>+(E57*I57)+(F57*J57)</f>
        <v>0</v>
      </c>
      <c r="L57" s="132">
        <f>+(E57*G57*I57)+(F57*H57*J57)</f>
        <v>0</v>
      </c>
      <c r="M57" s="143" t="e">
        <f t="shared" ref="M57:M71" si="8">+($I$25*$K$19)*(L57/$L$72)*$M$22</f>
        <v>#VALUE!</v>
      </c>
    </row>
    <row r="58" spans="2:13" x14ac:dyDescent="0.15">
      <c r="B58" s="168" t="s">
        <v>30</v>
      </c>
      <c r="C58" s="138"/>
      <c r="D58" s="138"/>
      <c r="E58" s="169"/>
      <c r="F58" s="170"/>
      <c r="G58" s="169"/>
      <c r="H58" s="165"/>
      <c r="I58" s="166">
        <v>30000</v>
      </c>
      <c r="J58" s="166">
        <v>72500</v>
      </c>
      <c r="K58" s="171">
        <f t="shared" ref="K58:K71" si="9">+(E58*I58)+(F58*J58)</f>
        <v>0</v>
      </c>
      <c r="L58" s="132">
        <f t="shared" ref="L58:L66" si="10">+(E58*G58*I58)+(F58*H58*J58)</f>
        <v>0</v>
      </c>
      <c r="M58" s="143" t="e">
        <f t="shared" si="8"/>
        <v>#VALUE!</v>
      </c>
    </row>
    <row r="59" spans="2:13" x14ac:dyDescent="0.15">
      <c r="B59" s="168" t="s">
        <v>31</v>
      </c>
      <c r="C59" s="138"/>
      <c r="D59" s="138"/>
      <c r="E59" s="169"/>
      <c r="F59" s="170"/>
      <c r="G59" s="169"/>
      <c r="H59" s="165"/>
      <c r="I59" s="166">
        <v>30000</v>
      </c>
      <c r="J59" s="166">
        <v>90000</v>
      </c>
      <c r="K59" s="171">
        <f t="shared" si="9"/>
        <v>0</v>
      </c>
      <c r="L59" s="132">
        <f t="shared" si="10"/>
        <v>0</v>
      </c>
      <c r="M59" s="143" t="e">
        <f t="shared" si="8"/>
        <v>#VALUE!</v>
      </c>
    </row>
    <row r="60" spans="2:13" x14ac:dyDescent="0.15">
      <c r="B60" s="168" t="s">
        <v>32</v>
      </c>
      <c r="C60" s="138"/>
      <c r="D60" s="138"/>
      <c r="E60" s="169"/>
      <c r="F60" s="170"/>
      <c r="G60" s="169"/>
      <c r="H60" s="165"/>
      <c r="I60" s="105">
        <v>55000</v>
      </c>
      <c r="J60" s="166">
        <v>90000</v>
      </c>
      <c r="K60" s="171">
        <f t="shared" si="9"/>
        <v>0</v>
      </c>
      <c r="L60" s="132">
        <f t="shared" si="10"/>
        <v>0</v>
      </c>
      <c r="M60" s="143" t="e">
        <f t="shared" si="8"/>
        <v>#VALUE!</v>
      </c>
    </row>
    <row r="61" spans="2:13" x14ac:dyDescent="0.15">
      <c r="B61" s="168" t="s">
        <v>33</v>
      </c>
      <c r="C61" s="138"/>
      <c r="D61" s="138"/>
      <c r="E61" s="169"/>
      <c r="F61" s="170"/>
      <c r="G61" s="169"/>
      <c r="H61" s="165"/>
      <c r="I61" s="105">
        <v>65000</v>
      </c>
      <c r="J61" s="105">
        <v>130000</v>
      </c>
      <c r="K61" s="171">
        <f t="shared" si="9"/>
        <v>0</v>
      </c>
      <c r="L61" s="132">
        <f t="shared" si="10"/>
        <v>0</v>
      </c>
      <c r="M61" s="143" t="e">
        <f t="shared" si="8"/>
        <v>#VALUE!</v>
      </c>
    </row>
    <row r="62" spans="2:13" x14ac:dyDescent="0.15">
      <c r="B62" s="168" t="s">
        <v>34</v>
      </c>
      <c r="C62" s="138"/>
      <c r="D62" s="138"/>
      <c r="E62" s="169"/>
      <c r="F62" s="170"/>
      <c r="G62" s="169"/>
      <c r="H62" s="165"/>
      <c r="I62" s="105">
        <v>28000</v>
      </c>
      <c r="J62" s="105">
        <v>90000</v>
      </c>
      <c r="K62" s="171">
        <f t="shared" si="9"/>
        <v>0</v>
      </c>
      <c r="L62" s="132">
        <f>+(E62*G62*I62)+(F62*H62*J62)</f>
        <v>0</v>
      </c>
      <c r="M62" s="143" t="e">
        <f t="shared" si="8"/>
        <v>#VALUE!</v>
      </c>
    </row>
    <row r="63" spans="2:13" x14ac:dyDescent="0.15">
      <c r="B63" s="168" t="s">
        <v>35</v>
      </c>
      <c r="C63" s="138"/>
      <c r="D63" s="138"/>
      <c r="E63" s="169"/>
      <c r="F63" s="170"/>
      <c r="G63" s="169"/>
      <c r="H63" s="165"/>
      <c r="I63" s="105">
        <v>55000</v>
      </c>
      <c r="J63" s="105">
        <v>90000</v>
      </c>
      <c r="K63" s="171">
        <f t="shared" si="9"/>
        <v>0</v>
      </c>
      <c r="L63" s="132">
        <f t="shared" si="10"/>
        <v>0</v>
      </c>
      <c r="M63" s="143" t="e">
        <f t="shared" si="8"/>
        <v>#VALUE!</v>
      </c>
    </row>
    <row r="64" spans="2:13" x14ac:dyDescent="0.15">
      <c r="B64" s="168" t="s">
        <v>36</v>
      </c>
      <c r="C64" s="138"/>
      <c r="D64" s="138"/>
      <c r="E64" s="169"/>
      <c r="F64" s="170"/>
      <c r="G64" s="169"/>
      <c r="H64" s="165"/>
      <c r="I64" s="105">
        <v>55000</v>
      </c>
      <c r="J64" s="105">
        <v>90000</v>
      </c>
      <c r="K64" s="171">
        <f t="shared" si="9"/>
        <v>0</v>
      </c>
      <c r="L64" s="132">
        <f t="shared" si="10"/>
        <v>0</v>
      </c>
      <c r="M64" s="143" t="e">
        <f t="shared" si="8"/>
        <v>#VALUE!</v>
      </c>
    </row>
    <row r="65" spans="2:13" x14ac:dyDescent="0.15">
      <c r="B65" s="168" t="s">
        <v>37</v>
      </c>
      <c r="C65" s="138"/>
      <c r="D65" s="138"/>
      <c r="E65" s="169"/>
      <c r="F65" s="170"/>
      <c r="G65" s="169"/>
      <c r="H65" s="165"/>
      <c r="I65" s="105">
        <v>150000</v>
      </c>
      <c r="J65" s="105">
        <v>350000</v>
      </c>
      <c r="K65" s="171">
        <f t="shared" si="9"/>
        <v>0</v>
      </c>
      <c r="L65" s="132">
        <f t="shared" si="10"/>
        <v>0</v>
      </c>
      <c r="M65" s="143" t="e">
        <f t="shared" si="8"/>
        <v>#VALUE!</v>
      </c>
    </row>
    <row r="66" spans="2:13" x14ac:dyDescent="0.15">
      <c r="B66" s="168" t="s">
        <v>150</v>
      </c>
      <c r="C66" s="138"/>
      <c r="D66" s="138"/>
      <c r="E66" s="169"/>
      <c r="F66" s="170"/>
      <c r="G66" s="169"/>
      <c r="H66" s="165"/>
      <c r="I66" s="105">
        <v>40000</v>
      </c>
      <c r="J66" s="105">
        <v>100000</v>
      </c>
      <c r="K66" s="171">
        <f t="shared" si="9"/>
        <v>0</v>
      </c>
      <c r="L66" s="132">
        <f t="shared" si="10"/>
        <v>0</v>
      </c>
      <c r="M66" s="143" t="e">
        <f t="shared" si="8"/>
        <v>#VALUE!</v>
      </c>
    </row>
    <row r="67" spans="2:13" x14ac:dyDescent="0.15">
      <c r="B67" s="172" t="s">
        <v>145</v>
      </c>
      <c r="C67" s="173"/>
      <c r="D67" s="173"/>
      <c r="E67" s="174"/>
      <c r="F67" s="175"/>
      <c r="G67" s="174"/>
      <c r="H67" s="165"/>
      <c r="I67" s="105">
        <v>45000</v>
      </c>
      <c r="J67" s="105">
        <v>60000</v>
      </c>
      <c r="K67" s="171">
        <f t="shared" ref="K67" si="11">+(E67*I67)+(F67*J67)</f>
        <v>0</v>
      </c>
      <c r="L67" s="132">
        <f t="shared" ref="L67" si="12">+(E67*G67*I67)+(F67*H67*J67)</f>
        <v>0</v>
      </c>
      <c r="M67" s="143" t="e">
        <f t="shared" si="8"/>
        <v>#VALUE!</v>
      </c>
    </row>
    <row r="68" spans="2:13" x14ac:dyDescent="0.15">
      <c r="B68" s="172" t="s">
        <v>143</v>
      </c>
      <c r="C68" s="173"/>
      <c r="D68" s="173"/>
      <c r="E68" s="174"/>
      <c r="F68" s="175"/>
      <c r="G68" s="174"/>
      <c r="H68" s="165"/>
      <c r="I68" s="105">
        <v>45000</v>
      </c>
      <c r="J68" s="105">
        <v>60000</v>
      </c>
      <c r="K68" s="171">
        <f t="shared" ref="K68:K69" si="13">+(E68*I68)+(F68*J68)</f>
        <v>0</v>
      </c>
      <c r="L68" s="132">
        <f>+(E68*G68*I68)+(F68*H68*J68)</f>
        <v>0</v>
      </c>
      <c r="M68" s="143" t="e">
        <f t="shared" si="8"/>
        <v>#VALUE!</v>
      </c>
    </row>
    <row r="69" spans="2:13" x14ac:dyDescent="0.15">
      <c r="B69" s="172" t="s">
        <v>144</v>
      </c>
      <c r="C69" s="173"/>
      <c r="D69" s="173"/>
      <c r="E69" s="174"/>
      <c r="F69" s="175"/>
      <c r="G69" s="174"/>
      <c r="H69" s="165"/>
      <c r="I69" s="105">
        <v>60000</v>
      </c>
      <c r="J69" s="105">
        <v>72500</v>
      </c>
      <c r="K69" s="171">
        <f t="shared" si="13"/>
        <v>0</v>
      </c>
      <c r="L69" s="132">
        <f t="shared" ref="L69" si="14">+(E69*G69*I69)+(F69*H69*J69)</f>
        <v>0</v>
      </c>
      <c r="M69" s="143" t="e">
        <f t="shared" si="8"/>
        <v>#VALUE!</v>
      </c>
    </row>
    <row r="70" spans="2:13" ht="11.25" thickBot="1" x14ac:dyDescent="0.2">
      <c r="B70" s="176" t="s">
        <v>149</v>
      </c>
      <c r="C70" s="173"/>
      <c r="D70" s="173"/>
      <c r="E70" s="174"/>
      <c r="F70" s="175"/>
      <c r="G70" s="174"/>
      <c r="H70" s="165"/>
      <c r="I70" s="105">
        <v>130000</v>
      </c>
      <c r="J70" s="105">
        <v>180000</v>
      </c>
      <c r="K70" s="171">
        <f>+(E70*I70)+(F70*J70)</f>
        <v>0</v>
      </c>
      <c r="L70" s="132">
        <f t="shared" ref="L70" si="15">+(E70*G70*I70)+(F70*H70*J70)</f>
        <v>0</v>
      </c>
      <c r="M70" s="143" t="e">
        <f t="shared" si="8"/>
        <v>#VALUE!</v>
      </c>
    </row>
    <row r="71" spans="2:13" ht="12" thickTop="1" thickBot="1" x14ac:dyDescent="0.2">
      <c r="B71" s="176" t="s">
        <v>148</v>
      </c>
      <c r="C71" s="145"/>
      <c r="D71" s="145"/>
      <c r="E71" s="177"/>
      <c r="F71" s="178"/>
      <c r="G71" s="177"/>
      <c r="H71" s="165"/>
      <c r="I71" s="179">
        <v>250000</v>
      </c>
      <c r="J71" s="179">
        <v>400000</v>
      </c>
      <c r="K71" s="180">
        <f t="shared" si="9"/>
        <v>0</v>
      </c>
      <c r="L71" s="180">
        <f>+(E71*G71*I71)+(F71*H71*J71)</f>
        <v>0</v>
      </c>
      <c r="M71" s="181" t="e">
        <f t="shared" si="8"/>
        <v>#VALUE!</v>
      </c>
    </row>
    <row r="72" spans="2:13" ht="11.25" thickTop="1" x14ac:dyDescent="0.15">
      <c r="B72" s="182" t="s">
        <v>28</v>
      </c>
      <c r="C72" s="183"/>
      <c r="D72" s="184"/>
      <c r="E72" s="185">
        <f>+SUM(E57:E71)</f>
        <v>0</v>
      </c>
      <c r="F72" s="186">
        <f>+SUM(F57:F71)</f>
        <v>0</v>
      </c>
      <c r="G72" s="185">
        <f>+SUM(G57:G71)</f>
        <v>0</v>
      </c>
      <c r="H72" s="186">
        <f>+SUM(H57:H71)</f>
        <v>0</v>
      </c>
      <c r="I72" s="151"/>
      <c r="J72" s="151"/>
      <c r="K72" s="187">
        <f>+SUM(K57:K71)</f>
        <v>0</v>
      </c>
      <c r="L72" s="187">
        <f>+SUM(L57:L71)</f>
        <v>0</v>
      </c>
      <c r="M72" s="188" t="e">
        <f>+SUM(M57:M71)</f>
        <v>#VALUE!</v>
      </c>
    </row>
    <row r="73" spans="2:13" ht="11.25" thickBot="1" x14ac:dyDescent="0.2">
      <c r="B73" s="121"/>
      <c r="C73" s="122"/>
      <c r="D73" s="122"/>
      <c r="E73" s="122"/>
      <c r="F73" s="122"/>
      <c r="G73" s="189"/>
      <c r="H73" s="189"/>
      <c r="I73" s="122"/>
      <c r="J73" s="122"/>
      <c r="K73" s="190"/>
      <c r="L73" s="190"/>
      <c r="M73" s="123"/>
    </row>
    <row r="74" spans="2:13" ht="11.25" thickBot="1" x14ac:dyDescent="0.2">
      <c r="B74" s="59" t="s">
        <v>121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1"/>
    </row>
    <row r="75" spans="2:13" x14ac:dyDescent="0.15">
      <c r="B75" s="68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70"/>
    </row>
    <row r="76" spans="2:13" x14ac:dyDescent="0.15">
      <c r="B76" s="65"/>
      <c r="C76" s="191" t="s">
        <v>47</v>
      </c>
      <c r="D76" s="192">
        <v>60</v>
      </c>
      <c r="E76" s="66"/>
      <c r="F76" s="66"/>
      <c r="G76" s="66"/>
      <c r="H76" s="66"/>
      <c r="I76" s="66"/>
      <c r="J76" s="66"/>
      <c r="K76" s="66"/>
      <c r="L76" s="66"/>
      <c r="M76" s="77"/>
    </row>
    <row r="77" spans="2:13" x14ac:dyDescent="0.15">
      <c r="B77" s="65"/>
      <c r="C77" s="191" t="s">
        <v>42</v>
      </c>
      <c r="D77" s="193">
        <f>+$I$6/$D$76</f>
        <v>1.6666666666666666E-2</v>
      </c>
      <c r="E77" s="66"/>
      <c r="F77" s="66"/>
      <c r="G77" s="194" t="s">
        <v>43</v>
      </c>
      <c r="H77" s="194"/>
      <c r="I77" s="194" t="s">
        <v>41</v>
      </c>
      <c r="J77" s="194"/>
      <c r="K77" s="66"/>
      <c r="L77" s="66"/>
      <c r="M77" s="77"/>
    </row>
    <row r="78" spans="2:13" x14ac:dyDescent="0.15">
      <c r="B78" s="65"/>
      <c r="C78" s="66"/>
      <c r="D78" s="66"/>
      <c r="E78" s="66"/>
      <c r="F78" s="66"/>
      <c r="G78" s="159" t="s">
        <v>39</v>
      </c>
      <c r="H78" s="195" t="s">
        <v>40</v>
      </c>
      <c r="I78" s="159" t="s">
        <v>39</v>
      </c>
      <c r="J78" s="195" t="s">
        <v>40</v>
      </c>
      <c r="K78" s="196" t="s">
        <v>22</v>
      </c>
      <c r="L78" s="196" t="s">
        <v>23</v>
      </c>
      <c r="M78" s="197" t="s">
        <v>100</v>
      </c>
    </row>
    <row r="79" spans="2:13" x14ac:dyDescent="0.15">
      <c r="B79" s="65"/>
      <c r="C79" s="137" t="s">
        <v>29</v>
      </c>
      <c r="D79" s="138"/>
      <c r="E79" s="138"/>
      <c r="F79" s="138"/>
      <c r="G79" s="169"/>
      <c r="H79" s="170"/>
      <c r="I79" s="198">
        <v>1300000</v>
      </c>
      <c r="J79" s="199">
        <f t="shared" ref="J79:J88" si="16">+I79*(1+10%)</f>
        <v>1430000</v>
      </c>
      <c r="K79" s="171">
        <f t="shared" ref="K79:K88" si="17">+$D$77*((G79*I79)+(H79*J79))</f>
        <v>0</v>
      </c>
      <c r="L79" s="139">
        <f t="shared" ref="L79:L88" si="18">+K79*$I$6</f>
        <v>0</v>
      </c>
      <c r="M79" s="143">
        <f t="shared" ref="M79:M88" si="19">+IFERROR(($I$25*$K$20)*(L79/$L$89)*$M$22,0)</f>
        <v>0</v>
      </c>
    </row>
    <row r="80" spans="2:13" x14ac:dyDescent="0.15">
      <c r="B80" s="65"/>
      <c r="C80" s="137" t="s">
        <v>30</v>
      </c>
      <c r="D80" s="138"/>
      <c r="E80" s="138"/>
      <c r="F80" s="138"/>
      <c r="G80" s="169"/>
      <c r="H80" s="170"/>
      <c r="I80" s="198">
        <v>2000000</v>
      </c>
      <c r="J80" s="199">
        <f t="shared" si="16"/>
        <v>2200000</v>
      </c>
      <c r="K80" s="171">
        <f t="shared" si="17"/>
        <v>0</v>
      </c>
      <c r="L80" s="139">
        <f t="shared" si="18"/>
        <v>0</v>
      </c>
      <c r="M80" s="143">
        <f t="shared" si="19"/>
        <v>0</v>
      </c>
    </row>
    <row r="81" spans="2:13" x14ac:dyDescent="0.15">
      <c r="B81" s="65"/>
      <c r="C81" s="137" t="s">
        <v>31</v>
      </c>
      <c r="D81" s="138"/>
      <c r="E81" s="138"/>
      <c r="F81" s="138"/>
      <c r="G81" s="169"/>
      <c r="H81" s="170"/>
      <c r="I81" s="198">
        <v>1000000</v>
      </c>
      <c r="J81" s="199">
        <f t="shared" si="16"/>
        <v>1100000</v>
      </c>
      <c r="K81" s="171">
        <f t="shared" si="17"/>
        <v>0</v>
      </c>
      <c r="L81" s="139">
        <f t="shared" si="18"/>
        <v>0</v>
      </c>
      <c r="M81" s="143">
        <f t="shared" si="19"/>
        <v>0</v>
      </c>
    </row>
    <row r="82" spans="2:13" x14ac:dyDescent="0.15">
      <c r="B82" s="65"/>
      <c r="C82" s="137" t="s">
        <v>32</v>
      </c>
      <c r="D82" s="138"/>
      <c r="E82" s="138"/>
      <c r="F82" s="138"/>
      <c r="G82" s="169"/>
      <c r="H82" s="170"/>
      <c r="I82" s="198">
        <v>1500000</v>
      </c>
      <c r="J82" s="199">
        <f t="shared" si="16"/>
        <v>1650000.0000000002</v>
      </c>
      <c r="K82" s="171">
        <f t="shared" si="17"/>
        <v>0</v>
      </c>
      <c r="L82" s="139">
        <f t="shared" si="18"/>
        <v>0</v>
      </c>
      <c r="M82" s="143">
        <f t="shared" si="19"/>
        <v>0</v>
      </c>
    </row>
    <row r="83" spans="2:13" x14ac:dyDescent="0.15">
      <c r="B83" s="65"/>
      <c r="C83" s="137" t="s">
        <v>33</v>
      </c>
      <c r="D83" s="138"/>
      <c r="E83" s="138"/>
      <c r="F83" s="138"/>
      <c r="G83" s="169"/>
      <c r="H83" s="170"/>
      <c r="I83" s="198">
        <v>4000000</v>
      </c>
      <c r="J83" s="199">
        <f t="shared" si="16"/>
        <v>4400000</v>
      </c>
      <c r="K83" s="171">
        <f t="shared" si="17"/>
        <v>0</v>
      </c>
      <c r="L83" s="139">
        <f t="shared" si="18"/>
        <v>0</v>
      </c>
      <c r="M83" s="143">
        <f t="shared" si="19"/>
        <v>0</v>
      </c>
    </row>
    <row r="84" spans="2:13" x14ac:dyDescent="0.15">
      <c r="B84" s="65"/>
      <c r="C84" s="137" t="s">
        <v>34</v>
      </c>
      <c r="D84" s="138"/>
      <c r="E84" s="138"/>
      <c r="F84" s="138"/>
      <c r="G84" s="169"/>
      <c r="H84" s="170"/>
      <c r="I84" s="198">
        <v>1000000</v>
      </c>
      <c r="J84" s="199">
        <f t="shared" si="16"/>
        <v>1100000</v>
      </c>
      <c r="K84" s="171">
        <f t="shared" si="17"/>
        <v>0</v>
      </c>
      <c r="L84" s="139">
        <f t="shared" si="18"/>
        <v>0</v>
      </c>
      <c r="M84" s="143">
        <f t="shared" si="19"/>
        <v>0</v>
      </c>
    </row>
    <row r="85" spans="2:13" x14ac:dyDescent="0.15">
      <c r="B85" s="65"/>
      <c r="C85" s="137" t="s">
        <v>35</v>
      </c>
      <c r="D85" s="138"/>
      <c r="E85" s="138"/>
      <c r="F85" s="138"/>
      <c r="G85" s="169"/>
      <c r="H85" s="170"/>
      <c r="I85" s="198">
        <v>1500000</v>
      </c>
      <c r="J85" s="199">
        <f t="shared" si="16"/>
        <v>1650000.0000000002</v>
      </c>
      <c r="K85" s="171">
        <f t="shared" si="17"/>
        <v>0</v>
      </c>
      <c r="L85" s="139">
        <f t="shared" si="18"/>
        <v>0</v>
      </c>
      <c r="M85" s="143">
        <f t="shared" si="19"/>
        <v>0</v>
      </c>
    </row>
    <row r="86" spans="2:13" x14ac:dyDescent="0.15">
      <c r="B86" s="65"/>
      <c r="C86" s="137" t="s">
        <v>36</v>
      </c>
      <c r="D86" s="138"/>
      <c r="E86" s="138"/>
      <c r="F86" s="138"/>
      <c r="G86" s="169"/>
      <c r="H86" s="170"/>
      <c r="I86" s="198">
        <v>2000000</v>
      </c>
      <c r="J86" s="199">
        <f t="shared" si="16"/>
        <v>2200000</v>
      </c>
      <c r="K86" s="171">
        <f t="shared" si="17"/>
        <v>0</v>
      </c>
      <c r="L86" s="139">
        <f t="shared" si="18"/>
        <v>0</v>
      </c>
      <c r="M86" s="143">
        <f t="shared" si="19"/>
        <v>0</v>
      </c>
    </row>
    <row r="87" spans="2:13" x14ac:dyDescent="0.15">
      <c r="B87" s="65"/>
      <c r="C87" s="137" t="s">
        <v>37</v>
      </c>
      <c r="D87" s="138"/>
      <c r="E87" s="138"/>
      <c r="F87" s="138"/>
      <c r="G87" s="169"/>
      <c r="H87" s="170"/>
      <c r="I87" s="198">
        <v>6000000</v>
      </c>
      <c r="J87" s="199">
        <f t="shared" si="16"/>
        <v>6600000.0000000009</v>
      </c>
      <c r="K87" s="171">
        <f t="shared" si="17"/>
        <v>0</v>
      </c>
      <c r="L87" s="139">
        <f t="shared" si="18"/>
        <v>0</v>
      </c>
      <c r="M87" s="143">
        <f t="shared" si="19"/>
        <v>0</v>
      </c>
    </row>
    <row r="88" spans="2:13" ht="11.25" thickBot="1" x14ac:dyDescent="0.2">
      <c r="B88" s="65"/>
      <c r="C88" s="144" t="s">
        <v>38</v>
      </c>
      <c r="D88" s="145"/>
      <c r="E88" s="145"/>
      <c r="F88" s="145"/>
      <c r="G88" s="177"/>
      <c r="H88" s="178"/>
      <c r="I88" s="200">
        <v>500000</v>
      </c>
      <c r="J88" s="201">
        <f t="shared" si="16"/>
        <v>550000</v>
      </c>
      <c r="K88" s="180">
        <f t="shared" si="17"/>
        <v>0</v>
      </c>
      <c r="L88" s="146">
        <f t="shared" si="18"/>
        <v>0</v>
      </c>
      <c r="M88" s="181">
        <f t="shared" si="19"/>
        <v>0</v>
      </c>
    </row>
    <row r="89" spans="2:13" ht="11.25" thickTop="1" x14ac:dyDescent="0.15">
      <c r="B89" s="65"/>
      <c r="C89" s="202" t="s">
        <v>28</v>
      </c>
      <c r="D89" s="202"/>
      <c r="E89" s="202"/>
      <c r="F89" s="203"/>
      <c r="G89" s="204">
        <f>+SUM(G79:G88)</f>
        <v>0</v>
      </c>
      <c r="H89" s="205">
        <f>+SUM(H79:H88)</f>
        <v>0</v>
      </c>
      <c r="I89" s="206"/>
      <c r="J89" s="207"/>
      <c r="K89" s="187">
        <f>+SUM(K79:K88)</f>
        <v>0</v>
      </c>
      <c r="L89" s="187">
        <f>+SUM(L79:L88)</f>
        <v>0</v>
      </c>
      <c r="M89" s="188">
        <f>+SUM(M79:M88)</f>
        <v>0</v>
      </c>
    </row>
    <row r="90" spans="2:13" ht="11.25" thickBot="1" x14ac:dyDescent="0.2">
      <c r="B90" s="121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3"/>
    </row>
    <row r="91" spans="2:13" ht="11.25" thickBot="1" x14ac:dyDescent="0.2">
      <c r="B91" s="59" t="s">
        <v>48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1"/>
    </row>
    <row r="92" spans="2:13" x14ac:dyDescent="0.15">
      <c r="B92" s="68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70"/>
    </row>
    <row r="93" spans="2:13" x14ac:dyDescent="0.15">
      <c r="B93" s="65"/>
      <c r="C93" s="208" t="s">
        <v>50</v>
      </c>
      <c r="D93" s="208"/>
      <c r="E93" s="208"/>
      <c r="F93" s="208"/>
      <c r="G93" s="208"/>
      <c r="H93" s="160" t="s">
        <v>51</v>
      </c>
      <c r="I93" s="160" t="s">
        <v>49</v>
      </c>
      <c r="J93" s="160" t="s">
        <v>3</v>
      </c>
      <c r="K93" s="160" t="s">
        <v>28</v>
      </c>
      <c r="L93" s="209"/>
      <c r="M93" s="136" t="s">
        <v>100</v>
      </c>
    </row>
    <row r="94" spans="2:13" x14ac:dyDescent="0.15">
      <c r="B94" s="65"/>
      <c r="C94" s="210"/>
      <c r="D94" s="210"/>
      <c r="E94" s="210"/>
      <c r="F94" s="210"/>
      <c r="G94" s="210"/>
      <c r="H94" s="211"/>
      <c r="I94" s="212"/>
      <c r="J94" s="166">
        <f t="shared" ref="J94:J101" si="20">+I94*$D$14</f>
        <v>0</v>
      </c>
      <c r="K94" s="166">
        <f>+(I94+J94)*H94</f>
        <v>0</v>
      </c>
      <c r="L94" s="213"/>
      <c r="M94" s="143">
        <f>+IFERROR(($I$25*$K$21)*(K94/$K$102)*$M$22,0)</f>
        <v>0</v>
      </c>
    </row>
    <row r="95" spans="2:13" x14ac:dyDescent="0.15">
      <c r="B95" s="65"/>
      <c r="C95" s="214"/>
      <c r="D95" s="214"/>
      <c r="E95" s="214"/>
      <c r="F95" s="214"/>
      <c r="G95" s="214"/>
      <c r="H95" s="192"/>
      <c r="I95" s="212"/>
      <c r="J95" s="166">
        <f t="shared" si="20"/>
        <v>0</v>
      </c>
      <c r="K95" s="166">
        <f t="shared" ref="K95:K97" si="21">+(I95+J95)*H95</f>
        <v>0</v>
      </c>
      <c r="L95" s="213"/>
      <c r="M95" s="143">
        <f>+IFERROR(($I$25*$K$21)*(K95/$K$102)*$M$22,0)</f>
        <v>0</v>
      </c>
    </row>
    <row r="96" spans="2:13" x14ac:dyDescent="0.15">
      <c r="B96" s="65"/>
      <c r="C96" s="214"/>
      <c r="D96" s="214"/>
      <c r="E96" s="214"/>
      <c r="F96" s="214"/>
      <c r="G96" s="214"/>
      <c r="H96" s="192"/>
      <c r="I96" s="212"/>
      <c r="J96" s="166">
        <f t="shared" si="20"/>
        <v>0</v>
      </c>
      <c r="K96" s="166">
        <f t="shared" si="21"/>
        <v>0</v>
      </c>
      <c r="L96" s="213"/>
      <c r="M96" s="143">
        <f>+IFERROR(($I$25*$K$21)*(K96/$K$102)*$M$22,0)</f>
        <v>0</v>
      </c>
    </row>
    <row r="97" spans="2:13" x14ac:dyDescent="0.15">
      <c r="B97" s="65"/>
      <c r="C97" s="214"/>
      <c r="D97" s="214"/>
      <c r="E97" s="214"/>
      <c r="F97" s="214"/>
      <c r="G97" s="214"/>
      <c r="H97" s="192"/>
      <c r="I97" s="212"/>
      <c r="J97" s="166">
        <f t="shared" si="20"/>
        <v>0</v>
      </c>
      <c r="K97" s="166">
        <f t="shared" si="21"/>
        <v>0</v>
      </c>
      <c r="L97" s="213"/>
      <c r="M97" s="143">
        <f>+IFERROR(($I$25*$K$21)*(K97/$K$102)*$M$22,0)</f>
        <v>0</v>
      </c>
    </row>
    <row r="98" spans="2:13" x14ac:dyDescent="0.15">
      <c r="B98" s="65"/>
      <c r="C98" s="215"/>
      <c r="D98" s="215"/>
      <c r="E98" s="215"/>
      <c r="F98" s="215"/>
      <c r="G98" s="215"/>
      <c r="H98" s="192"/>
      <c r="I98" s="216"/>
      <c r="J98" s="166">
        <f t="shared" si="20"/>
        <v>0</v>
      </c>
      <c r="K98" s="105">
        <f t="shared" ref="K98:K101" si="22">+I98+J98</f>
        <v>0</v>
      </c>
      <c r="L98" s="213"/>
      <c r="M98" s="143">
        <f t="shared" ref="M98:M101" si="23">+IFERROR(($I$25*$K$21)*(K98/$K$102)*$M$22,0)</f>
        <v>0</v>
      </c>
    </row>
    <row r="99" spans="2:13" x14ac:dyDescent="0.15">
      <c r="B99" s="65"/>
      <c r="C99" s="215"/>
      <c r="D99" s="215"/>
      <c r="E99" s="215"/>
      <c r="F99" s="215"/>
      <c r="G99" s="215"/>
      <c r="H99" s="192"/>
      <c r="I99" s="216"/>
      <c r="J99" s="166">
        <f t="shared" si="20"/>
        <v>0</v>
      </c>
      <c r="K99" s="105">
        <f t="shared" si="22"/>
        <v>0</v>
      </c>
      <c r="L99" s="213"/>
      <c r="M99" s="143">
        <f t="shared" si="23"/>
        <v>0</v>
      </c>
    </row>
    <row r="100" spans="2:13" x14ac:dyDescent="0.15">
      <c r="B100" s="65"/>
      <c r="C100" s="215"/>
      <c r="D100" s="215"/>
      <c r="E100" s="215"/>
      <c r="F100" s="215"/>
      <c r="G100" s="215"/>
      <c r="H100" s="192"/>
      <c r="I100" s="216"/>
      <c r="J100" s="166">
        <f t="shared" si="20"/>
        <v>0</v>
      </c>
      <c r="K100" s="105">
        <f t="shared" si="22"/>
        <v>0</v>
      </c>
      <c r="L100" s="213"/>
      <c r="M100" s="143">
        <f t="shared" si="23"/>
        <v>0</v>
      </c>
    </row>
    <row r="101" spans="2:13" ht="11.25" thickBot="1" x14ac:dyDescent="0.2">
      <c r="B101" s="65"/>
      <c r="C101" s="217"/>
      <c r="D101" s="217"/>
      <c r="E101" s="217"/>
      <c r="F101" s="217"/>
      <c r="G101" s="217"/>
      <c r="H101" s="218"/>
      <c r="I101" s="219"/>
      <c r="J101" s="166">
        <f t="shared" si="20"/>
        <v>0</v>
      </c>
      <c r="K101" s="179">
        <f t="shared" si="22"/>
        <v>0</v>
      </c>
      <c r="L101" s="220"/>
      <c r="M101" s="143">
        <f t="shared" si="23"/>
        <v>0</v>
      </c>
    </row>
    <row r="102" spans="2:13" ht="11.25" thickTop="1" x14ac:dyDescent="0.15">
      <c r="B102" s="65"/>
      <c r="C102" s="150" t="s">
        <v>28</v>
      </c>
      <c r="D102" s="150"/>
      <c r="E102" s="150"/>
      <c r="F102" s="150"/>
      <c r="G102" s="221"/>
      <c r="H102" s="222">
        <f t="shared" ref="H102:M102" si="24">+SUM(H94:H101)</f>
        <v>0</v>
      </c>
      <c r="I102" s="223">
        <f t="shared" si="24"/>
        <v>0</v>
      </c>
      <c r="J102" s="224">
        <f t="shared" si="24"/>
        <v>0</v>
      </c>
      <c r="K102" s="187">
        <f t="shared" si="24"/>
        <v>0</v>
      </c>
      <c r="L102" s="225"/>
      <c r="M102" s="188">
        <f t="shared" si="24"/>
        <v>0</v>
      </c>
    </row>
    <row r="103" spans="2:13" x14ac:dyDescent="0.15"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77"/>
    </row>
    <row r="104" spans="2:13" ht="11.25" thickBot="1" x14ac:dyDescent="0.2">
      <c r="B104" s="121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3"/>
    </row>
    <row r="105" spans="2:13" ht="11.25" thickBot="1" x14ac:dyDescent="0.2">
      <c r="B105" s="59" t="s">
        <v>64</v>
      </c>
      <c r="C105" s="60"/>
      <c r="D105" s="60"/>
      <c r="E105" s="60"/>
      <c r="F105" s="60"/>
      <c r="G105" s="60"/>
      <c r="H105" s="61"/>
      <c r="I105" s="59" t="s">
        <v>27</v>
      </c>
      <c r="J105" s="60"/>
      <c r="K105" s="60"/>
      <c r="L105" s="60"/>
      <c r="M105" s="61"/>
    </row>
    <row r="106" spans="2:13" x14ac:dyDescent="0.15">
      <c r="B106" s="226"/>
      <c r="C106" s="227"/>
      <c r="D106" s="227"/>
      <c r="E106" s="227"/>
      <c r="F106" s="227"/>
      <c r="G106" s="227"/>
      <c r="H106" s="228"/>
      <c r="I106" s="124"/>
      <c r="J106" s="125"/>
      <c r="K106" s="125"/>
      <c r="L106" s="125"/>
      <c r="M106" s="126"/>
    </row>
    <row r="107" spans="2:13" x14ac:dyDescent="0.15">
      <c r="B107" s="65"/>
      <c r="C107" s="229" t="s">
        <v>89</v>
      </c>
      <c r="D107" s="229"/>
      <c r="E107" s="230" t="s">
        <v>67</v>
      </c>
      <c r="F107" s="231" t="s">
        <v>69</v>
      </c>
      <c r="G107" s="230" t="s">
        <v>70</v>
      </c>
      <c r="H107" s="77"/>
      <c r="I107" s="65"/>
      <c r="J107" s="230" t="s">
        <v>67</v>
      </c>
      <c r="K107" s="231" t="s">
        <v>69</v>
      </c>
      <c r="L107" s="231" t="s">
        <v>70</v>
      </c>
      <c r="M107" s="77"/>
    </row>
    <row r="108" spans="2:13" x14ac:dyDescent="0.15">
      <c r="B108" s="65"/>
      <c r="C108" s="130" t="s">
        <v>52</v>
      </c>
      <c r="D108" s="131"/>
      <c r="E108" s="232">
        <v>0</v>
      </c>
      <c r="F108" s="132">
        <f>+E108*$K$116</f>
        <v>0</v>
      </c>
      <c r="G108" s="132">
        <f t="shared" ref="G108:G120" si="25">+F108*$I$6</f>
        <v>0</v>
      </c>
      <c r="H108" s="77"/>
      <c r="I108" s="233" t="s">
        <v>71</v>
      </c>
      <c r="J108" s="234">
        <v>0.02</v>
      </c>
      <c r="K108" s="132">
        <f>+J108*($K$116/$I$6)</f>
        <v>300000</v>
      </c>
      <c r="L108" s="132">
        <f>+K108*$I$6</f>
        <v>300000</v>
      </c>
      <c r="M108" s="77"/>
    </row>
    <row r="109" spans="2:13" x14ac:dyDescent="0.15">
      <c r="B109" s="65"/>
      <c r="C109" s="130" t="s">
        <v>53</v>
      </c>
      <c r="D109" s="131"/>
      <c r="E109" s="232">
        <v>0</v>
      </c>
      <c r="F109" s="132">
        <f t="shared" ref="F109:F120" si="26">+E109*$K$116</f>
        <v>0</v>
      </c>
      <c r="G109" s="132">
        <f t="shared" si="25"/>
        <v>0</v>
      </c>
      <c r="H109" s="77"/>
      <c r="I109" s="235" t="s">
        <v>72</v>
      </c>
      <c r="J109" s="236">
        <v>0.03</v>
      </c>
      <c r="K109" s="132">
        <f>+J109*($K$116/$I$6)</f>
        <v>450000</v>
      </c>
      <c r="L109" s="132">
        <f>+K109*$I$6</f>
        <v>450000</v>
      </c>
      <c r="M109" s="77"/>
    </row>
    <row r="110" spans="2:13" x14ac:dyDescent="0.15">
      <c r="B110" s="65"/>
      <c r="C110" s="130" t="s">
        <v>54</v>
      </c>
      <c r="D110" s="131"/>
      <c r="E110" s="232">
        <v>0</v>
      </c>
      <c r="F110" s="132">
        <f t="shared" si="26"/>
        <v>0</v>
      </c>
      <c r="G110" s="132">
        <f t="shared" si="25"/>
        <v>0</v>
      </c>
      <c r="H110" s="77"/>
      <c r="I110" s="235" t="s">
        <v>73</v>
      </c>
      <c r="J110" s="236">
        <v>5.2999999999999999E-2</v>
      </c>
      <c r="K110" s="132">
        <f>+J110*($K$116/$I$6)</f>
        <v>795000</v>
      </c>
      <c r="L110" s="132">
        <f>+K110*$I$6</f>
        <v>795000</v>
      </c>
      <c r="M110" s="77"/>
    </row>
    <row r="111" spans="2:13" x14ac:dyDescent="0.15">
      <c r="B111" s="65"/>
      <c r="C111" s="130" t="s">
        <v>55</v>
      </c>
      <c r="D111" s="131"/>
      <c r="E111" s="232">
        <v>0</v>
      </c>
      <c r="F111" s="132">
        <f t="shared" si="26"/>
        <v>0</v>
      </c>
      <c r="G111" s="132">
        <f t="shared" si="25"/>
        <v>0</v>
      </c>
      <c r="H111" s="77"/>
      <c r="I111" s="235" t="s">
        <v>74</v>
      </c>
      <c r="J111" s="236">
        <v>8.0000000000000002E-3</v>
      </c>
      <c r="K111" s="132">
        <f>+J111*($K$116)</f>
        <v>120000</v>
      </c>
      <c r="L111" s="132">
        <f>+K111</f>
        <v>120000</v>
      </c>
      <c r="M111" s="77"/>
    </row>
    <row r="112" spans="2:13" ht="11.25" thickBot="1" x14ac:dyDescent="0.2">
      <c r="B112" s="65"/>
      <c r="C112" s="130" t="s">
        <v>56</v>
      </c>
      <c r="D112" s="131"/>
      <c r="E112" s="232">
        <v>0</v>
      </c>
      <c r="F112" s="132">
        <f t="shared" si="26"/>
        <v>0</v>
      </c>
      <c r="G112" s="132">
        <f t="shared" si="25"/>
        <v>0</v>
      </c>
      <c r="H112" s="77"/>
      <c r="I112" s="237"/>
      <c r="J112" s="238"/>
      <c r="K112" s="132">
        <f t="shared" ref="K112" si="27">+J112*($D$12/$I$6)</f>
        <v>0</v>
      </c>
      <c r="L112" s="146">
        <f>+K112*$I$6</f>
        <v>0</v>
      </c>
      <c r="M112" s="77"/>
    </row>
    <row r="113" spans="2:13" ht="11.25" thickTop="1" x14ac:dyDescent="0.15">
      <c r="B113" s="65"/>
      <c r="C113" s="130" t="s">
        <v>57</v>
      </c>
      <c r="D113" s="131"/>
      <c r="E113" s="232">
        <v>0</v>
      </c>
      <c r="F113" s="132">
        <f t="shared" si="26"/>
        <v>0</v>
      </c>
      <c r="G113" s="132">
        <f t="shared" si="25"/>
        <v>0</v>
      </c>
      <c r="H113" s="77"/>
      <c r="I113" s="239" t="s">
        <v>28</v>
      </c>
      <c r="J113" s="240">
        <f>+SUM(J108:J112)</f>
        <v>0.11100000000000002</v>
      </c>
      <c r="K113" s="187">
        <f>+SUM(K108:K112)</f>
        <v>1665000</v>
      </c>
      <c r="L113" s="187">
        <f>+SUM(L108:L112)</f>
        <v>1665000</v>
      </c>
      <c r="M113" s="77"/>
    </row>
    <row r="114" spans="2:13" x14ac:dyDescent="0.15">
      <c r="B114" s="65"/>
      <c r="C114" s="130" t="s">
        <v>58</v>
      </c>
      <c r="D114" s="131"/>
      <c r="E114" s="232">
        <v>0</v>
      </c>
      <c r="F114" s="132">
        <f t="shared" si="26"/>
        <v>0</v>
      </c>
      <c r="G114" s="132">
        <f t="shared" si="25"/>
        <v>0</v>
      </c>
      <c r="H114" s="77"/>
      <c r="I114" s="65"/>
      <c r="J114" s="66"/>
      <c r="K114" s="66"/>
      <c r="L114" s="66"/>
      <c r="M114" s="77"/>
    </row>
    <row r="115" spans="2:13" ht="11.25" thickBot="1" x14ac:dyDescent="0.2">
      <c r="B115" s="65"/>
      <c r="C115" s="130" t="s">
        <v>59</v>
      </c>
      <c r="D115" s="131"/>
      <c r="E115" s="232">
        <v>0</v>
      </c>
      <c r="F115" s="132">
        <f t="shared" si="26"/>
        <v>0</v>
      </c>
      <c r="G115" s="132">
        <f t="shared" si="25"/>
        <v>0</v>
      </c>
      <c r="H115" s="77"/>
      <c r="I115" s="65"/>
      <c r="J115" s="66"/>
      <c r="K115" s="66"/>
      <c r="L115" s="66"/>
      <c r="M115" s="77"/>
    </row>
    <row r="116" spans="2:13" ht="11.25" thickBot="1" x14ac:dyDescent="0.2">
      <c r="B116" s="65"/>
      <c r="C116" s="130" t="s">
        <v>60</v>
      </c>
      <c r="D116" s="131"/>
      <c r="E116" s="232">
        <v>0</v>
      </c>
      <c r="F116" s="132">
        <f t="shared" si="26"/>
        <v>0</v>
      </c>
      <c r="G116" s="132">
        <f t="shared" si="25"/>
        <v>0</v>
      </c>
      <c r="H116" s="77"/>
      <c r="I116" s="65"/>
      <c r="J116" s="241" t="s">
        <v>146</v>
      </c>
      <c r="K116" s="242">
        <v>15000000</v>
      </c>
      <c r="L116" s="66"/>
      <c r="M116" s="77"/>
    </row>
    <row r="117" spans="2:13" x14ac:dyDescent="0.15">
      <c r="B117" s="65"/>
      <c r="C117" s="130" t="s">
        <v>61</v>
      </c>
      <c r="D117" s="131"/>
      <c r="E117" s="232">
        <v>0.1</v>
      </c>
      <c r="F117" s="132">
        <f t="shared" si="26"/>
        <v>1500000</v>
      </c>
      <c r="G117" s="132">
        <f t="shared" si="25"/>
        <v>1500000</v>
      </c>
      <c r="H117" s="77"/>
      <c r="I117" s="65"/>
      <c r="J117" s="66"/>
      <c r="K117" s="66"/>
      <c r="L117" s="66"/>
      <c r="M117" s="77"/>
    </row>
    <row r="118" spans="2:13" x14ac:dyDescent="0.15">
      <c r="B118" s="65"/>
      <c r="C118" s="130" t="s">
        <v>62</v>
      </c>
      <c r="D118" s="131"/>
      <c r="E118" s="232">
        <v>0</v>
      </c>
      <c r="F118" s="132">
        <f t="shared" si="26"/>
        <v>0</v>
      </c>
      <c r="G118" s="132">
        <f t="shared" si="25"/>
        <v>0</v>
      </c>
      <c r="H118" s="77"/>
      <c r="I118" s="65"/>
      <c r="J118" s="243" t="s">
        <v>147</v>
      </c>
      <c r="K118" s="66"/>
      <c r="L118" s="66"/>
      <c r="M118" s="77"/>
    </row>
    <row r="119" spans="2:13" x14ac:dyDescent="0.15">
      <c r="B119" s="65"/>
      <c r="C119" s="130" t="s">
        <v>66</v>
      </c>
      <c r="D119" s="131"/>
      <c r="E119" s="232">
        <v>0</v>
      </c>
      <c r="F119" s="132">
        <f t="shared" si="26"/>
        <v>0</v>
      </c>
      <c r="G119" s="132">
        <f t="shared" si="25"/>
        <v>0</v>
      </c>
      <c r="H119" s="77"/>
      <c r="I119" s="65"/>
      <c r="J119" s="66"/>
      <c r="K119" s="66"/>
      <c r="L119" s="66"/>
      <c r="M119" s="77"/>
    </row>
    <row r="120" spans="2:13" ht="11.25" thickBot="1" x14ac:dyDescent="0.2">
      <c r="B120" s="65"/>
      <c r="C120" s="144" t="s">
        <v>63</v>
      </c>
      <c r="D120" s="145"/>
      <c r="E120" s="244">
        <v>0</v>
      </c>
      <c r="F120" s="132">
        <f t="shared" si="26"/>
        <v>0</v>
      </c>
      <c r="G120" s="146">
        <f t="shared" si="25"/>
        <v>0</v>
      </c>
      <c r="H120" s="77"/>
      <c r="I120" s="65"/>
      <c r="J120" s="66"/>
      <c r="K120" s="66"/>
      <c r="L120" s="66"/>
      <c r="M120" s="77"/>
    </row>
    <row r="121" spans="2:13" ht="11.25" thickTop="1" x14ac:dyDescent="0.15">
      <c r="B121" s="65"/>
      <c r="C121" s="150" t="s">
        <v>28</v>
      </c>
      <c r="D121" s="150"/>
      <c r="E121" s="150"/>
      <c r="F121" s="245">
        <f>+SUM(F108:F120)</f>
        <v>1500000</v>
      </c>
      <c r="G121" s="245">
        <f>+SUM(G108:G120)</f>
        <v>1500000</v>
      </c>
      <c r="H121" s="77"/>
      <c r="I121" s="65"/>
      <c r="J121" s="66"/>
      <c r="K121" s="66"/>
      <c r="L121" s="66"/>
      <c r="M121" s="77"/>
    </row>
    <row r="122" spans="2:13" ht="11.25" thickBot="1" x14ac:dyDescent="0.2">
      <c r="B122" s="121"/>
      <c r="C122" s="122"/>
      <c r="D122" s="122"/>
      <c r="E122" s="122"/>
      <c r="F122" s="122"/>
      <c r="G122" s="122"/>
      <c r="H122" s="123"/>
      <c r="I122" s="121"/>
      <c r="J122" s="122"/>
      <c r="K122" s="122"/>
      <c r="L122" s="122"/>
      <c r="M122" s="123"/>
    </row>
    <row r="123" spans="2:13" ht="11.25" thickBot="1" x14ac:dyDescent="0.2">
      <c r="B123" s="59" t="s">
        <v>75</v>
      </c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1"/>
    </row>
    <row r="124" spans="2:13" x14ac:dyDescent="0.15">
      <c r="B124" s="68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70"/>
    </row>
    <row r="125" spans="2:13" x14ac:dyDescent="0.15">
      <c r="B125" s="65"/>
      <c r="C125" s="191" t="s">
        <v>76</v>
      </c>
      <c r="D125" s="246">
        <v>1</v>
      </c>
      <c r="E125" s="191" t="s">
        <v>78</v>
      </c>
      <c r="F125" s="247">
        <v>5.5300000000000002E-2</v>
      </c>
      <c r="G125" s="191" t="s">
        <v>82</v>
      </c>
      <c r="H125" s="192">
        <v>6</v>
      </c>
      <c r="I125" s="191" t="s">
        <v>80</v>
      </c>
      <c r="J125" s="248">
        <f>+((1+F125)*(1+F126))-1</f>
        <v>0.12917099999999992</v>
      </c>
      <c r="K125" s="66"/>
      <c r="L125" s="66"/>
      <c r="M125" s="77"/>
    </row>
    <row r="126" spans="2:13" x14ac:dyDescent="0.15">
      <c r="B126" s="65"/>
      <c r="C126" s="191" t="s">
        <v>77</v>
      </c>
      <c r="D126" s="249">
        <f>1-D125</f>
        <v>0</v>
      </c>
      <c r="E126" s="191" t="s">
        <v>79</v>
      </c>
      <c r="F126" s="247">
        <v>7.0000000000000007E-2</v>
      </c>
      <c r="G126" s="191" t="s">
        <v>88</v>
      </c>
      <c r="H126" s="250">
        <f>+I20+I21+(K51)</f>
        <v>0</v>
      </c>
      <c r="I126" s="191" t="s">
        <v>81</v>
      </c>
      <c r="J126" s="248">
        <f>+(1+J125)^(1/12)-1</f>
        <v>1.0175062051559269E-2</v>
      </c>
      <c r="K126" s="66"/>
      <c r="L126" s="66"/>
      <c r="M126" s="77"/>
    </row>
    <row r="127" spans="2:13" x14ac:dyDescent="0.15">
      <c r="B127" s="65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77"/>
    </row>
    <row r="128" spans="2:13" x14ac:dyDescent="0.15">
      <c r="B128" s="65"/>
      <c r="C128" s="251" t="s">
        <v>91</v>
      </c>
      <c r="D128" s="251"/>
      <c r="E128" s="66"/>
      <c r="F128" s="66"/>
      <c r="G128" s="66"/>
      <c r="H128" s="66"/>
      <c r="I128" s="66"/>
      <c r="J128" s="66"/>
      <c r="K128" s="66"/>
      <c r="L128" s="66"/>
      <c r="M128" s="77"/>
    </row>
    <row r="129" spans="2:48" x14ac:dyDescent="0.15">
      <c r="B129" s="65"/>
      <c r="C129" s="191" t="s">
        <v>86</v>
      </c>
      <c r="D129" s="252" t="s">
        <v>125</v>
      </c>
      <c r="E129" s="66">
        <v>0</v>
      </c>
      <c r="F129" s="66">
        <f>+IF(E129&lt;$H$125,E129+1,"")</f>
        <v>1</v>
      </c>
      <c r="G129" s="66">
        <f t="shared" ref="G129:AP129" si="28">+IF(F129&lt;$H$125,F129+1,"")</f>
        <v>2</v>
      </c>
      <c r="H129" s="66">
        <f t="shared" si="28"/>
        <v>3</v>
      </c>
      <c r="I129" s="66">
        <f t="shared" si="28"/>
        <v>4</v>
      </c>
      <c r="J129" s="66">
        <f t="shared" si="28"/>
        <v>5</v>
      </c>
      <c r="K129" s="66">
        <f t="shared" si="28"/>
        <v>6</v>
      </c>
      <c r="L129" s="66" t="str">
        <f t="shared" si="28"/>
        <v/>
      </c>
      <c r="M129" s="77" t="str">
        <f t="shared" si="28"/>
        <v/>
      </c>
      <c r="N129" s="66" t="str">
        <f t="shared" si="28"/>
        <v/>
      </c>
      <c r="O129" s="66" t="str">
        <f t="shared" si="28"/>
        <v/>
      </c>
      <c r="P129" s="66" t="str">
        <f t="shared" si="28"/>
        <v/>
      </c>
      <c r="Q129" s="66" t="str">
        <f t="shared" si="28"/>
        <v/>
      </c>
      <c r="R129" s="66" t="str">
        <f t="shared" si="28"/>
        <v/>
      </c>
      <c r="S129" s="66" t="str">
        <f t="shared" si="28"/>
        <v/>
      </c>
      <c r="T129" s="66" t="str">
        <f t="shared" si="28"/>
        <v/>
      </c>
      <c r="U129" s="66" t="str">
        <f t="shared" si="28"/>
        <v/>
      </c>
      <c r="V129" s="66" t="str">
        <f t="shared" si="28"/>
        <v/>
      </c>
      <c r="W129" s="66" t="str">
        <f t="shared" si="28"/>
        <v/>
      </c>
      <c r="X129" s="66" t="str">
        <f t="shared" si="28"/>
        <v/>
      </c>
      <c r="Y129" s="66" t="str">
        <f t="shared" si="28"/>
        <v/>
      </c>
      <c r="Z129" s="66" t="str">
        <f t="shared" si="28"/>
        <v/>
      </c>
      <c r="AA129" s="66" t="str">
        <f t="shared" si="28"/>
        <v/>
      </c>
      <c r="AB129" s="66" t="str">
        <f t="shared" si="28"/>
        <v/>
      </c>
      <c r="AC129" s="66" t="str">
        <f t="shared" si="28"/>
        <v/>
      </c>
      <c r="AD129" s="66" t="str">
        <f t="shared" si="28"/>
        <v/>
      </c>
      <c r="AE129" s="66" t="str">
        <f t="shared" si="28"/>
        <v/>
      </c>
      <c r="AF129" s="66" t="str">
        <f t="shared" si="28"/>
        <v/>
      </c>
      <c r="AG129" s="66" t="str">
        <f t="shared" si="28"/>
        <v/>
      </c>
      <c r="AH129" s="66" t="str">
        <f t="shared" si="28"/>
        <v/>
      </c>
      <c r="AI129" s="66" t="str">
        <f t="shared" si="28"/>
        <v/>
      </c>
      <c r="AJ129" s="66" t="str">
        <f t="shared" si="28"/>
        <v/>
      </c>
      <c r="AK129" s="66" t="str">
        <f t="shared" si="28"/>
        <v/>
      </c>
      <c r="AL129" s="66" t="str">
        <f t="shared" si="28"/>
        <v/>
      </c>
      <c r="AM129" s="66" t="str">
        <f t="shared" si="28"/>
        <v/>
      </c>
      <c r="AN129" s="66" t="str">
        <f t="shared" si="28"/>
        <v/>
      </c>
      <c r="AO129" s="66" t="str">
        <f t="shared" si="28"/>
        <v/>
      </c>
      <c r="AP129" s="66" t="str">
        <f t="shared" si="28"/>
        <v/>
      </c>
    </row>
    <row r="130" spans="2:48" x14ac:dyDescent="0.15">
      <c r="B130" s="65"/>
      <c r="C130" s="191" t="s">
        <v>83</v>
      </c>
      <c r="D130" s="105">
        <f>+SUM(F130:AV130)</f>
        <v>0</v>
      </c>
      <c r="E130" s="253"/>
      <c r="F130" s="253">
        <f>+IF(F129="","",IF(F129="","",E133*$J$126))</f>
        <v>0</v>
      </c>
      <c r="G130" s="253">
        <f t="shared" ref="G130:AV130" si="29">+IF(G129="","",IF(G129="","",F133*$J$126))</f>
        <v>0</v>
      </c>
      <c r="H130" s="253">
        <f t="shared" si="29"/>
        <v>0</v>
      </c>
      <c r="I130" s="253">
        <f t="shared" si="29"/>
        <v>0</v>
      </c>
      <c r="J130" s="253">
        <f t="shared" si="29"/>
        <v>0</v>
      </c>
      <c r="K130" s="253">
        <f t="shared" si="29"/>
        <v>0</v>
      </c>
      <c r="L130" s="253" t="str">
        <f t="shared" si="29"/>
        <v/>
      </c>
      <c r="M130" s="254" t="str">
        <f t="shared" si="29"/>
        <v/>
      </c>
      <c r="N130" s="255" t="str">
        <f t="shared" si="29"/>
        <v/>
      </c>
      <c r="O130" s="255" t="str">
        <f t="shared" si="29"/>
        <v/>
      </c>
      <c r="P130" s="255" t="str">
        <f t="shared" si="29"/>
        <v/>
      </c>
      <c r="Q130" s="255" t="str">
        <f t="shared" si="29"/>
        <v/>
      </c>
      <c r="R130" s="255" t="str">
        <f t="shared" si="29"/>
        <v/>
      </c>
      <c r="S130" s="255" t="str">
        <f t="shared" si="29"/>
        <v/>
      </c>
      <c r="T130" s="255" t="str">
        <f t="shared" si="29"/>
        <v/>
      </c>
      <c r="U130" s="255" t="str">
        <f t="shared" si="29"/>
        <v/>
      </c>
      <c r="V130" s="255" t="str">
        <f t="shared" si="29"/>
        <v/>
      </c>
      <c r="W130" s="255" t="str">
        <f t="shared" si="29"/>
        <v/>
      </c>
      <c r="X130" s="255" t="str">
        <f t="shared" si="29"/>
        <v/>
      </c>
      <c r="Y130" s="255" t="str">
        <f t="shared" si="29"/>
        <v/>
      </c>
      <c r="Z130" s="255" t="str">
        <f t="shared" si="29"/>
        <v/>
      </c>
      <c r="AA130" s="255" t="str">
        <f t="shared" si="29"/>
        <v/>
      </c>
      <c r="AB130" s="255" t="str">
        <f t="shared" si="29"/>
        <v/>
      </c>
      <c r="AC130" s="255" t="str">
        <f t="shared" si="29"/>
        <v/>
      </c>
      <c r="AD130" s="255" t="str">
        <f t="shared" si="29"/>
        <v/>
      </c>
      <c r="AE130" s="255" t="str">
        <f t="shared" si="29"/>
        <v/>
      </c>
      <c r="AF130" s="255" t="str">
        <f t="shared" si="29"/>
        <v/>
      </c>
      <c r="AG130" s="255" t="str">
        <f t="shared" si="29"/>
        <v/>
      </c>
      <c r="AH130" s="255" t="str">
        <f t="shared" si="29"/>
        <v/>
      </c>
      <c r="AI130" s="255" t="str">
        <f t="shared" si="29"/>
        <v/>
      </c>
      <c r="AJ130" s="255" t="str">
        <f t="shared" si="29"/>
        <v/>
      </c>
      <c r="AK130" s="255" t="str">
        <f t="shared" si="29"/>
        <v/>
      </c>
      <c r="AL130" s="255" t="str">
        <f t="shared" si="29"/>
        <v/>
      </c>
      <c r="AM130" s="255" t="str">
        <f t="shared" si="29"/>
        <v/>
      </c>
      <c r="AN130" s="255" t="str">
        <f t="shared" si="29"/>
        <v/>
      </c>
      <c r="AO130" s="255" t="str">
        <f t="shared" si="29"/>
        <v/>
      </c>
      <c r="AP130" s="45" t="str">
        <f t="shared" si="29"/>
        <v/>
      </c>
      <c r="AQ130" s="45" t="str">
        <f t="shared" si="29"/>
        <v/>
      </c>
      <c r="AR130" s="45" t="str">
        <f t="shared" si="29"/>
        <v/>
      </c>
      <c r="AS130" s="45" t="str">
        <f t="shared" si="29"/>
        <v/>
      </c>
      <c r="AT130" s="45" t="str">
        <f t="shared" si="29"/>
        <v/>
      </c>
      <c r="AU130" s="45" t="str">
        <f t="shared" si="29"/>
        <v/>
      </c>
      <c r="AV130" s="45" t="str">
        <f t="shared" si="29"/>
        <v/>
      </c>
    </row>
    <row r="131" spans="2:48" x14ac:dyDescent="0.15">
      <c r="B131" s="65"/>
      <c r="C131" s="191" t="s">
        <v>84</v>
      </c>
      <c r="D131" s="105">
        <f>+SUM(F131:AV131)</f>
        <v>0</v>
      </c>
      <c r="E131" s="253"/>
      <c r="F131" s="253">
        <f>+IF(F129="","",IF(F129="","",PMT($J$126,$H$125,-$E$133)))</f>
        <v>0</v>
      </c>
      <c r="G131" s="253">
        <f t="shared" ref="G131:AV131" si="30">+IF(G129="","",IF(G129="","",PMT($J$126,$H$125,-$E$133)))</f>
        <v>0</v>
      </c>
      <c r="H131" s="253">
        <f t="shared" si="30"/>
        <v>0</v>
      </c>
      <c r="I131" s="253">
        <f t="shared" si="30"/>
        <v>0</v>
      </c>
      <c r="J131" s="253">
        <f t="shared" si="30"/>
        <v>0</v>
      </c>
      <c r="K131" s="253">
        <f t="shared" si="30"/>
        <v>0</v>
      </c>
      <c r="L131" s="253" t="str">
        <f t="shared" si="30"/>
        <v/>
      </c>
      <c r="M131" s="254" t="str">
        <f t="shared" si="30"/>
        <v/>
      </c>
      <c r="N131" s="255" t="str">
        <f t="shared" si="30"/>
        <v/>
      </c>
      <c r="O131" s="255" t="str">
        <f t="shared" si="30"/>
        <v/>
      </c>
      <c r="P131" s="255" t="str">
        <f t="shared" si="30"/>
        <v/>
      </c>
      <c r="Q131" s="255" t="str">
        <f t="shared" si="30"/>
        <v/>
      </c>
      <c r="R131" s="255" t="str">
        <f t="shared" si="30"/>
        <v/>
      </c>
      <c r="S131" s="255" t="str">
        <f t="shared" si="30"/>
        <v/>
      </c>
      <c r="T131" s="255" t="str">
        <f t="shared" si="30"/>
        <v/>
      </c>
      <c r="U131" s="255" t="str">
        <f t="shared" si="30"/>
        <v/>
      </c>
      <c r="V131" s="255" t="str">
        <f t="shared" si="30"/>
        <v/>
      </c>
      <c r="W131" s="255" t="str">
        <f t="shared" si="30"/>
        <v/>
      </c>
      <c r="X131" s="255" t="str">
        <f t="shared" si="30"/>
        <v/>
      </c>
      <c r="Y131" s="255" t="str">
        <f t="shared" si="30"/>
        <v/>
      </c>
      <c r="Z131" s="255" t="str">
        <f t="shared" si="30"/>
        <v/>
      </c>
      <c r="AA131" s="255" t="str">
        <f t="shared" si="30"/>
        <v/>
      </c>
      <c r="AB131" s="255" t="str">
        <f t="shared" si="30"/>
        <v/>
      </c>
      <c r="AC131" s="255" t="str">
        <f t="shared" si="30"/>
        <v/>
      </c>
      <c r="AD131" s="255" t="str">
        <f t="shared" si="30"/>
        <v/>
      </c>
      <c r="AE131" s="255" t="str">
        <f t="shared" si="30"/>
        <v/>
      </c>
      <c r="AF131" s="255" t="str">
        <f t="shared" si="30"/>
        <v/>
      </c>
      <c r="AG131" s="255" t="str">
        <f t="shared" si="30"/>
        <v/>
      </c>
      <c r="AH131" s="255" t="str">
        <f t="shared" si="30"/>
        <v/>
      </c>
      <c r="AI131" s="255" t="str">
        <f t="shared" si="30"/>
        <v/>
      </c>
      <c r="AJ131" s="255" t="str">
        <f t="shared" si="30"/>
        <v/>
      </c>
      <c r="AK131" s="255" t="str">
        <f t="shared" si="30"/>
        <v/>
      </c>
      <c r="AL131" s="255" t="str">
        <f t="shared" si="30"/>
        <v/>
      </c>
      <c r="AM131" s="255" t="str">
        <f t="shared" si="30"/>
        <v/>
      </c>
      <c r="AN131" s="255" t="str">
        <f t="shared" si="30"/>
        <v/>
      </c>
      <c r="AO131" s="255" t="str">
        <f t="shared" si="30"/>
        <v/>
      </c>
      <c r="AP131" s="45" t="str">
        <f t="shared" si="30"/>
        <v/>
      </c>
      <c r="AQ131" s="45" t="str">
        <f t="shared" si="30"/>
        <v/>
      </c>
      <c r="AR131" s="45" t="str">
        <f t="shared" si="30"/>
        <v/>
      </c>
      <c r="AS131" s="45" t="str">
        <f t="shared" si="30"/>
        <v/>
      </c>
      <c r="AT131" s="45" t="str">
        <f t="shared" si="30"/>
        <v/>
      </c>
      <c r="AU131" s="45" t="str">
        <f t="shared" si="30"/>
        <v/>
      </c>
      <c r="AV131" s="45" t="str">
        <f t="shared" si="30"/>
        <v/>
      </c>
    </row>
    <row r="132" spans="2:48" x14ac:dyDescent="0.15">
      <c r="B132" s="65"/>
      <c r="C132" s="191" t="s">
        <v>85</v>
      </c>
      <c r="D132" s="105">
        <v>0</v>
      </c>
      <c r="E132" s="253"/>
      <c r="F132" s="253">
        <f>+IF(F129="","",IF(F129="","",F131-F130))</f>
        <v>0</v>
      </c>
      <c r="G132" s="253">
        <f t="shared" ref="G132:AV132" si="31">+IF(G129="","",IF(G129="","",G131-G130))</f>
        <v>0</v>
      </c>
      <c r="H132" s="253">
        <f t="shared" si="31"/>
        <v>0</v>
      </c>
      <c r="I132" s="253">
        <f t="shared" si="31"/>
        <v>0</v>
      </c>
      <c r="J132" s="253">
        <f t="shared" si="31"/>
        <v>0</v>
      </c>
      <c r="K132" s="253">
        <f t="shared" si="31"/>
        <v>0</v>
      </c>
      <c r="L132" s="253" t="str">
        <f t="shared" si="31"/>
        <v/>
      </c>
      <c r="M132" s="254" t="str">
        <f t="shared" si="31"/>
        <v/>
      </c>
      <c r="N132" s="255" t="str">
        <f t="shared" si="31"/>
        <v/>
      </c>
      <c r="O132" s="255" t="str">
        <f t="shared" si="31"/>
        <v/>
      </c>
      <c r="P132" s="255" t="str">
        <f t="shared" si="31"/>
        <v/>
      </c>
      <c r="Q132" s="255" t="str">
        <f t="shared" si="31"/>
        <v/>
      </c>
      <c r="R132" s="255" t="str">
        <f t="shared" si="31"/>
        <v/>
      </c>
      <c r="S132" s="255" t="str">
        <f t="shared" si="31"/>
        <v/>
      </c>
      <c r="T132" s="255" t="str">
        <f t="shared" si="31"/>
        <v/>
      </c>
      <c r="U132" s="255" t="str">
        <f t="shared" si="31"/>
        <v/>
      </c>
      <c r="V132" s="255" t="str">
        <f t="shared" si="31"/>
        <v/>
      </c>
      <c r="W132" s="255" t="str">
        <f t="shared" si="31"/>
        <v/>
      </c>
      <c r="X132" s="255" t="str">
        <f t="shared" si="31"/>
        <v/>
      </c>
      <c r="Y132" s="255" t="str">
        <f t="shared" si="31"/>
        <v/>
      </c>
      <c r="Z132" s="255" t="str">
        <f t="shared" si="31"/>
        <v/>
      </c>
      <c r="AA132" s="255" t="str">
        <f t="shared" si="31"/>
        <v/>
      </c>
      <c r="AB132" s="255" t="str">
        <f t="shared" si="31"/>
        <v/>
      </c>
      <c r="AC132" s="255" t="str">
        <f t="shared" si="31"/>
        <v/>
      </c>
      <c r="AD132" s="255" t="str">
        <f t="shared" si="31"/>
        <v/>
      </c>
      <c r="AE132" s="255" t="str">
        <f t="shared" si="31"/>
        <v/>
      </c>
      <c r="AF132" s="255" t="str">
        <f t="shared" si="31"/>
        <v/>
      </c>
      <c r="AG132" s="255" t="str">
        <f t="shared" si="31"/>
        <v/>
      </c>
      <c r="AH132" s="255" t="str">
        <f t="shared" si="31"/>
        <v/>
      </c>
      <c r="AI132" s="255" t="str">
        <f t="shared" si="31"/>
        <v/>
      </c>
      <c r="AJ132" s="255" t="str">
        <f t="shared" si="31"/>
        <v/>
      </c>
      <c r="AK132" s="255" t="str">
        <f t="shared" si="31"/>
        <v/>
      </c>
      <c r="AL132" s="255" t="str">
        <f t="shared" si="31"/>
        <v/>
      </c>
      <c r="AM132" s="255" t="str">
        <f t="shared" si="31"/>
        <v/>
      </c>
      <c r="AN132" s="255" t="str">
        <f t="shared" si="31"/>
        <v/>
      </c>
      <c r="AO132" s="255" t="str">
        <f t="shared" si="31"/>
        <v/>
      </c>
      <c r="AP132" s="45" t="str">
        <f t="shared" si="31"/>
        <v/>
      </c>
      <c r="AQ132" s="45" t="str">
        <f t="shared" si="31"/>
        <v/>
      </c>
      <c r="AR132" s="45" t="str">
        <f t="shared" si="31"/>
        <v/>
      </c>
      <c r="AS132" s="45" t="str">
        <f t="shared" si="31"/>
        <v/>
      </c>
      <c r="AT132" s="45" t="str">
        <f t="shared" si="31"/>
        <v/>
      </c>
      <c r="AU132" s="45" t="str">
        <f t="shared" si="31"/>
        <v/>
      </c>
      <c r="AV132" s="45" t="str">
        <f t="shared" si="31"/>
        <v/>
      </c>
    </row>
    <row r="133" spans="2:48" x14ac:dyDescent="0.15">
      <c r="B133" s="65"/>
      <c r="C133" s="191" t="s">
        <v>87</v>
      </c>
      <c r="D133" s="105">
        <v>0</v>
      </c>
      <c r="E133" s="253">
        <f>+H126*$D$125</f>
        <v>0</v>
      </c>
      <c r="F133" s="253">
        <f>+IF(F129="","",IF(F129="","",E133-F132))</f>
        <v>0</v>
      </c>
      <c r="G133" s="253">
        <f t="shared" ref="G133:AV133" si="32">+IF(G129="","",IF(G129="","",F133-G132))</f>
        <v>0</v>
      </c>
      <c r="H133" s="253">
        <f t="shared" si="32"/>
        <v>0</v>
      </c>
      <c r="I133" s="253">
        <f>+IF(I129="","",IF(I129="","",H133-I132))</f>
        <v>0</v>
      </c>
      <c r="J133" s="253">
        <f>+IF(J129="","",IF(J129="","",I133-J132))</f>
        <v>0</v>
      </c>
      <c r="K133" s="253">
        <f t="shared" si="32"/>
        <v>0</v>
      </c>
      <c r="L133" s="253" t="str">
        <f t="shared" si="32"/>
        <v/>
      </c>
      <c r="M133" s="254" t="str">
        <f t="shared" si="32"/>
        <v/>
      </c>
      <c r="N133" s="255" t="str">
        <f t="shared" si="32"/>
        <v/>
      </c>
      <c r="O133" s="255" t="str">
        <f t="shared" si="32"/>
        <v/>
      </c>
      <c r="P133" s="255" t="str">
        <f t="shared" si="32"/>
        <v/>
      </c>
      <c r="Q133" s="255" t="str">
        <f t="shared" si="32"/>
        <v/>
      </c>
      <c r="R133" s="255" t="str">
        <f t="shared" si="32"/>
        <v/>
      </c>
      <c r="S133" s="255" t="str">
        <f t="shared" si="32"/>
        <v/>
      </c>
      <c r="T133" s="255" t="str">
        <f t="shared" si="32"/>
        <v/>
      </c>
      <c r="U133" s="255" t="str">
        <f t="shared" si="32"/>
        <v/>
      </c>
      <c r="V133" s="255" t="str">
        <f t="shared" si="32"/>
        <v/>
      </c>
      <c r="W133" s="255" t="str">
        <f t="shared" si="32"/>
        <v/>
      </c>
      <c r="X133" s="255" t="str">
        <f t="shared" si="32"/>
        <v/>
      </c>
      <c r="Y133" s="255" t="str">
        <f t="shared" si="32"/>
        <v/>
      </c>
      <c r="Z133" s="255" t="str">
        <f t="shared" si="32"/>
        <v/>
      </c>
      <c r="AA133" s="255" t="str">
        <f t="shared" si="32"/>
        <v/>
      </c>
      <c r="AB133" s="255" t="str">
        <f t="shared" si="32"/>
        <v/>
      </c>
      <c r="AC133" s="255" t="str">
        <f t="shared" si="32"/>
        <v/>
      </c>
      <c r="AD133" s="255" t="str">
        <f t="shared" si="32"/>
        <v/>
      </c>
      <c r="AE133" s="255" t="str">
        <f t="shared" si="32"/>
        <v/>
      </c>
      <c r="AF133" s="255" t="str">
        <f t="shared" si="32"/>
        <v/>
      </c>
      <c r="AG133" s="255" t="str">
        <f t="shared" si="32"/>
        <v/>
      </c>
      <c r="AH133" s="255" t="str">
        <f t="shared" si="32"/>
        <v/>
      </c>
      <c r="AI133" s="255" t="str">
        <f t="shared" si="32"/>
        <v/>
      </c>
      <c r="AJ133" s="255" t="str">
        <f t="shared" si="32"/>
        <v/>
      </c>
      <c r="AK133" s="255" t="str">
        <f t="shared" si="32"/>
        <v/>
      </c>
      <c r="AL133" s="255" t="str">
        <f t="shared" si="32"/>
        <v/>
      </c>
      <c r="AM133" s="255" t="str">
        <f t="shared" si="32"/>
        <v/>
      </c>
      <c r="AN133" s="255" t="str">
        <f t="shared" si="32"/>
        <v/>
      </c>
      <c r="AO133" s="255" t="str">
        <f t="shared" si="32"/>
        <v/>
      </c>
      <c r="AP133" s="45" t="str">
        <f t="shared" si="32"/>
        <v/>
      </c>
      <c r="AQ133" s="45" t="str">
        <f t="shared" si="32"/>
        <v/>
      </c>
      <c r="AR133" s="45" t="str">
        <f t="shared" si="32"/>
        <v/>
      </c>
      <c r="AS133" s="45" t="str">
        <f t="shared" si="32"/>
        <v/>
      </c>
      <c r="AT133" s="45" t="str">
        <f t="shared" si="32"/>
        <v/>
      </c>
      <c r="AU133" s="45" t="str">
        <f t="shared" si="32"/>
        <v/>
      </c>
      <c r="AV133" s="45" t="str">
        <f t="shared" si="32"/>
        <v/>
      </c>
    </row>
    <row r="134" spans="2:48" x14ac:dyDescent="0.15">
      <c r="B134" s="65"/>
      <c r="C134" s="191" t="s">
        <v>28</v>
      </c>
      <c r="D134" s="105">
        <f>+SUM(D130:D133)</f>
        <v>0</v>
      </c>
      <c r="E134" s="66"/>
      <c r="F134" s="66"/>
      <c r="G134" s="66"/>
      <c r="H134" s="66"/>
      <c r="I134" s="66"/>
      <c r="J134" s="66"/>
      <c r="K134" s="66"/>
      <c r="L134" s="66"/>
      <c r="M134" s="77"/>
    </row>
    <row r="135" spans="2:48" ht="11.25" thickBot="1" x14ac:dyDescent="0.2">
      <c r="B135" s="121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3"/>
    </row>
    <row r="136" spans="2:48" ht="11.25" thickBot="1" x14ac:dyDescent="0.2">
      <c r="B136" s="59" t="s">
        <v>103</v>
      </c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1"/>
    </row>
    <row r="137" spans="2:48" ht="11.25" thickBot="1" x14ac:dyDescent="0.2">
      <c r="B137" s="68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70"/>
    </row>
    <row r="138" spans="2:48" ht="11.25" thickBot="1" x14ac:dyDescent="0.2">
      <c r="B138" s="256" t="s">
        <v>93</v>
      </c>
      <c r="C138" s="257"/>
      <c r="D138" s="66"/>
      <c r="E138" s="258" t="s">
        <v>122</v>
      </c>
      <c r="F138" s="66"/>
      <c r="G138" s="66"/>
      <c r="H138" s="66"/>
      <c r="I138" s="66"/>
      <c r="J138" s="66"/>
      <c r="K138" s="66"/>
      <c r="L138" s="66"/>
      <c r="M138" s="77"/>
    </row>
    <row r="139" spans="2:48" ht="11.25" thickBot="1" x14ac:dyDescent="0.2">
      <c r="B139" s="65"/>
      <c r="C139" s="259">
        <f>+D11</f>
        <v>0</v>
      </c>
      <c r="E139" s="259">
        <f>+G25</f>
        <v>3165000</v>
      </c>
      <c r="F139" s="66"/>
      <c r="G139" s="66"/>
      <c r="H139" s="66"/>
      <c r="I139" s="66"/>
      <c r="J139" s="66"/>
      <c r="K139" s="66"/>
      <c r="L139" s="66"/>
      <c r="M139" s="77"/>
    </row>
    <row r="140" spans="2:48" ht="11.25" thickBot="1" x14ac:dyDescent="0.2">
      <c r="B140" s="65"/>
      <c r="C140" s="260"/>
      <c r="E140" s="66"/>
      <c r="F140" s="66"/>
      <c r="G140" s="66"/>
      <c r="H140" s="66"/>
      <c r="I140" s="66"/>
      <c r="J140" s="66"/>
      <c r="K140" s="66"/>
      <c r="L140" s="66"/>
      <c r="M140" s="77"/>
    </row>
    <row r="141" spans="2:48" ht="11.25" thickBot="1" x14ac:dyDescent="0.2">
      <c r="B141" s="65"/>
      <c r="D141" s="261" t="s">
        <v>105</v>
      </c>
      <c r="E141" s="262">
        <f>+M19</f>
        <v>4142985.0000000005</v>
      </c>
      <c r="F141" s="258" t="s">
        <v>104</v>
      </c>
      <c r="G141" s="261" t="s">
        <v>105</v>
      </c>
      <c r="H141" s="262">
        <f>+M19</f>
        <v>4142985.0000000005</v>
      </c>
      <c r="I141" s="258" t="s">
        <v>104</v>
      </c>
      <c r="J141" s="261" t="s">
        <v>105</v>
      </c>
      <c r="K141" s="262">
        <f>+M19</f>
        <v>4142985.0000000005</v>
      </c>
      <c r="L141" s="258" t="s">
        <v>104</v>
      </c>
      <c r="M141" s="77"/>
    </row>
    <row r="142" spans="2:48" x14ac:dyDescent="0.15">
      <c r="B142" s="65"/>
      <c r="C142" s="66"/>
      <c r="D142" s="263">
        <v>5.0000000000000001E-3</v>
      </c>
      <c r="E142" s="166">
        <f t="dataTable" ref="E142:E155" dt2D="0" dtr="0" r1="M17"/>
        <v>3785181.7499999991</v>
      </c>
      <c r="F142" s="264">
        <f>+E142-$I$25</f>
        <v>620181.74999999907</v>
      </c>
      <c r="G142" s="263">
        <v>0.08</v>
      </c>
      <c r="H142" s="166">
        <f t="dataTable" ref="H142:H155" dt2D="0" dtr="0" r1="M17" ca="1"/>
        <v>4067658</v>
      </c>
      <c r="I142" s="264">
        <f t="shared" ref="I142:I155" si="33">+H142-$I$25</f>
        <v>902658</v>
      </c>
      <c r="J142" s="263">
        <v>0.15</v>
      </c>
      <c r="K142" s="166">
        <f t="dataTable" ref="K142:K155" dt2D="0" dtr="0" r1="M17" ca="1"/>
        <v>4331302.4999999991</v>
      </c>
      <c r="L142" s="264">
        <f t="shared" ref="L142:L155" si="34">+K142-$I$25</f>
        <v>1166302.4999999991</v>
      </c>
      <c r="M142" s="77"/>
    </row>
    <row r="143" spans="2:48" x14ac:dyDescent="0.15">
      <c r="B143" s="65"/>
      <c r="C143" s="66"/>
      <c r="D143" s="265">
        <f>+D142+0.5%</f>
        <v>0.01</v>
      </c>
      <c r="E143" s="105">
        <v>3804013.5</v>
      </c>
      <c r="F143" s="266">
        <f t="shared" ref="F143:F155" si="35">+E143-$I$25</f>
        <v>639013.5</v>
      </c>
      <c r="G143" s="265">
        <f>+G142+0.5%</f>
        <v>8.5000000000000006E-2</v>
      </c>
      <c r="H143" s="105">
        <v>4086489.75</v>
      </c>
      <c r="I143" s="266">
        <f t="shared" si="33"/>
        <v>921489.75</v>
      </c>
      <c r="J143" s="265">
        <f>+J142+0.5%</f>
        <v>0.155</v>
      </c>
      <c r="K143" s="105">
        <v>4350134.25</v>
      </c>
      <c r="L143" s="266">
        <f t="shared" si="34"/>
        <v>1185134.25</v>
      </c>
      <c r="M143" s="77"/>
    </row>
    <row r="144" spans="2:48" x14ac:dyDescent="0.15">
      <c r="B144" s="65"/>
      <c r="C144" s="66"/>
      <c r="D144" s="265">
        <f t="shared" ref="D144:D155" si="36">+D143+0.5%</f>
        <v>1.4999999999999999E-2</v>
      </c>
      <c r="E144" s="105">
        <v>3822845.2499999991</v>
      </c>
      <c r="F144" s="266">
        <f t="shared" si="35"/>
        <v>657845.24999999907</v>
      </c>
      <c r="G144" s="265">
        <f t="shared" ref="G144:G155" si="37">+G143+0.5%</f>
        <v>9.0000000000000011E-2</v>
      </c>
      <c r="H144" s="105">
        <v>4105321.5000000005</v>
      </c>
      <c r="I144" s="266">
        <f t="shared" si="33"/>
        <v>940321.50000000047</v>
      </c>
      <c r="J144" s="265">
        <f t="shared" ref="J144:J155" si="38">+J143+0.5%</f>
        <v>0.16</v>
      </c>
      <c r="K144" s="105">
        <v>4368965.9999999991</v>
      </c>
      <c r="L144" s="266">
        <f t="shared" si="34"/>
        <v>1203965.9999999991</v>
      </c>
      <c r="M144" s="77"/>
    </row>
    <row r="145" spans="2:13" x14ac:dyDescent="0.15">
      <c r="B145" s="65"/>
      <c r="C145" s="66"/>
      <c r="D145" s="265">
        <f t="shared" si="36"/>
        <v>0.02</v>
      </c>
      <c r="E145" s="105">
        <v>3841677</v>
      </c>
      <c r="F145" s="266">
        <f t="shared" si="35"/>
        <v>676677</v>
      </c>
      <c r="G145" s="265">
        <f t="shared" si="37"/>
        <v>9.5000000000000015E-2</v>
      </c>
      <c r="H145" s="105">
        <v>4124153.25</v>
      </c>
      <c r="I145" s="266">
        <f t="shared" si="33"/>
        <v>959153.25</v>
      </c>
      <c r="J145" s="265">
        <f t="shared" si="38"/>
        <v>0.16500000000000001</v>
      </c>
      <c r="K145" s="105">
        <v>4387797.75</v>
      </c>
      <c r="L145" s="266">
        <f t="shared" si="34"/>
        <v>1222797.75</v>
      </c>
      <c r="M145" s="77"/>
    </row>
    <row r="146" spans="2:13" x14ac:dyDescent="0.15">
      <c r="B146" s="65"/>
      <c r="C146" s="66"/>
      <c r="D146" s="265">
        <f t="shared" si="36"/>
        <v>2.5000000000000001E-2</v>
      </c>
      <c r="E146" s="105">
        <v>3860508.7499999991</v>
      </c>
      <c r="F146" s="266">
        <f t="shared" si="35"/>
        <v>695508.74999999907</v>
      </c>
      <c r="G146" s="265">
        <f t="shared" si="37"/>
        <v>0.10000000000000002</v>
      </c>
      <c r="H146" s="105">
        <v>4142985.0000000005</v>
      </c>
      <c r="I146" s="266">
        <f t="shared" si="33"/>
        <v>977985.00000000047</v>
      </c>
      <c r="J146" s="265">
        <f t="shared" si="38"/>
        <v>0.17</v>
      </c>
      <c r="K146" s="105">
        <v>4406629.5</v>
      </c>
      <c r="L146" s="266">
        <f t="shared" si="34"/>
        <v>1241629.5</v>
      </c>
      <c r="M146" s="77"/>
    </row>
    <row r="147" spans="2:13" x14ac:dyDescent="0.15">
      <c r="B147" s="65"/>
      <c r="C147" s="66"/>
      <c r="D147" s="265">
        <f t="shared" si="36"/>
        <v>3.0000000000000002E-2</v>
      </c>
      <c r="E147" s="105">
        <v>3879340.5</v>
      </c>
      <c r="F147" s="266">
        <f t="shared" si="35"/>
        <v>714340.5</v>
      </c>
      <c r="G147" s="265">
        <f t="shared" si="37"/>
        <v>0.10500000000000002</v>
      </c>
      <c r="H147" s="105">
        <v>4161816.75</v>
      </c>
      <c r="I147" s="266">
        <f t="shared" si="33"/>
        <v>996816.75</v>
      </c>
      <c r="J147" s="265">
        <f t="shared" si="38"/>
        <v>0.17500000000000002</v>
      </c>
      <c r="K147" s="105">
        <v>4425461.25</v>
      </c>
      <c r="L147" s="266">
        <f t="shared" si="34"/>
        <v>1260461.25</v>
      </c>
      <c r="M147" s="77"/>
    </row>
    <row r="148" spans="2:13" x14ac:dyDescent="0.15">
      <c r="B148" s="65"/>
      <c r="C148" s="66"/>
      <c r="D148" s="265">
        <f t="shared" si="36"/>
        <v>3.5000000000000003E-2</v>
      </c>
      <c r="E148" s="105">
        <v>3898172.2499999991</v>
      </c>
      <c r="F148" s="266">
        <f t="shared" si="35"/>
        <v>733172.24999999907</v>
      </c>
      <c r="G148" s="265">
        <f t="shared" si="37"/>
        <v>0.11000000000000003</v>
      </c>
      <c r="H148" s="105">
        <v>4180648.5000000005</v>
      </c>
      <c r="I148" s="266">
        <f t="shared" si="33"/>
        <v>1015648.5000000005</v>
      </c>
      <c r="J148" s="265">
        <f t="shared" si="38"/>
        <v>0.18000000000000002</v>
      </c>
      <c r="K148" s="105">
        <v>4444293</v>
      </c>
      <c r="L148" s="266">
        <f t="shared" si="34"/>
        <v>1279293</v>
      </c>
      <c r="M148" s="77"/>
    </row>
    <row r="149" spans="2:13" x14ac:dyDescent="0.15">
      <c r="B149" s="65"/>
      <c r="C149" s="66"/>
      <c r="D149" s="265">
        <f t="shared" si="36"/>
        <v>0.04</v>
      </c>
      <c r="E149" s="105">
        <v>3917004</v>
      </c>
      <c r="F149" s="266">
        <f t="shared" si="35"/>
        <v>752004</v>
      </c>
      <c r="G149" s="265">
        <f t="shared" si="37"/>
        <v>0.11500000000000003</v>
      </c>
      <c r="H149" s="105">
        <v>4199480.25</v>
      </c>
      <c r="I149" s="266">
        <f t="shared" si="33"/>
        <v>1034480.25</v>
      </c>
      <c r="J149" s="265">
        <f t="shared" si="38"/>
        <v>0.18500000000000003</v>
      </c>
      <c r="K149" s="105">
        <v>4463124.75</v>
      </c>
      <c r="L149" s="266">
        <f t="shared" si="34"/>
        <v>1298124.75</v>
      </c>
      <c r="M149" s="77"/>
    </row>
    <row r="150" spans="2:13" x14ac:dyDescent="0.15">
      <c r="B150" s="65"/>
      <c r="C150" s="66"/>
      <c r="D150" s="265">
        <f t="shared" si="36"/>
        <v>4.4999999999999998E-2</v>
      </c>
      <c r="E150" s="105">
        <v>3935835.75</v>
      </c>
      <c r="F150" s="266">
        <f t="shared" si="35"/>
        <v>770835.75</v>
      </c>
      <c r="G150" s="265">
        <f t="shared" si="37"/>
        <v>0.12000000000000004</v>
      </c>
      <c r="H150" s="105">
        <v>4218312</v>
      </c>
      <c r="I150" s="266">
        <f t="shared" si="33"/>
        <v>1053312</v>
      </c>
      <c r="J150" s="265">
        <f t="shared" si="38"/>
        <v>0.19000000000000003</v>
      </c>
      <c r="K150" s="105">
        <v>4481956.5</v>
      </c>
      <c r="L150" s="266">
        <f t="shared" si="34"/>
        <v>1316956.5</v>
      </c>
      <c r="M150" s="77"/>
    </row>
    <row r="151" spans="2:13" x14ac:dyDescent="0.15">
      <c r="B151" s="65"/>
      <c r="C151" s="66"/>
      <c r="D151" s="265">
        <f t="shared" si="36"/>
        <v>4.9999999999999996E-2</v>
      </c>
      <c r="E151" s="105">
        <v>3954667.5</v>
      </c>
      <c r="F151" s="266">
        <f t="shared" si="35"/>
        <v>789667.5</v>
      </c>
      <c r="G151" s="265">
        <f t="shared" si="37"/>
        <v>0.12500000000000003</v>
      </c>
      <c r="H151" s="105">
        <v>4237143.75</v>
      </c>
      <c r="I151" s="266">
        <f t="shared" si="33"/>
        <v>1072143.75</v>
      </c>
      <c r="J151" s="265">
        <f t="shared" si="38"/>
        <v>0.19500000000000003</v>
      </c>
      <c r="K151" s="105">
        <v>4500788.25</v>
      </c>
      <c r="L151" s="266">
        <f t="shared" si="34"/>
        <v>1335788.25</v>
      </c>
      <c r="M151" s="77"/>
    </row>
    <row r="152" spans="2:13" x14ac:dyDescent="0.15">
      <c r="B152" s="65"/>
      <c r="C152" s="66"/>
      <c r="D152" s="265">
        <f t="shared" si="36"/>
        <v>5.4999999999999993E-2</v>
      </c>
      <c r="E152" s="105">
        <v>3973499.25</v>
      </c>
      <c r="F152" s="266">
        <f t="shared" si="35"/>
        <v>808499.25</v>
      </c>
      <c r="G152" s="265">
        <f t="shared" si="37"/>
        <v>0.13000000000000003</v>
      </c>
      <c r="H152" s="105">
        <v>4255975.5</v>
      </c>
      <c r="I152" s="266">
        <f t="shared" si="33"/>
        <v>1090975.5</v>
      </c>
      <c r="J152" s="265">
        <f t="shared" si="38"/>
        <v>0.20000000000000004</v>
      </c>
      <c r="K152" s="105">
        <v>4519620</v>
      </c>
      <c r="L152" s="266">
        <f t="shared" si="34"/>
        <v>1354620</v>
      </c>
      <c r="M152" s="77"/>
    </row>
    <row r="153" spans="2:13" x14ac:dyDescent="0.15">
      <c r="B153" s="65"/>
      <c r="C153" s="66"/>
      <c r="D153" s="265">
        <f t="shared" si="36"/>
        <v>5.9999999999999991E-2</v>
      </c>
      <c r="E153" s="105">
        <v>3992331</v>
      </c>
      <c r="F153" s="266">
        <f t="shared" si="35"/>
        <v>827331</v>
      </c>
      <c r="G153" s="265">
        <f t="shared" si="37"/>
        <v>0.13500000000000004</v>
      </c>
      <c r="H153" s="105">
        <v>4274807.25</v>
      </c>
      <c r="I153" s="266">
        <f t="shared" si="33"/>
        <v>1109807.25</v>
      </c>
      <c r="J153" s="265">
        <f t="shared" si="38"/>
        <v>0.20500000000000004</v>
      </c>
      <c r="K153" s="105">
        <v>4538451.75</v>
      </c>
      <c r="L153" s="266">
        <f t="shared" si="34"/>
        <v>1373451.75</v>
      </c>
      <c r="M153" s="77"/>
    </row>
    <row r="154" spans="2:13" x14ac:dyDescent="0.15">
      <c r="B154" s="65"/>
      <c r="C154" s="66"/>
      <c r="D154" s="265">
        <f t="shared" si="36"/>
        <v>6.4999999999999988E-2</v>
      </c>
      <c r="E154" s="105">
        <v>4011162.75</v>
      </c>
      <c r="F154" s="266">
        <f t="shared" si="35"/>
        <v>846162.75</v>
      </c>
      <c r="G154" s="265">
        <f t="shared" si="37"/>
        <v>0.14000000000000004</v>
      </c>
      <c r="H154" s="105">
        <v>4293639</v>
      </c>
      <c r="I154" s="266">
        <f t="shared" si="33"/>
        <v>1128639</v>
      </c>
      <c r="J154" s="265">
        <f t="shared" si="38"/>
        <v>0.21000000000000005</v>
      </c>
      <c r="K154" s="105">
        <v>4557283.5</v>
      </c>
      <c r="L154" s="266">
        <f t="shared" si="34"/>
        <v>1392283.5</v>
      </c>
      <c r="M154" s="77"/>
    </row>
    <row r="155" spans="2:13" x14ac:dyDescent="0.15">
      <c r="B155" s="65"/>
      <c r="C155" s="66"/>
      <c r="D155" s="265">
        <f t="shared" si="36"/>
        <v>6.9999999999999993E-2</v>
      </c>
      <c r="E155" s="105">
        <v>4029994.5</v>
      </c>
      <c r="F155" s="266">
        <f t="shared" si="35"/>
        <v>864994.5</v>
      </c>
      <c r="G155" s="265">
        <f t="shared" si="37"/>
        <v>0.14500000000000005</v>
      </c>
      <c r="H155" s="105">
        <v>4312470.75</v>
      </c>
      <c r="I155" s="266">
        <f t="shared" si="33"/>
        <v>1147470.75</v>
      </c>
      <c r="J155" s="265">
        <f t="shared" si="38"/>
        <v>0.21500000000000005</v>
      </c>
      <c r="K155" s="105">
        <v>4576115.25</v>
      </c>
      <c r="L155" s="266">
        <f t="shared" si="34"/>
        <v>1411115.25</v>
      </c>
      <c r="M155" s="77"/>
    </row>
    <row r="156" spans="2:13" ht="11.25" thickBot="1" x14ac:dyDescent="0.2">
      <c r="B156" s="121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3"/>
    </row>
  </sheetData>
  <mergeCells count="81">
    <mergeCell ref="B136:M136"/>
    <mergeCell ref="B138:C138"/>
    <mergeCell ref="I48:J48"/>
    <mergeCell ref="I49:J49"/>
    <mergeCell ref="I50:J50"/>
    <mergeCell ref="G77:H77"/>
    <mergeCell ref="I77:J77"/>
    <mergeCell ref="B53:M53"/>
    <mergeCell ref="I51:J51"/>
    <mergeCell ref="C51:D51"/>
    <mergeCell ref="B74:M74"/>
    <mergeCell ref="C89:F89"/>
    <mergeCell ref="C93:G93"/>
    <mergeCell ref="C107:D107"/>
    <mergeCell ref="C121:E121"/>
    <mergeCell ref="C102:G102"/>
    <mergeCell ref="I47:J47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C94:G94"/>
    <mergeCell ref="C95:G95"/>
    <mergeCell ref="C96:G96"/>
    <mergeCell ref="I31:J31"/>
    <mergeCell ref="B11:C11"/>
    <mergeCell ref="D13:E13"/>
    <mergeCell ref="D11:E11"/>
    <mergeCell ref="B13:C13"/>
    <mergeCell ref="B12:C12"/>
    <mergeCell ref="D12:E12"/>
    <mergeCell ref="B25:F25"/>
    <mergeCell ref="B17:F17"/>
    <mergeCell ref="I55:J55"/>
    <mergeCell ref="I32:J32"/>
    <mergeCell ref="I33:J33"/>
    <mergeCell ref="I34:J34"/>
    <mergeCell ref="G6:H6"/>
    <mergeCell ref="I6:M6"/>
    <mergeCell ref="I7:M7"/>
    <mergeCell ref="K9:M9"/>
    <mergeCell ref="C7:F7"/>
    <mergeCell ref="C97:G97"/>
    <mergeCell ref="C100:G100"/>
    <mergeCell ref="G55:H55"/>
    <mergeCell ref="I35:J35"/>
    <mergeCell ref="B14:C14"/>
    <mergeCell ref="D14:E14"/>
    <mergeCell ref="B18:F18"/>
    <mergeCell ref="B19:F19"/>
    <mergeCell ref="B20:F20"/>
    <mergeCell ref="B21:F21"/>
    <mergeCell ref="B22:F22"/>
    <mergeCell ref="B23:F23"/>
    <mergeCell ref="B24:F24"/>
    <mergeCell ref="B27:M27"/>
    <mergeCell ref="I29:J29"/>
    <mergeCell ref="I30:J30"/>
    <mergeCell ref="B1:M1"/>
    <mergeCell ref="B2:M2"/>
    <mergeCell ref="B3:M3"/>
    <mergeCell ref="C128:D128"/>
    <mergeCell ref="B9:J9"/>
    <mergeCell ref="G7:H7"/>
    <mergeCell ref="B72:D72"/>
    <mergeCell ref="B15:C15"/>
    <mergeCell ref="D15:E15"/>
    <mergeCell ref="B123:M123"/>
    <mergeCell ref="B105:H105"/>
    <mergeCell ref="I105:M105"/>
    <mergeCell ref="B91:M91"/>
    <mergeCell ref="C101:G101"/>
    <mergeCell ref="C99:G99"/>
    <mergeCell ref="C98:G98"/>
  </mergeCells>
  <conditionalFormatting sqref="M23">
    <cfRule type="cellIs" dxfId="4" priority="7" operator="notEqual">
      <formula>$M$18</formula>
    </cfRule>
  </conditionalFormatting>
  <conditionalFormatting sqref="M18">
    <cfRule type="cellIs" dxfId="3" priority="6" operator="greaterThan">
      <formula>$D$11</formula>
    </cfRule>
  </conditionalFormatting>
  <conditionalFormatting sqref="M21">
    <cfRule type="cellIs" dxfId="2" priority="5" operator="lessThan">
      <formula>0</formula>
    </cfRule>
  </conditionalFormatting>
  <conditionalFormatting sqref="M24">
    <cfRule type="cellIs" dxfId="1" priority="2" operator="lessThan">
      <formula>0</formula>
    </cfRule>
  </conditionalFormatting>
  <conditionalFormatting sqref="M19">
    <cfRule type="cellIs" dxfId="0" priority="1" operator="lessThan">
      <formula>$G$25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EVALUACIÓN DE SERVICIO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Anderson Carrillo</cp:lastModifiedBy>
  <dcterms:created xsi:type="dcterms:W3CDTF">2017-08-16T15:18:35Z</dcterms:created>
  <dcterms:modified xsi:type="dcterms:W3CDTF">2018-10-18T17:31:04Z</dcterms:modified>
</cp:coreProperties>
</file>