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FD4FE07E-66ED-B24C-9B95-6F1286104E61}" xr6:coauthVersionLast="47" xr6:coauthVersionMax="47" xr10:uidLastSave="{00000000-0000-0000-0000-000000000000}"/>
  <bookViews>
    <workbookView xWindow="0" yWindow="500" windowWidth="28800" windowHeight="1664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7" i="1" l="1"/>
  <c r="H221" i="1"/>
  <c r="K203" i="1"/>
  <c r="L243" i="1"/>
  <c r="O237" i="1"/>
  <c r="O236" i="1"/>
  <c r="O235" i="1"/>
  <c r="R234" i="1"/>
  <c r="O234" i="1"/>
  <c r="R233" i="1"/>
  <c r="O233" i="1"/>
  <c r="R232" i="1"/>
  <c r="O232" i="1"/>
  <c r="R231" i="1"/>
  <c r="O231" i="1"/>
  <c r="R230" i="1"/>
  <c r="O230" i="1"/>
  <c r="R229" i="1"/>
  <c r="R239" i="1" s="1"/>
  <c r="O229" i="1"/>
  <c r="O239" i="1" s="1"/>
  <c r="L234" i="1"/>
  <c r="L232" i="1"/>
  <c r="L231" i="1"/>
  <c r="L230" i="1"/>
  <c r="L229" i="1"/>
  <c r="L239" i="1" s="1"/>
  <c r="H233" i="1"/>
  <c r="H234" i="1"/>
  <c r="H231" i="1"/>
  <c r="H230" i="1"/>
  <c r="H229" i="1"/>
  <c r="H232" i="1"/>
  <c r="T239" i="1" l="1"/>
  <c r="M233" i="1"/>
  <c r="M232" i="1"/>
  <c r="M230" i="1"/>
  <c r="M235" i="1"/>
  <c r="M231" i="1"/>
  <c r="M229" i="1"/>
  <c r="M234" i="1"/>
  <c r="L59" i="3" l="1"/>
  <c r="L58" i="3"/>
  <c r="L57" i="3"/>
  <c r="L56" i="3"/>
  <c r="L55" i="3"/>
  <c r="L54" i="3"/>
  <c r="L53" i="3"/>
  <c r="L52" i="3"/>
  <c r="L51" i="3"/>
  <c r="L61" i="3" s="1"/>
  <c r="L17" i="3"/>
  <c r="L19" i="3"/>
  <c r="E115" i="3"/>
  <c r="L20" i="3"/>
  <c r="L21" i="3"/>
  <c r="L22" i="3"/>
  <c r="L23" i="3"/>
  <c r="L41" i="3" s="1"/>
  <c r="L24" i="3"/>
  <c r="L42" i="3"/>
  <c r="L25" i="3"/>
  <c r="L43" i="3" s="1"/>
  <c r="L26" i="3"/>
  <c r="L44" i="3" s="1"/>
  <c r="L27" i="3"/>
  <c r="L16" i="3"/>
  <c r="L15" i="3"/>
  <c r="L34" i="3"/>
  <c r="L35" i="3"/>
  <c r="L36" i="3"/>
  <c r="L37" i="3"/>
  <c r="L38" i="3"/>
  <c r="L39" i="3"/>
  <c r="L40" i="3"/>
  <c r="L45" i="3"/>
  <c r="L46" i="3"/>
  <c r="L33" i="3"/>
  <c r="Z165" i="1"/>
  <c r="Z161" i="1"/>
  <c r="Z154" i="1"/>
  <c r="Y163" i="1"/>
  <c r="X154" i="1"/>
  <c r="X155" i="1"/>
  <c r="AA163" i="1"/>
  <c r="Z162" i="1"/>
  <c r="AA162" i="1" s="1"/>
  <c r="AA161" i="1"/>
  <c r="AA160" i="1"/>
  <c r="Z160" i="1"/>
  <c r="X160" i="1"/>
  <c r="X159" i="1"/>
  <c r="AA159" i="1" s="1"/>
  <c r="AA158" i="1"/>
  <c r="AA157" i="1"/>
  <c r="X157" i="1"/>
  <c r="AA156" i="1"/>
  <c r="Z156" i="1"/>
  <c r="X156" i="1"/>
  <c r="AA155" i="1"/>
  <c r="AA154" i="1"/>
  <c r="X165" i="1"/>
  <c r="Y165" i="1" l="1"/>
  <c r="AA165" i="1" s="1"/>
  <c r="I152" i="1" l="1"/>
  <c r="N210" i="1" l="1"/>
  <c r="N219" i="1"/>
  <c r="N217" i="1"/>
  <c r="N216" i="1"/>
  <c r="N215" i="1"/>
  <c r="N214" i="1"/>
  <c r="N213" i="1"/>
  <c r="N212" i="1"/>
  <c r="N211" i="1"/>
  <c r="K218" i="1"/>
  <c r="K216" i="1"/>
  <c r="K215" i="1"/>
  <c r="K214" i="1"/>
  <c r="K213" i="1"/>
  <c r="K212" i="1"/>
  <c r="K211" i="1"/>
  <c r="K210" i="1"/>
  <c r="H220" i="1"/>
  <c r="H219" i="1"/>
  <c r="H218" i="1"/>
  <c r="H217" i="1"/>
  <c r="H216" i="1"/>
  <c r="H215" i="1"/>
  <c r="H214" i="1"/>
  <c r="H213" i="1"/>
  <c r="H212" i="1"/>
  <c r="H209" i="1"/>
  <c r="H210" i="1"/>
  <c r="H208" i="1"/>
  <c r="H207" i="1"/>
  <c r="H206" i="1"/>
  <c r="H205" i="1"/>
  <c r="H204" i="1"/>
  <c r="I196" i="1"/>
  <c r="F6" i="3"/>
  <c r="H18" i="6" l="1"/>
  <c r="G18" i="6" s="1"/>
  <c r="H15" i="6"/>
  <c r="G15" i="6" s="1"/>
  <c r="H16" i="6"/>
  <c r="G16" i="6" s="1"/>
  <c r="H17" i="6"/>
  <c r="G17" i="6" s="1"/>
  <c r="H14" i="6"/>
  <c r="G14" i="6" s="1"/>
  <c r="H10" i="6"/>
  <c r="G10" i="6" s="1"/>
  <c r="H11" i="6"/>
  <c r="G11" i="6" s="1"/>
  <c r="H12" i="6"/>
  <c r="G12" i="6" s="1"/>
  <c r="H13" i="6"/>
  <c r="G13" i="6" s="1"/>
  <c r="H9" i="6"/>
  <c r="G9" i="6" s="1"/>
  <c r="H4" i="6"/>
  <c r="G4" i="6" s="1"/>
  <c r="H5" i="6"/>
  <c r="G5" i="6" s="1"/>
  <c r="H6" i="6"/>
  <c r="G6" i="6" s="1"/>
  <c r="H7" i="6"/>
  <c r="G7" i="6" s="1"/>
  <c r="H8" i="6"/>
  <c r="G8" i="6" s="1"/>
  <c r="H3" i="6"/>
  <c r="G3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F2" i="3"/>
  <c r="G2" i="3" s="1"/>
  <c r="H6" i="3"/>
  <c r="G6" i="3"/>
  <c r="I6" i="3" l="1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M38" i="4" l="1"/>
  <c r="L29" i="3"/>
  <c r="M43" i="4"/>
  <c r="M42" i="4"/>
  <c r="M41" i="4"/>
  <c r="M40" i="4"/>
  <c r="I22" i="4"/>
  <c r="B216" i="1"/>
  <c r="I159" i="1" s="1"/>
  <c r="B217" i="1"/>
  <c r="B218" i="1"/>
  <c r="B219" i="1"/>
  <c r="B220" i="1"/>
  <c r="B221" i="1"/>
  <c r="I160" i="1" s="1"/>
  <c r="B222" i="1"/>
  <c r="B223" i="1"/>
  <c r="I176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N27" i="3" l="1"/>
  <c r="Z34" i="3" s="1"/>
  <c r="L47" i="3"/>
  <c r="H21" i="3"/>
  <c r="I163" i="1"/>
  <c r="N17" i="3"/>
  <c r="Z24" i="3" s="1"/>
  <c r="N22" i="3"/>
  <c r="Z29" i="3" s="1"/>
  <c r="N21" i="3"/>
  <c r="Z28" i="3" s="1"/>
  <c r="N19" i="3"/>
  <c r="Z26" i="3" s="1"/>
  <c r="N25" i="3"/>
  <c r="Z32" i="3" s="1"/>
  <c r="I162" i="1"/>
  <c r="N23" i="3"/>
  <c r="Z30" i="3" s="1"/>
  <c r="N16" i="3"/>
  <c r="Z23" i="3" s="1"/>
  <c r="N20" i="3"/>
  <c r="Z27" i="3" s="1"/>
  <c r="N15" i="3"/>
  <c r="Z22" i="3" s="1"/>
  <c r="N24" i="3"/>
  <c r="Z31" i="3" s="1"/>
  <c r="N26" i="3"/>
  <c r="Z33" i="3" s="1"/>
  <c r="N18" i="3"/>
  <c r="Z25" i="3" s="1"/>
  <c r="C134" i="2"/>
  <c r="B134" i="2"/>
  <c r="C133" i="2"/>
  <c r="C132" i="2"/>
  <c r="C131" i="2"/>
  <c r="C130" i="2"/>
  <c r="B133" i="2"/>
  <c r="B132" i="2"/>
  <c r="B131" i="2"/>
  <c r="B130" i="2"/>
  <c r="B129" i="2"/>
  <c r="B128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0" i="4"/>
  <c r="I11" i="4"/>
  <c r="I5" i="4"/>
  <c r="H2" i="6"/>
  <c r="G2" i="6" s="1"/>
  <c r="G126" i="2"/>
  <c r="D136" i="2" s="1"/>
  <c r="C129" i="2"/>
  <c r="C128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K195" i="1" l="1"/>
  <c r="G152" i="1"/>
  <c r="M32" i="4"/>
  <c r="M33" i="4"/>
  <c r="I4" i="4"/>
  <c r="G8" i="7"/>
  <c r="C135" i="2"/>
  <c r="D134" i="2"/>
  <c r="D129" i="2"/>
  <c r="D128" i="2"/>
  <c r="D131" i="2"/>
  <c r="D130" i="2"/>
  <c r="D132" i="2"/>
  <c r="D133" i="2"/>
  <c r="J195" i="1" l="1"/>
  <c r="K196" i="1"/>
  <c r="J154" i="1"/>
  <c r="I184" i="1" s="1"/>
  <c r="K176" i="1"/>
  <c r="K178" i="1"/>
  <c r="K177" i="1"/>
  <c r="J164" i="1"/>
  <c r="I194" i="1" s="1"/>
  <c r="K152" i="1"/>
  <c r="M45" i="4"/>
  <c r="O33" i="4" s="1"/>
  <c r="AB41" i="3" s="1"/>
  <c r="AA23" i="3" s="1"/>
  <c r="J163" i="1"/>
  <c r="I193" i="1" s="1"/>
  <c r="J160" i="1"/>
  <c r="I190" i="1" s="1"/>
  <c r="J165" i="1"/>
  <c r="J157" i="1"/>
  <c r="I187" i="1" s="1"/>
  <c r="J161" i="1"/>
  <c r="I191" i="1" s="1"/>
  <c r="J156" i="1"/>
  <c r="J158" i="1"/>
  <c r="I188" i="1" s="1"/>
  <c r="J159" i="1"/>
  <c r="I189" i="1" s="1"/>
  <c r="J162" i="1"/>
  <c r="I192" i="1" s="1"/>
  <c r="J155" i="1"/>
  <c r="I185" i="1" s="1"/>
  <c r="J153" i="1"/>
  <c r="I183" i="1" s="1"/>
  <c r="J196" i="1"/>
  <c r="D135" i="2"/>
  <c r="I186" i="1" l="1"/>
  <c r="I195" i="1"/>
  <c r="O36" i="4"/>
  <c r="AB44" i="3" s="1"/>
  <c r="AA26" i="3" s="1"/>
  <c r="O35" i="4"/>
  <c r="AB43" i="3" s="1"/>
  <c r="AA25" i="3" s="1"/>
  <c r="O39" i="4"/>
  <c r="AB47" i="3" s="1"/>
  <c r="AA29" i="3" s="1"/>
  <c r="O37" i="4"/>
  <c r="AB45" i="3" s="1"/>
  <c r="AA27" i="3" s="1"/>
  <c r="O38" i="4"/>
  <c r="AB46" i="3" s="1"/>
  <c r="AA28" i="3" s="1"/>
  <c r="O34" i="4"/>
  <c r="AB42" i="3" s="1"/>
  <c r="AA24" i="3" s="1"/>
  <c r="O41" i="4"/>
  <c r="AB49" i="3" s="1"/>
  <c r="AA31" i="3" s="1"/>
  <c r="O42" i="4"/>
  <c r="AB50" i="3" s="1"/>
  <c r="AA32" i="3" s="1"/>
  <c r="O40" i="4"/>
  <c r="AB48" i="3" s="1"/>
  <c r="AA30" i="3" s="1"/>
  <c r="O43" i="4"/>
  <c r="AB51" i="3" s="1"/>
  <c r="AA34" i="3" s="1"/>
  <c r="O32" i="4"/>
  <c r="AB40" i="3" s="1"/>
  <c r="AA22" i="3" s="1"/>
  <c r="I1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tc={A2568E59-C203-9B48-94B2-020D0385B367}</author>
  </authors>
  <commentList>
    <comment ref="G219" authorId="0" shapeId="0" xr:uid="{A2568E59-C203-9B48-94B2-020D0385B3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Bioethanol I biodiesel
</t>
      </text>
    </comment>
  </commentList>
</comments>
</file>

<file path=xl/sharedStrings.xml><?xml version="1.0" encoding="utf-8"?>
<sst xmlns="http://schemas.openxmlformats.org/spreadsheetml/2006/main" count="1275" uniqueCount="458">
  <si>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</si>
  <si>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</si>
  <si>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</si>
  <si>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</si>
  <si>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</si>
  <si>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</si>
  <si>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</si>
  <si>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</si>
  <si>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</si>
  <si>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</si>
  <si>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</si>
  <si>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</si>
  <si>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</si>
  <si>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</si>
  <si>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</si>
  <si>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</si>
  <si>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</si>
  <si>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</si>
  <si>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</si>
  <si>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</si>
  <si>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</si>
  <si>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</si>
  <si>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</si>
  <si>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</si>
  <si>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</si>
  <si>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</si>
  <si>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</si>
  <si>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</si>
  <si>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</si>
  <si>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</si>
  <si>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</si>
  <si>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</si>
  <si>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</si>
  <si>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</si>
  <si>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</si>
  <si>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</si>
  <si>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</si>
  <si>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</si>
  <si>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</si>
  <si>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</si>
  <si>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</si>
  <si>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</si>
  <si>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</si>
  <si>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</si>
  <si>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</si>
  <si>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</si>
  <si>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</si>
  <si>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</si>
  <si>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</si>
  <si>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</si>
  <si>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</si>
  <si>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</si>
  <si>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</si>
  <si>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</si>
  <si>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</si>
  <si>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</si>
  <si>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</si>
  <si>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</si>
  <si>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</si>
  <si>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</si>
  <si>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</si>
  <si>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</si>
  <si>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</si>
  <si>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</si>
  <si>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</si>
  <si>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</si>
  <si>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</si>
  <si>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</si>
  <si>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</si>
  <si>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</si>
  <si>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</si>
  <si>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</si>
  <si>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</si>
  <si>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</si>
  <si>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</si>
  <si>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</si>
  <si>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</si>
  <si>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</si>
  <si>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</si>
  <si>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</si>
  <si>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</si>
  <si>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</si>
  <si>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</si>
  <si>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</si>
  <si>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</si>
  <si>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</si>
  <si>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</si>
  <si>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</si>
  <si>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</si>
  <si>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</si>
  <si>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</si>
  <si>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</si>
  <si>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</si>
  <si>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</si>
  <si>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</si>
  <si>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</si>
  <si>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</si>
  <si>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</si>
  <si>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</si>
  <si>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</si>
  <si>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</si>
  <si>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</si>
  <si>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</si>
  <si>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</si>
  <si>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</si>
  <si>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</si>
  <si>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</si>
  <si>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</si>
  <si>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</si>
  <si>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</si>
  <si>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</si>
  <si>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</si>
  <si>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</si>
  <si>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</si>
  <si>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</si>
  <si>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</si>
  <si>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</si>
  <si>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</si>
  <si>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</si>
  <si>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</si>
  <si>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</si>
  <si>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</si>
  <si>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</si>
  <si>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</si>
  <si>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</si>
  <si>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</si>
  <si>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</si>
  <si>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</si>
  <si>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</si>
  <si>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</si>
  <si>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</si>
  <si>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</si>
  <si>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</si>
  <si>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</si>
  <si>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</si>
  <si>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</si>
  <si>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</si>
  <si>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</si>
  <si>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</si>
  <si>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</si>
  <si>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</si>
  <si>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</si>
  <si>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</si>
  <si>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</si>
  <si>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</si>
  <si>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</si>
  <si>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</si>
  <si>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</si>
  <si>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</si>
  <si>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</si>
  <si>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</si>
  <si>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</si>
  <si>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</si>
  <si>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</si>
  <si>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</si>
  <si>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</si>
  <si>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</si>
  <si>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</si>
  <si>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</si>
  <si>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</si>
  <si>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</si>
  <si>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</si>
  <si>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</si>
  <si>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</si>
  <si>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</si>
  <si>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</si>
  <si>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</si>
  <si>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</si>
  <si>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</si>
  <si>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</si>
  <si>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</si>
  <si>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</si>
  <si>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</si>
  <si>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</si>
  <si>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</si>
  <si>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</si>
  <si>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</si>
  <si>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</si>
  <si>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</si>
  <si>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</si>
  <si>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</si>
  <si>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</si>
  <si>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</si>
  <si>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</si>
  <si>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</si>
  <si>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</si>
  <si>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</si>
  <si>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</si>
  <si>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</si>
  <si>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</si>
  <si>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</si>
  <si>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</si>
  <si>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</si>
  <si>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</si>
  <si>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</si>
  <si>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</si>
  <si>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</si>
  <si>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</si>
  <si>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</si>
  <si>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</si>
  <si>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</si>
  <si>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</si>
  <si>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</si>
  <si>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</si>
  <si>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</si>
  <si>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</si>
  <si>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</si>
  <si>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</si>
  <si>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</si>
  <si>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</si>
  <si>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</si>
  <si>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</si>
  <si>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</si>
  <si>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</si>
  <si>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</si>
  <si>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</si>
  <si>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</si>
  <si>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</si>
  <si>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</si>
  <si>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</si>
  <si>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</si>
  <si>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</si>
  <si>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</si>
  <si>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</si>
  <si>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</si>
  <si>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</si>
  <si>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</si>
  <si>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</si>
  <si>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</si>
  <si>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</si>
  <si>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</si>
  <si>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</si>
  <si>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</si>
  <si>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</si>
  <si>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</si>
  <si>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</si>
  <si>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</si>
  <si>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</si>
  <si>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</si>
  <si>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</si>
  <si>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</si>
  <si>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</si>
  <si>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</si>
  <si>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</si>
  <si>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</si>
  <si>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</si>
  <si>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</si>
  <si>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</si>
  <si>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</si>
  <si>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</si>
  <si>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</si>
  <si>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</si>
  <si>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</si>
  <si>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</si>
  <si>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</si>
  <si>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</si>
  <si>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</si>
  <si>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</si>
  <si>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</si>
  <si>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</si>
  <si>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</si>
  <si>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</si>
  <si>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</si>
  <si>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</si>
  <si>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</si>
  <si>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</si>
  <si>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</si>
  <si>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</si>
  <si>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</si>
  <si>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</si>
  <si>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</si>
  <si>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</si>
  <si>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</si>
  <si>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</si>
  <si>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</si>
  <si>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</si>
  <si>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</si>
  <si>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</si>
  <si>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</si>
  <si>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</si>
  <si>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</si>
  <si>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</si>
  <si>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</si>
  <si>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</si>
  <si>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</si>
  <si>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</si>
  <si>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</si>
  <si>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</si>
  <si>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</si>
  <si>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</si>
  <si>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</si>
  <si>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</si>
  <si>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</si>
  <si>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</si>
  <si>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</si>
  <si>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</si>
  <si>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</si>
  <si>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</si>
  <si>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</si>
  <si>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</si>
  <si>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</si>
  <si>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</si>
  <si>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</si>
  <si>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</si>
  <si>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</si>
  <si>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</si>
  <si>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</si>
  <si>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</si>
  <si>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</si>
  <si>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</si>
  <si>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</si>
  <si>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</si>
  <si>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</si>
  <si>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</si>
  <si>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</si>
  <si>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</si>
  <si>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</si>
  <si>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</si>
  <si>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</si>
  <si>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</si>
  <si>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</si>
  <si>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</si>
  <si>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</si>
  <si>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</si>
  <si>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</si>
  <si>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</si>
  <si>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</si>
  <si>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</si>
  <si>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</si>
  <si>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</si>
  <si>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</si>
  <si>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</si>
  <si>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</si>
  <si>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</si>
  <si>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</si>
  <si>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</si>
  <si>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</si>
  <si>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</si>
  <si>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</si>
  <si>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</si>
  <si>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</si>
  <si>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</si>
  <si>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</si>
  <si>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</si>
  <si>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</si>
  <si>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</si>
  <si>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</si>
  <si>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</si>
  <si>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</si>
  <si>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</si>
  <si>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</si>
  <si>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</si>
  <si>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</si>
  <si>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</si>
  <si>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</si>
  <si>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</si>
  <si>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</si>
  <si>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</si>
  <si>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</si>
  <si>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</si>
  <si>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</si>
  <si>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</si>
  <si>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</si>
  <si>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</si>
  <si>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</si>
  <si>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</si>
  <si>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</si>
  <si>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</si>
  <si>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</si>
  <si>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</si>
  <si>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</si>
  <si>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</si>
  <si>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</si>
  <si>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</si>
  <si>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</si>
  <si>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</si>
  <si>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</si>
  <si>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</si>
  <si>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</si>
  <si>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</si>
  <si>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</si>
  <si>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</si>
  <si>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</si>
  <si>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</si>
  <si>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</si>
  <si>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</si>
  <si>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</si>
  <si>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</si>
  <si>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</si>
  <si>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</si>
  <si>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</si>
  <si>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</si>
  <si>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</si>
  <si>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</si>
  <si>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</si>
  <si>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</si>
  <si>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</si>
  <si>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</si>
  <si>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</si>
  <si>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</si>
  <si>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</si>
  <si>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</si>
  <si>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</si>
  <si>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</si>
  <si>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B €</t>
  </si>
  <si>
    <t>TPES</t>
  </si>
  <si>
    <t>Elec.Import</t>
  </si>
  <si>
    <t>Gasoline</t>
  </si>
  <si>
    <t>Diesel</t>
  </si>
  <si>
    <t>Kerosene</t>
  </si>
  <si>
    <t>Coal</t>
  </si>
  <si>
    <t>Uranium</t>
  </si>
  <si>
    <t>Wood</t>
  </si>
  <si>
    <t>Wet biomass</t>
  </si>
  <si>
    <t>BIOFUELS</t>
  </si>
  <si>
    <t>Waste</t>
  </si>
  <si>
    <t>Elec-import</t>
  </si>
  <si>
    <t>Total RES</t>
  </si>
  <si>
    <t>Total Coal</t>
  </si>
  <si>
    <t>Total NG</t>
  </si>
  <si>
    <t>Total Oil</t>
  </si>
  <si>
    <t>Total waste</t>
  </si>
  <si>
    <t>RES</t>
  </si>
  <si>
    <t>Hydro</t>
  </si>
  <si>
    <t>Biomass &amp; Waste</t>
  </si>
  <si>
    <t>Elec.imports</t>
  </si>
  <si>
    <t>Petroleum products</t>
  </si>
  <si>
    <t>DEMAND</t>
  </si>
  <si>
    <t>HEAT HIGH T</t>
  </si>
  <si>
    <t>HEAT LOW DHN</t>
  </si>
  <si>
    <t>HEAT LOW DEC</t>
  </si>
  <si>
    <t>Boiler fossil</t>
  </si>
  <si>
    <t>CHP fossil</t>
  </si>
  <si>
    <t>Bioler wood</t>
  </si>
  <si>
    <t>Boiler waste</t>
  </si>
  <si>
    <t>CHP wood</t>
  </si>
  <si>
    <t>CHP waste</t>
  </si>
  <si>
    <t>Direct elec.</t>
  </si>
  <si>
    <t>HPs</t>
  </si>
  <si>
    <t>Solar</t>
  </si>
  <si>
    <t>Geo</t>
  </si>
  <si>
    <t>RES Power (Tech)</t>
  </si>
  <si>
    <t>Fossil Power (Tech)</t>
  </si>
  <si>
    <t>Heating systems (Tech)</t>
  </si>
  <si>
    <t>Public vehicles</t>
  </si>
  <si>
    <t>Private vehicles</t>
  </si>
  <si>
    <t>Freight mobility</t>
  </si>
  <si>
    <t>Storage + Infraestructure</t>
  </si>
  <si>
    <t>Fossil Resources</t>
  </si>
  <si>
    <t>RES Resources</t>
  </si>
  <si>
    <t>Transport</t>
  </si>
  <si>
    <t>Kersoene</t>
  </si>
  <si>
    <t>Hidrogen</t>
  </si>
  <si>
    <t>Private cars</t>
  </si>
  <si>
    <t>Elec. Of LT heat</t>
  </si>
  <si>
    <t>Public mobility</t>
  </si>
  <si>
    <t>Freight</t>
  </si>
  <si>
    <t>RES over TPES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</si>
</sst>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54754.448327999999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11720.617200000001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32315.175906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83597.709226999999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8234.066084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19822.911039999999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2.6017199999999998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35853.935400000002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5607.9998999999998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0.00</c:formatCode>
                <c:ptCount val="1"/>
                <c:pt idx="0">
                  <c:v>40343.976349999997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1.8013482028663118E-2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1.331574720602731E-3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2.5925087302518658E-4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1.3275720511712055E-3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0.22111566873075181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2.4393936389367232E-3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5.2658884171904237E-2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0.70285417378494508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0.52264601612676942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0.47735398387323058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0.11057243938100038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0.2860452520135186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2.8174402503041759E-2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6.782781055257682E-2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8.9022732793765371E-6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1.9188824185737242E-2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0.13804448697185093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0.18735262144940953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4.0104291513829722E-2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0.12268096915575565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ASSETS!$A$128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7.3621999999999996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ASSETS!$A$129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2.165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ASSETS!$A$130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ASSETS!$C$130</c:f>
              <c:numCache>
                <c:formatCode>General</c:formatCode>
                <c:ptCount val="1"/>
                <c:pt idx="0">
                  <c:v>18.920999999999999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ASSETS!$A$131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ASSETS!$C$131</c:f>
              <c:numCache>
                <c:formatCode>General</c:formatCode>
                <c:ptCount val="1"/>
                <c:pt idx="0">
                  <c:v>38.033000000000001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ASSETS!$A$132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ASSETS!$A$133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ASSETS!$C$133</c:f>
              <c:numCache>
                <c:formatCode>General</c:formatCode>
                <c:ptCount val="1"/>
                <c:pt idx="0">
                  <c:v>1.16716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ser>
          <c:idx val="6"/>
          <c:order val="6"/>
          <c:tx>
            <c:strRef>
              <c:f>ASSETS!$A$134</c:f>
              <c:strCache>
                <c:ptCount val="1"/>
                <c:pt idx="0">
                  <c:v>ST_POWER_BLOCK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ASSETS!$C$134</c:f>
              <c:numCache>
                <c:formatCode>General</c:formatCode>
                <c:ptCount val="1"/>
                <c:pt idx="0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C-8749-B47F-15B2A37E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74.469331451000002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154.003813632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39.642231591000005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220.74537361599999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81.89846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11.134903645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33.990418286000001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147.98484749600001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38.204550000000005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83.597709226999996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9378.0841940000009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1326.4616870000002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1150.8904590000002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216.77145100000001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3842.6367130000003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12077.963247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64861.708355999996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6001.351314999999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13429.691879999998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5522.3271770000001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1779.44784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32052.432374999997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6.1844491049134989E-2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8.7474527026721212E-3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7.5896348569463876E-3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1.4295158567305889E-3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2.5340560703672223E-2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7.9649049258777943E-2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0.4277354797497615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3.9576368691666274E-2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8.8563126762785882E-2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3.6417407500657313E-2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1.1734704416888347E-2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0.21137220845030641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6.1844491049134989E-2</c:v>
                </c:pt>
                <c:pt idx="1">
                  <c:v>1.8013482028663118E-2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8.7474527026721212E-3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7.5896348569463876E-3</c:v>
                </c:pt>
                <c:pt idx="1">
                  <c:v>1.331574720602731E-3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1.4295158567305889E-3</c:v>
                </c:pt>
                <c:pt idx="1">
                  <c:v>2.5925087302518658E-4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2.5340560703672223E-2</c:v>
                </c:pt>
                <c:pt idx="1">
                  <c:v>1.3275720511712055E-3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7.9649049258777943E-2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0.4277354797497615</c:v>
                </c:pt>
                <c:pt idx="1">
                  <c:v>0.22111566873075181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3.9576368691666274E-2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8.8563126762785882E-2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3.6417407500657313E-2</c:v>
                </c:pt>
                <c:pt idx="1">
                  <c:v>2.4393936389367232E-3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1.1734704416888347E-2</c:v>
                </c:pt>
                <c:pt idx="1">
                  <c:v>5.2658884171904237E-2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0.21137220845030641</c:v>
                </c:pt>
                <c:pt idx="1">
                  <c:v>0.70285417378494508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18617.332900000001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41581.029699999999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11099.8248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44149.074699999997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11556.742200000001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75362373052539"/>
          <c:y val="2.2417497812773402E-2"/>
          <c:w val="0.18699459479679054"/>
          <c:h val="0.94202694663167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3397.9302119999998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General</c:formatCode>
                <c:ptCount val="1"/>
                <c:pt idx="0">
                  <c:v>251.17842100000001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48.903170000000003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250.42338699999999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General</c:formatCode>
                <c:ptCount val="1"/>
                <c:pt idx="0">
                  <c:v>41709.626708000003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0.00</c:formatCode>
                <c:ptCount val="1"/>
                <c:pt idx="0">
                  <c:v>132581.22044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131</xdr:row>
      <xdr:rowOff>17929</xdr:rowOff>
    </xdr:from>
    <xdr:to>
      <xdr:col>13</xdr:col>
      <xdr:colOff>466165</xdr:colOff>
      <xdr:row>146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p Rosello" id="{EF46B3FB-9D2D-F741-9149-92CFEBC9A224}" userId="4072a4d05600ae7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9" dT="2021-08-10T15:55:43.76" personId="{EF46B3FB-9D2D-F741-9149-92CFEBC9A224}" id="{A2568E59-C203-9B48-94B2-020D0385B367}">
    <text xml:space="preserve">Bioethanol I biodiesel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50" t="s">
        <v>323</v>
      </c>
      <c r="B6" s="51"/>
      <c r="C6" s="51"/>
      <c r="D6" s="51"/>
      <c r="E6" s="52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53">
        <f>F8+F9</f>
        <v>83215.51999999999</v>
      </c>
      <c r="H8" s="49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4"/>
      <c r="H9" s="49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53">
        <f>F11+F12</f>
        <v>151927.12</v>
      </c>
      <c r="H11" s="49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4"/>
      <c r="H12" s="49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topLeftCell="I128" zoomScale="68" zoomScaleNormal="50" workbookViewId="0">
      <selection activeCell="Z167" sqref="Z167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9.6640625" style="1" bestFit="1" customWidth="1"/>
    <col min="13" max="13" width="15.6640625" style="1" customWidth="1"/>
    <col min="14" max="14" width="16.1640625" style="1" customWidth="1"/>
    <col min="15" max="15" width="12.6640625" style="1" bestFit="1" customWidth="1"/>
    <col min="16" max="16" width="10.83203125" style="1" bestFit="1" customWidth="1"/>
    <col min="17" max="17" width="14" style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bestFit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74469.331451000005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154003.813632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39642.231591000003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220745.373616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81898.460000000006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11134.903645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33990.418286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147984.847496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38204.550000000003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-53409.402741999998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83597.709226999999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83369.171199999997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28059.578842999999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13507.085105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21667.506380999999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54754.448327999999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-147984.847496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35853.935400000002</v>
      </c>
      <c r="C30" s="16">
        <v>0</v>
      </c>
      <c r="D30" s="16">
        <v>0</v>
      </c>
      <c r="E30" s="16">
        <v>0</v>
      </c>
      <c r="F30" s="16">
        <v>-56910.951659999999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11382.190332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11720.617200000001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-23919.435581999998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8610.9968090000002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32315.175906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-32315.175906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5409.2110000000002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-26288.765459999999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196.3075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-765.59924999999998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2.4813999999999998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-2.4813999999999998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83597.709226999999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-83597.709226999999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19822.911039999999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-19822.911039999999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8234.066084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-8234.066084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2.6017199999999998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-2.6017199999999998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37179.343507999998</v>
      </c>
      <c r="C46" s="16">
        <v>0</v>
      </c>
      <c r="D46" s="16">
        <v>0</v>
      </c>
      <c r="E46" s="16">
        <v>0</v>
      </c>
      <c r="F46" s="16">
        <v>-84499.921434000004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16899.984286999999</v>
      </c>
      <c r="T46" s="16">
        <v>0</v>
      </c>
      <c r="U46" s="16">
        <v>0</v>
      </c>
      <c r="V46" s="16">
        <v>0</v>
      </c>
      <c r="W46" s="16">
        <v>0</v>
      </c>
      <c r="X46" s="16">
        <v>38870.197080999998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3164.632842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-15824.588436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7121.1360080000004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-10765.059087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2153.0118170000001</v>
      </c>
      <c r="T49" s="16">
        <v>0</v>
      </c>
      <c r="U49" s="16">
        <v>0</v>
      </c>
      <c r="V49" s="16">
        <v>0</v>
      </c>
      <c r="W49" s="16">
        <v>0</v>
      </c>
      <c r="X49" s="16">
        <v>9981.5105120000007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-10614.653356999999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4139.7148090000001</v>
      </c>
      <c r="T50" s="16">
        <v>0</v>
      </c>
      <c r="U50" s="16">
        <v>0</v>
      </c>
      <c r="V50" s="16">
        <v>0</v>
      </c>
      <c r="W50" s="16">
        <v>0</v>
      </c>
      <c r="X50" s="16">
        <v>9175.8760000000002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-10070.982704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3625.5537730000001</v>
      </c>
      <c r="T52" s="16">
        <v>0</v>
      </c>
      <c r="U52" s="16">
        <v>0</v>
      </c>
      <c r="V52" s="16">
        <v>0</v>
      </c>
      <c r="W52" s="16">
        <v>0</v>
      </c>
      <c r="X52" s="16">
        <v>8258.2883999999995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-22379.961564000001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18351.752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-13507.085105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13507.085105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-22461.123314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67390.108951999995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-63966.574436000003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57570.492698000002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-49394.220562000002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41984.037877000002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-39642.231591000003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33695.054475999998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-23994.002504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23994.002504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-11834.338797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73368.498431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-4057.2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28000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-11266.853397999999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68160.032655000003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-7992.6158290000003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30104.014423000001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-3478.4336669999998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11360.005443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-128.08406099999999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568.000272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-5208.5624950000001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56800.027213000001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-243.104116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2272.0010889999999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-139.72806700000001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1136.000544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-21667.506380999999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56800.027213000001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-71652.523079000006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166750.11189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-40448.110028000003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104571.12209999999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-17393.345684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41134.579707999997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-5455.4751669999996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11304.341415999999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-1823.280874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17040.008163999999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-1926.0557630000001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28199.937959999999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-4959.0859899999996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46346.598037000003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-300.03323999999998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2439.2946339999999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-100360.89766800001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195787.939266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-451.029808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1025.0677450000001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-4838.3197559999999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8200.5419590000001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-26291.391335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26291.391335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-766.12005399999998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766.12005399999998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-790.87710200000004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579.56698100000006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158.17542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346.92158799999999</v>
      </c>
      <c r="C112" s="16">
        <v>0</v>
      </c>
      <c r="D112" s="16">
        <v>0</v>
      </c>
      <c r="E112" s="16">
        <v>0</v>
      </c>
      <c r="F112" s="16">
        <v>0</v>
      </c>
      <c r="G112" s="16">
        <v>14576.537312</v>
      </c>
      <c r="H112" s="16">
        <v>-21889.586081000001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4268.4692859999996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10400</v>
      </c>
      <c r="G117" s="16">
        <v>0</v>
      </c>
      <c r="H117" s="16">
        <v>0</v>
      </c>
      <c r="I117" s="16">
        <v>-11134.903645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2171.3062070000001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14576.537312</v>
      </c>
      <c r="D119" s="16">
        <v>0</v>
      </c>
      <c r="E119" s="16">
        <v>0</v>
      </c>
      <c r="F119" s="16">
        <v>0</v>
      </c>
      <c r="G119" s="16">
        <v>-14576.537312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-238.591138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-199.04473400000001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-918.22674199999994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-894.16127500000005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-961.879503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-593.41386599999998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-479.04681699999998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-0.45311200000000001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-2.6258750000000002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-0.52080400000000004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-1368.4917780000001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233585.31223000001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91758.76</v>
      </c>
      <c r="Y147" s="6">
        <v>12612.92383</v>
      </c>
      <c r="Z147" s="6">
        <v>221681.12957799999</v>
      </c>
      <c r="AA147" s="6">
        <v>72000.006653000004</v>
      </c>
      <c r="AB147" s="6">
        <v>28000</v>
      </c>
      <c r="AC147" s="6">
        <v>227200.108852</v>
      </c>
      <c r="AD147" s="6">
        <v>340800.16327700001</v>
      </c>
      <c r="AE147" s="6">
        <v>28199.937959999999</v>
      </c>
      <c r="AF147" s="6">
        <v>48785.892671000001</v>
      </c>
      <c r="AG147" s="6">
        <v>205013.548969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233585.31223000001</v>
      </c>
      <c r="F152" s="4" t="s">
        <v>345</v>
      </c>
      <c r="G152" s="12">
        <f>SUM(G153:G166)</f>
        <v>-59015.050513000002</v>
      </c>
      <c r="H152" s="4" t="s">
        <v>389</v>
      </c>
      <c r="I152" s="12">
        <f>SUM(I153:I164)</f>
        <v>292253.44115500001</v>
      </c>
      <c r="J152" s="4" t="s">
        <v>336</v>
      </c>
      <c r="K152" s="12">
        <f>I152+G152</f>
        <v>233238.39064200001</v>
      </c>
      <c r="L152" s="20"/>
      <c r="M152" s="33"/>
      <c r="X152" s="55" t="s">
        <v>427</v>
      </c>
      <c r="Y152" s="55"/>
      <c r="Z152" s="55"/>
      <c r="AA152" s="15"/>
    </row>
    <row r="153" spans="1:34" ht="16" x14ac:dyDescent="0.2">
      <c r="A153" s="10" t="s">
        <v>22</v>
      </c>
      <c r="B153" s="16">
        <f>X147</f>
        <v>91758.76</v>
      </c>
      <c r="F153" s="16" t="s">
        <v>48</v>
      </c>
      <c r="G153" s="12">
        <f>B194</f>
        <v>0</v>
      </c>
      <c r="H153" s="16" t="s">
        <v>388</v>
      </c>
      <c r="I153" s="12">
        <f>B179</f>
        <v>0</v>
      </c>
      <c r="J153" s="44">
        <f>I153/$I$152</f>
        <v>0</v>
      </c>
      <c r="X153" s="15" t="s">
        <v>428</v>
      </c>
      <c r="Y153" s="15" t="s">
        <v>429</v>
      </c>
      <c r="Z153" s="15" t="s">
        <v>430</v>
      </c>
      <c r="AA153" s="15" t="s">
        <v>335</v>
      </c>
    </row>
    <row r="154" spans="1:34" ht="16" x14ac:dyDescent="0.2">
      <c r="A154" s="10" t="s">
        <v>340</v>
      </c>
      <c r="B154" s="16">
        <f>Y147+Z147</f>
        <v>234294.05340799998</v>
      </c>
      <c r="F154" s="16" t="s">
        <v>84</v>
      </c>
      <c r="G154" s="12">
        <f>B231</f>
        <v>0</v>
      </c>
      <c r="H154" s="16" t="s">
        <v>59</v>
      </c>
      <c r="I154" s="12">
        <f>B206</f>
        <v>54754.448327999999</v>
      </c>
      <c r="J154" s="44">
        <f>I154/$I$152</f>
        <v>0.18735262144940953</v>
      </c>
      <c r="W154" s="15" t="s">
        <v>431</v>
      </c>
      <c r="X154" s="15">
        <f>X49+X51+X52</f>
        <v>18239.798911999998</v>
      </c>
      <c r="Y154" s="15">
        <v>0</v>
      </c>
      <c r="Z154" s="15">
        <f>Z71+Z73</f>
        <v>91265.547174000007</v>
      </c>
      <c r="AA154" s="15">
        <f>SUM(X154:Z154)</f>
        <v>109505.34608600001</v>
      </c>
    </row>
    <row r="155" spans="1:34" ht="16" x14ac:dyDescent="0.2">
      <c r="A155" s="10" t="s">
        <v>26</v>
      </c>
      <c r="B155" s="16">
        <f>AB147</f>
        <v>28000</v>
      </c>
      <c r="F155" s="16" t="s">
        <v>85</v>
      </c>
      <c r="G155" s="12">
        <f>B232</f>
        <v>0</v>
      </c>
      <c r="H155" s="16" t="s">
        <v>61</v>
      </c>
      <c r="I155" s="12">
        <f>B208</f>
        <v>11720.617200000001</v>
      </c>
      <c r="J155" s="44">
        <f t="shared" ref="J155:J162" si="0">I155/$I$152</f>
        <v>4.0104291513829722E-2</v>
      </c>
      <c r="W155" s="15" t="s">
        <v>432</v>
      </c>
      <c r="X155" s="15">
        <f>X46</f>
        <v>38870.197080999998</v>
      </c>
      <c r="Y155" s="15">
        <v>0</v>
      </c>
      <c r="Z155" s="15">
        <v>0</v>
      </c>
      <c r="AA155" s="15">
        <f t="shared" ref="AA155:AA163" si="1">SUM(X155:Z155)</f>
        <v>38870.197080999998</v>
      </c>
    </row>
    <row r="156" spans="1:34" ht="16" x14ac:dyDescent="0.2">
      <c r="A156" s="10" t="s">
        <v>25</v>
      </c>
      <c r="B156" s="16">
        <f>AA147</f>
        <v>72000.006653000004</v>
      </c>
      <c r="F156" s="16" t="s">
        <v>95</v>
      </c>
      <c r="G156" s="12">
        <f>B242</f>
        <v>-22461.123314</v>
      </c>
      <c r="H156" s="16" t="s">
        <v>63</v>
      </c>
      <c r="I156" s="12">
        <f>B210</f>
        <v>32315.175906</v>
      </c>
      <c r="J156" s="44">
        <f t="shared" si="0"/>
        <v>0.11057243938100038</v>
      </c>
      <c r="W156" s="15" t="s">
        <v>433</v>
      </c>
      <c r="X156" s="15">
        <f>X50</f>
        <v>9175.8760000000002</v>
      </c>
      <c r="Y156" s="15">
        <v>0</v>
      </c>
      <c r="Z156" s="15">
        <f>Z72</f>
        <v>41984.037877000002</v>
      </c>
      <c r="AA156" s="15">
        <f t="shared" si="1"/>
        <v>51159.913876999999</v>
      </c>
    </row>
    <row r="157" spans="1:34" ht="16" x14ac:dyDescent="0.2">
      <c r="A157" s="10" t="s">
        <v>332</v>
      </c>
      <c r="B157" s="16">
        <f>AC147+AD147</f>
        <v>568000.27212900005</v>
      </c>
      <c r="F157" s="16" t="s">
        <v>106</v>
      </c>
      <c r="G157" s="12">
        <f>B253</f>
        <v>-11834.338797</v>
      </c>
      <c r="H157" s="16" t="s">
        <v>67</v>
      </c>
      <c r="I157" s="12">
        <f>B214</f>
        <v>83597.709226999999</v>
      </c>
      <c r="J157" s="44">
        <f t="shared" si="0"/>
        <v>0.2860452520135186</v>
      </c>
      <c r="W157" s="15" t="s">
        <v>434</v>
      </c>
      <c r="X157" s="15">
        <f>X53</f>
        <v>18351.752</v>
      </c>
      <c r="Y157" s="15">
        <v>0</v>
      </c>
      <c r="Z157" s="15">
        <v>0</v>
      </c>
      <c r="AA157" s="15">
        <f t="shared" si="1"/>
        <v>18351.752</v>
      </c>
    </row>
    <row r="158" spans="1:34" ht="16" x14ac:dyDescent="0.2">
      <c r="A158" s="10" t="s">
        <v>333</v>
      </c>
      <c r="B158" s="16">
        <f>AE147+AF147+AG147</f>
        <v>281999.37959999999</v>
      </c>
      <c r="F158" s="16" t="s">
        <v>107</v>
      </c>
      <c r="G158" s="12">
        <f>B254</f>
        <v>-4057.2</v>
      </c>
      <c r="H158" s="16" t="s">
        <v>70</v>
      </c>
      <c r="I158" s="12">
        <f>B217</f>
        <v>8234.066084</v>
      </c>
      <c r="J158" s="44">
        <f t="shared" si="0"/>
        <v>2.8174402503041759E-2</v>
      </c>
      <c r="W158" s="15" t="s">
        <v>435</v>
      </c>
      <c r="X158" s="15">
        <v>0</v>
      </c>
      <c r="Y158" s="15">
        <v>0</v>
      </c>
      <c r="Z158" s="15">
        <v>0</v>
      </c>
      <c r="AA158" s="15">
        <f t="shared" si="1"/>
        <v>0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-11266.853397999999</v>
      </c>
      <c r="H159" s="16" t="s">
        <v>364</v>
      </c>
      <c r="I159" s="12">
        <f>B216</f>
        <v>19822.911039999999</v>
      </c>
      <c r="J159" s="44">
        <f t="shared" si="0"/>
        <v>6.782781055257682E-2</v>
      </c>
      <c r="W159" s="15" t="s">
        <v>436</v>
      </c>
      <c r="X159" s="15">
        <f>X48</f>
        <v>7121.1360080000004</v>
      </c>
      <c r="Y159" s="15">
        <v>0</v>
      </c>
      <c r="Z159" s="15">
        <v>0</v>
      </c>
      <c r="AA159" s="15">
        <f t="shared" si="1"/>
        <v>7121.1360080000004</v>
      </c>
    </row>
    <row r="160" spans="1:34" x14ac:dyDescent="0.2">
      <c r="F160" s="16" t="s">
        <v>113</v>
      </c>
      <c r="G160" s="12">
        <f>B260</f>
        <v>-5208.5624950000001</v>
      </c>
      <c r="H160" s="16" t="s">
        <v>209</v>
      </c>
      <c r="I160" s="12">
        <f>B221</f>
        <v>2.6017199999999998</v>
      </c>
      <c r="J160" s="44">
        <f t="shared" si="0"/>
        <v>8.9022732793765371E-6</v>
      </c>
      <c r="W160" s="15" t="s">
        <v>437</v>
      </c>
      <c r="X160" s="15">
        <f>X54</f>
        <v>0</v>
      </c>
      <c r="Y160" s="15">
        <v>0</v>
      </c>
      <c r="Z160" s="15">
        <f>Z75</f>
        <v>0</v>
      </c>
      <c r="AA160" s="15">
        <f t="shared" si="1"/>
        <v>0</v>
      </c>
    </row>
    <row r="161" spans="6:27" x14ac:dyDescent="0.2">
      <c r="F161" s="16" t="s">
        <v>121</v>
      </c>
      <c r="G161" s="12">
        <f>B272</f>
        <v>-1926.0557630000001</v>
      </c>
      <c r="H161" s="16" t="s">
        <v>195</v>
      </c>
      <c r="I161" s="16">
        <f>B207</f>
        <v>35853.935400000002</v>
      </c>
      <c r="J161" s="44">
        <f t="shared" si="0"/>
        <v>0.12268096915575565</v>
      </c>
      <c r="W161" s="15" t="s">
        <v>438</v>
      </c>
      <c r="X161" s="15">
        <v>0</v>
      </c>
      <c r="Y161" s="15">
        <v>0</v>
      </c>
      <c r="Z161" s="15">
        <f>Z65</f>
        <v>67390.108951999995</v>
      </c>
      <c r="AA161" s="15">
        <f t="shared" si="1"/>
        <v>67390.108951999995</v>
      </c>
    </row>
    <row r="162" spans="6:27" x14ac:dyDescent="0.2">
      <c r="F162" s="16" t="s">
        <v>134</v>
      </c>
      <c r="G162" s="12">
        <f>B285</f>
        <v>0</v>
      </c>
      <c r="H162" s="16" t="s">
        <v>368</v>
      </c>
      <c r="I162" s="16">
        <f>SUM(I172:I174)</f>
        <v>5607.9998999999998</v>
      </c>
      <c r="J162" s="44">
        <f t="shared" si="0"/>
        <v>1.9188824185737242E-2</v>
      </c>
      <c r="W162" s="15" t="s">
        <v>439</v>
      </c>
      <c r="X162" s="15">
        <v>0</v>
      </c>
      <c r="Y162" s="15">
        <v>0</v>
      </c>
      <c r="Z162" s="15">
        <f>Z74</f>
        <v>23994.002504</v>
      </c>
      <c r="AA162" s="15">
        <f t="shared" si="1"/>
        <v>23994.002504</v>
      </c>
    </row>
    <row r="163" spans="6:27" x14ac:dyDescent="0.2">
      <c r="F163" s="16" t="s">
        <v>148</v>
      </c>
      <c r="G163" s="12">
        <f>B299</f>
        <v>-238.591138</v>
      </c>
      <c r="H163" s="16" t="s">
        <v>387</v>
      </c>
      <c r="I163" s="12">
        <f>SUM(I176:I178)</f>
        <v>40343.976349999997</v>
      </c>
      <c r="J163" s="44">
        <f>I163/$I$152</f>
        <v>0.13804448697185093</v>
      </c>
      <c r="W163" s="15" t="s">
        <v>440</v>
      </c>
      <c r="X163" s="15">
        <v>0</v>
      </c>
      <c r="Y163" s="15">
        <f>Y63+Y130</f>
        <v>12612.92383</v>
      </c>
      <c r="Z163" s="15">
        <v>0</v>
      </c>
      <c r="AA163" s="15">
        <f t="shared" si="1"/>
        <v>12612.92383</v>
      </c>
    </row>
    <row r="164" spans="6:27" x14ac:dyDescent="0.2">
      <c r="F164" s="16" t="s">
        <v>240</v>
      </c>
      <c r="G164" s="16">
        <f>B252</f>
        <v>0</v>
      </c>
      <c r="H164" s="1" t="s">
        <v>394</v>
      </c>
      <c r="I164" s="33">
        <v>0</v>
      </c>
      <c r="J164" s="44">
        <f>I164/$I$152</f>
        <v>0</v>
      </c>
      <c r="X164" s="15"/>
      <c r="Y164" s="15"/>
      <c r="Z164" s="15"/>
      <c r="AA164" s="15"/>
    </row>
    <row r="165" spans="6:27" x14ac:dyDescent="0.2">
      <c r="F165" s="16" t="s">
        <v>254</v>
      </c>
      <c r="G165" s="16">
        <f>B270</f>
        <v>-1823.280874</v>
      </c>
      <c r="H165" s="16" t="s">
        <v>68</v>
      </c>
      <c r="I165" s="12">
        <f>B215</f>
        <v>0</v>
      </c>
      <c r="J165" s="44">
        <f>I165/$I$152</f>
        <v>0</v>
      </c>
      <c r="W165" s="15" t="s">
        <v>395</v>
      </c>
      <c r="X165" s="15">
        <f>SUM(X154:X163)</f>
        <v>91758.760000999988</v>
      </c>
      <c r="Y165" s="15">
        <f t="shared" ref="Y165" si="2">SUM(Y154:Y163)</f>
        <v>12612.92383</v>
      </c>
      <c r="Z165" s="15">
        <f>SUM(Z154:Z163)+Z127+Z136+Z138+Z137</f>
        <v>221681.129579</v>
      </c>
      <c r="AA165" s="8">
        <f>SUM(X165:Z165)</f>
        <v>326052.81341</v>
      </c>
    </row>
    <row r="166" spans="6:27" x14ac:dyDescent="0.2">
      <c r="F166" s="16" t="s">
        <v>268</v>
      </c>
      <c r="G166" s="16">
        <f>B302</f>
        <v>-199.04473400000001</v>
      </c>
      <c r="H166" s="16" t="s">
        <v>390</v>
      </c>
      <c r="I166" s="16">
        <v>0</v>
      </c>
      <c r="J166" s="44"/>
    </row>
    <row r="167" spans="6:27" x14ac:dyDescent="0.2">
      <c r="F167" s="14"/>
      <c r="G167" s="14"/>
      <c r="H167" s="16" t="s">
        <v>391</v>
      </c>
      <c r="I167" s="16">
        <v>0</v>
      </c>
      <c r="J167" s="44"/>
      <c r="U167" s="1" t="s">
        <v>454</v>
      </c>
      <c r="Z167" s="8">
        <f>(Z161+Y161)/(Z165+Y165)</f>
        <v>0.28763047107456519</v>
      </c>
    </row>
    <row r="168" spans="6:27" x14ac:dyDescent="0.2">
      <c r="F168" s="14"/>
      <c r="G168" s="14"/>
      <c r="J168" s="44"/>
    </row>
    <row r="169" spans="6:27" x14ac:dyDescent="0.2">
      <c r="F169" s="14"/>
      <c r="G169" s="14"/>
    </row>
    <row r="170" spans="6:27" x14ac:dyDescent="0.2">
      <c r="F170" s="14"/>
      <c r="G170" s="14"/>
    </row>
    <row r="171" spans="6:27" x14ac:dyDescent="0.2">
      <c r="F171" s="14"/>
      <c r="G171" s="14"/>
    </row>
    <row r="172" spans="6:27" x14ac:dyDescent="0.2">
      <c r="F172" s="14"/>
      <c r="G172" s="14"/>
      <c r="H172" s="16" t="s">
        <v>65</v>
      </c>
      <c r="I172" s="12">
        <f>B212</f>
        <v>196.3075</v>
      </c>
      <c r="J172" s="49" t="s">
        <v>368</v>
      </c>
    </row>
    <row r="173" spans="6:27" x14ac:dyDescent="0.2">
      <c r="F173" s="14"/>
      <c r="G173" s="14"/>
      <c r="H173" s="16" t="s">
        <v>64</v>
      </c>
      <c r="I173" s="12">
        <f>B211</f>
        <v>5409.2110000000002</v>
      </c>
      <c r="J173" s="49"/>
    </row>
    <row r="174" spans="6:27" x14ac:dyDescent="0.2">
      <c r="F174" s="14"/>
      <c r="G174" s="14"/>
      <c r="H174" s="16" t="s">
        <v>363</v>
      </c>
      <c r="I174" s="12">
        <f>B213</f>
        <v>2.4813999999999998</v>
      </c>
      <c r="J174" s="49"/>
    </row>
    <row r="175" spans="6:27" x14ac:dyDescent="0.2">
      <c r="F175" s="14"/>
      <c r="G175" s="14"/>
    </row>
    <row r="176" spans="6:27" x14ac:dyDescent="0.2">
      <c r="F176" s="14"/>
      <c r="G176" s="14"/>
      <c r="H176" s="16" t="s">
        <v>365</v>
      </c>
      <c r="I176" s="12">
        <f>B223</f>
        <v>37179.343507999998</v>
      </c>
      <c r="J176" s="49" t="s">
        <v>387</v>
      </c>
      <c r="K176" s="15">
        <f>I176/$I$152</f>
        <v>0.12721610175423564</v>
      </c>
    </row>
    <row r="177" spans="1:11" x14ac:dyDescent="0.2">
      <c r="F177" s="14"/>
      <c r="G177" s="14"/>
      <c r="H177" s="16" t="s">
        <v>367</v>
      </c>
      <c r="I177" s="12">
        <f>B225</f>
        <v>3164.632842</v>
      </c>
      <c r="J177" s="49"/>
      <c r="K177" s="1">
        <f>I177/$I$152</f>
        <v>1.0828385217615283E-2</v>
      </c>
    </row>
    <row r="178" spans="1:11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0</v>
      </c>
      <c r="J178" s="49"/>
      <c r="K178" s="15">
        <f>I178/$I$152</f>
        <v>0</v>
      </c>
    </row>
    <row r="179" spans="1:11" x14ac:dyDescent="0.2">
      <c r="A179" s="16" t="s">
        <v>33</v>
      </c>
      <c r="B179" s="16">
        <f>B2</f>
        <v>0</v>
      </c>
      <c r="F179" s="14"/>
      <c r="G179" s="14"/>
    </row>
    <row r="180" spans="1:11" x14ac:dyDescent="0.2">
      <c r="A180" s="16" t="s">
        <v>34</v>
      </c>
      <c r="B180" s="16">
        <f t="shared" ref="B180:B204" si="3">B3</f>
        <v>0</v>
      </c>
      <c r="F180" s="14"/>
      <c r="G180" s="14"/>
    </row>
    <row r="181" spans="1:11" x14ac:dyDescent="0.2">
      <c r="A181" s="16" t="s">
        <v>35</v>
      </c>
      <c r="B181" s="16">
        <f t="shared" si="3"/>
        <v>0</v>
      </c>
      <c r="F181" s="14"/>
      <c r="G181" s="14"/>
      <c r="J181" s="14"/>
    </row>
    <row r="182" spans="1:11" x14ac:dyDescent="0.2">
      <c r="A182" s="16" t="s">
        <v>36</v>
      </c>
      <c r="B182" s="16">
        <f t="shared" si="3"/>
        <v>0</v>
      </c>
      <c r="F182" s="14"/>
      <c r="G182" s="4" t="s">
        <v>389</v>
      </c>
      <c r="H182" s="4" t="s">
        <v>389</v>
      </c>
      <c r="I182" s="4" t="s">
        <v>392</v>
      </c>
      <c r="J182" s="4" t="s">
        <v>393</v>
      </c>
    </row>
    <row r="183" spans="1:11" x14ac:dyDescent="0.2">
      <c r="A183" s="16" t="s">
        <v>37</v>
      </c>
      <c r="B183" s="16">
        <f t="shared" si="3"/>
        <v>0</v>
      </c>
      <c r="F183" s="14"/>
      <c r="G183" s="14"/>
      <c r="H183" s="16" t="s">
        <v>403</v>
      </c>
      <c r="I183" s="44">
        <f>J153</f>
        <v>0</v>
      </c>
      <c r="J183" s="1">
        <v>0</v>
      </c>
    </row>
    <row r="184" spans="1:11" x14ac:dyDescent="0.2">
      <c r="A184" s="16" t="s">
        <v>38</v>
      </c>
      <c r="B184" s="16">
        <f t="shared" si="3"/>
        <v>0</v>
      </c>
      <c r="F184" s="14"/>
      <c r="G184" s="14"/>
      <c r="H184" s="16" t="s">
        <v>402</v>
      </c>
      <c r="I184" s="44">
        <f t="shared" ref="I184:I193" si="4">J154</f>
        <v>0.18735262144940953</v>
      </c>
      <c r="J184" s="15">
        <v>0</v>
      </c>
    </row>
    <row r="185" spans="1:11" x14ac:dyDescent="0.2">
      <c r="A185" s="16" t="s">
        <v>39</v>
      </c>
      <c r="B185" s="16">
        <f t="shared" si="3"/>
        <v>0</v>
      </c>
      <c r="F185" s="14"/>
      <c r="G185" s="14"/>
      <c r="H185" s="16" t="s">
        <v>396</v>
      </c>
      <c r="I185" s="44">
        <f t="shared" si="4"/>
        <v>4.0104291513829722E-2</v>
      </c>
      <c r="J185" s="15">
        <v>0</v>
      </c>
    </row>
    <row r="186" spans="1:11" x14ac:dyDescent="0.2">
      <c r="A186" s="16" t="s">
        <v>40</v>
      </c>
      <c r="B186" s="16">
        <f t="shared" si="3"/>
        <v>0</v>
      </c>
      <c r="F186" s="14"/>
      <c r="G186" s="14"/>
      <c r="H186" s="16" t="s">
        <v>63</v>
      </c>
      <c r="I186" s="44">
        <f t="shared" si="4"/>
        <v>0.11057243938100038</v>
      </c>
      <c r="J186" s="15">
        <v>0</v>
      </c>
    </row>
    <row r="187" spans="1:11" x14ac:dyDescent="0.2">
      <c r="A187" s="16" t="s">
        <v>41</v>
      </c>
      <c r="B187" s="16">
        <f t="shared" si="3"/>
        <v>0</v>
      </c>
      <c r="F187" s="14"/>
      <c r="G187" s="14"/>
      <c r="H187" s="16" t="s">
        <v>397</v>
      </c>
      <c r="I187" s="44">
        <f t="shared" si="4"/>
        <v>0.2860452520135186</v>
      </c>
      <c r="J187" s="15">
        <v>0</v>
      </c>
    </row>
    <row r="188" spans="1:11" x14ac:dyDescent="0.2">
      <c r="A188" s="16" t="s">
        <v>42</v>
      </c>
      <c r="B188" s="16">
        <f t="shared" si="3"/>
        <v>0</v>
      </c>
      <c r="F188" s="14"/>
      <c r="G188" s="14"/>
      <c r="H188" s="16" t="s">
        <v>398</v>
      </c>
      <c r="I188" s="44">
        <f t="shared" si="4"/>
        <v>2.8174402503041759E-2</v>
      </c>
      <c r="J188" s="15">
        <v>0</v>
      </c>
    </row>
    <row r="189" spans="1:11" x14ac:dyDescent="0.2">
      <c r="A189" s="16" t="s">
        <v>43</v>
      </c>
      <c r="B189" s="16">
        <f t="shared" si="3"/>
        <v>0</v>
      </c>
      <c r="F189" s="14"/>
      <c r="G189" s="14"/>
      <c r="H189" s="16" t="s">
        <v>399</v>
      </c>
      <c r="I189" s="44">
        <f t="shared" si="4"/>
        <v>6.782781055257682E-2</v>
      </c>
      <c r="J189" s="15">
        <v>0</v>
      </c>
    </row>
    <row r="190" spans="1:11" x14ac:dyDescent="0.2">
      <c r="A190" s="16" t="s">
        <v>44</v>
      </c>
      <c r="B190" s="16">
        <f t="shared" si="3"/>
        <v>0</v>
      </c>
      <c r="F190" s="14"/>
      <c r="G190" s="14"/>
      <c r="H190" s="16" t="s">
        <v>400</v>
      </c>
      <c r="I190" s="44">
        <f t="shared" si="4"/>
        <v>8.9022732793765371E-6</v>
      </c>
      <c r="J190" s="15">
        <v>0</v>
      </c>
    </row>
    <row r="191" spans="1:11" x14ac:dyDescent="0.2">
      <c r="A191" s="16" t="s">
        <v>45</v>
      </c>
      <c r="B191" s="16">
        <f t="shared" si="3"/>
        <v>0</v>
      </c>
      <c r="F191" s="14"/>
      <c r="G191" s="14"/>
      <c r="H191" s="16" t="s">
        <v>195</v>
      </c>
      <c r="I191" s="44">
        <f t="shared" si="4"/>
        <v>0.12268096915575565</v>
      </c>
      <c r="J191" s="15">
        <v>0</v>
      </c>
    </row>
    <row r="192" spans="1:11" x14ac:dyDescent="0.2">
      <c r="A192" s="16" t="s">
        <v>46</v>
      </c>
      <c r="B192" s="16">
        <f t="shared" si="3"/>
        <v>0</v>
      </c>
      <c r="F192" s="14"/>
      <c r="G192" s="14"/>
      <c r="H192" s="16" t="s">
        <v>368</v>
      </c>
      <c r="I192" s="44">
        <f t="shared" si="4"/>
        <v>1.9188824185737242E-2</v>
      </c>
      <c r="J192" s="15">
        <v>0</v>
      </c>
    </row>
    <row r="193" spans="1:11" x14ac:dyDescent="0.2">
      <c r="A193" s="16" t="s">
        <v>47</v>
      </c>
      <c r="B193" s="16">
        <f t="shared" si="3"/>
        <v>0</v>
      </c>
      <c r="F193" s="14"/>
      <c r="G193" s="14"/>
      <c r="H193" s="16" t="s">
        <v>387</v>
      </c>
      <c r="I193" s="44">
        <f t="shared" si="4"/>
        <v>0.13804448697185093</v>
      </c>
      <c r="J193" s="15">
        <v>0</v>
      </c>
    </row>
    <row r="194" spans="1:11" x14ac:dyDescent="0.2">
      <c r="A194" s="16" t="s">
        <v>48</v>
      </c>
      <c r="B194" s="16">
        <f t="shared" si="3"/>
        <v>0</v>
      </c>
      <c r="F194" s="14"/>
      <c r="G194" s="14"/>
      <c r="H194" s="16" t="s">
        <v>401</v>
      </c>
      <c r="I194" s="44">
        <f>J164</f>
        <v>0</v>
      </c>
      <c r="J194" s="15">
        <v>0</v>
      </c>
    </row>
    <row r="195" spans="1:11" x14ac:dyDescent="0.2">
      <c r="A195" s="16" t="s">
        <v>49</v>
      </c>
      <c r="B195" s="16">
        <f t="shared" si="3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0.52264601612676942</v>
      </c>
      <c r="K195" s="33">
        <f>I156+I157+I158+I159+I160+I162+I177+I178+I164+I153</f>
        <v>152745.09671899999</v>
      </c>
    </row>
    <row r="196" spans="1:11" x14ac:dyDescent="0.2">
      <c r="A196" s="16" t="s">
        <v>50</v>
      </c>
      <c r="B196" s="16">
        <f t="shared" si="3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0.47735398387323058</v>
      </c>
      <c r="K196" s="1">
        <f>K195/I152</f>
        <v>0.52264601612676942</v>
      </c>
    </row>
    <row r="197" spans="1:11" x14ac:dyDescent="0.2">
      <c r="A197" s="16" t="s">
        <v>51</v>
      </c>
      <c r="B197" s="16">
        <f t="shared" si="3"/>
        <v>0</v>
      </c>
      <c r="F197" s="14"/>
      <c r="G197" s="14"/>
    </row>
    <row r="198" spans="1:11" x14ac:dyDescent="0.2">
      <c r="A198" s="16" t="s">
        <v>52</v>
      </c>
      <c r="B198" s="16">
        <f t="shared" si="3"/>
        <v>0</v>
      </c>
      <c r="F198" s="14"/>
      <c r="G198" s="14"/>
      <c r="H198" s="1" t="s">
        <v>395</v>
      </c>
      <c r="I198" s="44">
        <f>SUM(I183:I196)</f>
        <v>1</v>
      </c>
    </row>
    <row r="199" spans="1:11" x14ac:dyDescent="0.2">
      <c r="A199" s="16" t="s">
        <v>53</v>
      </c>
      <c r="B199" s="16">
        <f t="shared" si="3"/>
        <v>0</v>
      </c>
      <c r="F199" s="14"/>
      <c r="G199" s="14"/>
    </row>
    <row r="200" spans="1:11" x14ac:dyDescent="0.2">
      <c r="A200" s="16" t="s">
        <v>54</v>
      </c>
      <c r="B200" s="16">
        <f t="shared" si="3"/>
        <v>0</v>
      </c>
      <c r="F200" s="14"/>
      <c r="G200" s="14"/>
    </row>
    <row r="201" spans="1:11" x14ac:dyDescent="0.2">
      <c r="A201" s="16" t="s">
        <v>55</v>
      </c>
      <c r="B201" s="16">
        <f t="shared" si="3"/>
        <v>0</v>
      </c>
      <c r="F201" s="14"/>
      <c r="G201" s="14"/>
    </row>
    <row r="202" spans="1:11" x14ac:dyDescent="0.2">
      <c r="A202" s="16" t="s">
        <v>56</v>
      </c>
      <c r="B202" s="16">
        <f t="shared" si="3"/>
        <v>0</v>
      </c>
      <c r="F202" s="14"/>
      <c r="G202" s="14"/>
    </row>
    <row r="203" spans="1:11" x14ac:dyDescent="0.2">
      <c r="A203" s="16" t="s">
        <v>57</v>
      </c>
      <c r="B203" s="16">
        <f t="shared" si="3"/>
        <v>0</v>
      </c>
      <c r="F203" s="14"/>
      <c r="G203" s="4" t="s">
        <v>405</v>
      </c>
      <c r="J203" s="1" t="s">
        <v>457</v>
      </c>
      <c r="K203" s="1">
        <f>(H215+H216+H217+H218+H214+H213+H219+H220)/(H221*1000)</f>
        <v>0.32914820609554341</v>
      </c>
    </row>
    <row r="204" spans="1:11" x14ac:dyDescent="0.2">
      <c r="A204" s="16" t="s">
        <v>58</v>
      </c>
      <c r="B204" s="16">
        <f t="shared" si="3"/>
        <v>0</v>
      </c>
      <c r="F204" s="14"/>
      <c r="G204" s="14" t="s">
        <v>406</v>
      </c>
      <c r="H204" s="1">
        <f>B2</f>
        <v>0</v>
      </c>
    </row>
    <row r="205" spans="1:11" s="15" customFormat="1" x14ac:dyDescent="0.2">
      <c r="A205" s="16" t="s">
        <v>357</v>
      </c>
      <c r="B205" s="16">
        <f>B28</f>
        <v>0</v>
      </c>
      <c r="F205" s="14"/>
      <c r="G205" s="14" t="s">
        <v>407</v>
      </c>
      <c r="H205" s="15">
        <f>C3</f>
        <v>74469.331451000005</v>
      </c>
    </row>
    <row r="206" spans="1:11" x14ac:dyDescent="0.2">
      <c r="A206" s="16" t="s">
        <v>59</v>
      </c>
      <c r="B206" s="16">
        <f t="shared" ref="B206:B269" si="5">B29</f>
        <v>54754.448327999999</v>
      </c>
      <c r="F206" s="14"/>
      <c r="G206" s="14" t="s">
        <v>408</v>
      </c>
      <c r="H206" s="1">
        <f>D4</f>
        <v>154003.813632</v>
      </c>
    </row>
    <row r="207" spans="1:11" x14ac:dyDescent="0.2">
      <c r="A207" s="16" t="s">
        <v>60</v>
      </c>
      <c r="B207" s="16">
        <f t="shared" si="5"/>
        <v>35853.935400000002</v>
      </c>
      <c r="F207" s="14"/>
      <c r="G207" s="14" t="s">
        <v>4</v>
      </c>
      <c r="H207" s="1">
        <f>E7</f>
        <v>39642.231591000003</v>
      </c>
    </row>
    <row r="208" spans="1:11" x14ac:dyDescent="0.2">
      <c r="A208" s="16" t="s">
        <v>61</v>
      </c>
      <c r="B208" s="16">
        <f t="shared" si="5"/>
        <v>11720.617200000001</v>
      </c>
      <c r="F208" s="14"/>
      <c r="G208" s="14" t="s">
        <v>409</v>
      </c>
      <c r="H208" s="1">
        <f>W28</f>
        <v>21667.506380999999</v>
      </c>
    </row>
    <row r="209" spans="1:14" x14ac:dyDescent="0.2">
      <c r="A209" s="16" t="s">
        <v>62</v>
      </c>
      <c r="B209" s="16">
        <f t="shared" si="5"/>
        <v>0</v>
      </c>
      <c r="F209" s="14"/>
      <c r="G209" s="45" t="s">
        <v>5</v>
      </c>
      <c r="H209" s="1">
        <f>F8</f>
        <v>220745.373616</v>
      </c>
    </row>
    <row r="210" spans="1:14" x14ac:dyDescent="0.2">
      <c r="A210" s="16" t="s">
        <v>63</v>
      </c>
      <c r="B210" s="16">
        <f t="shared" si="5"/>
        <v>32315.175906</v>
      </c>
      <c r="F210" s="14"/>
      <c r="G210" s="14" t="s">
        <v>410</v>
      </c>
      <c r="H210" s="1">
        <f>J13</f>
        <v>33990.418286</v>
      </c>
      <c r="J210" s="15" t="s">
        <v>416</v>
      </c>
      <c r="K210" s="1">
        <f>H204</f>
        <v>0</v>
      </c>
      <c r="M210" s="15" t="s">
        <v>422</v>
      </c>
      <c r="N210" s="1">
        <f>H215+H216+H219+H218</f>
        <v>180473.965532</v>
      </c>
    </row>
    <row r="211" spans="1:14" x14ac:dyDescent="0.2">
      <c r="A211" s="16" t="s">
        <v>64</v>
      </c>
      <c r="B211" s="16">
        <f t="shared" si="5"/>
        <v>5409.2110000000002</v>
      </c>
      <c r="F211" s="14"/>
      <c r="G211" s="14" t="s">
        <v>6</v>
      </c>
      <c r="H211" s="1">
        <v>0</v>
      </c>
      <c r="J211" s="15" t="s">
        <v>417</v>
      </c>
      <c r="K211" s="1">
        <f>H219+H218+H217+H216+H215+H213+H214</f>
        <v>301566.90802000003</v>
      </c>
      <c r="M211" s="15" t="s">
        <v>423</v>
      </c>
      <c r="N211" s="1">
        <f>H217</f>
        <v>28059.578842999999</v>
      </c>
    </row>
    <row r="212" spans="1:14" x14ac:dyDescent="0.2">
      <c r="A212" s="16" t="s">
        <v>65</v>
      </c>
      <c r="B212" s="16">
        <f t="shared" si="5"/>
        <v>196.3075</v>
      </c>
      <c r="F212" s="14"/>
      <c r="G212" s="14" t="s">
        <v>411</v>
      </c>
      <c r="H212" s="1">
        <f>K14</f>
        <v>147984.847496</v>
      </c>
      <c r="J212" s="15" t="s">
        <v>411</v>
      </c>
      <c r="K212" s="1">
        <f>H212</f>
        <v>147984.847496</v>
      </c>
      <c r="M212" s="15" t="s">
        <v>424</v>
      </c>
      <c r="N212" s="1">
        <f>H213+H214+H220</f>
        <v>131237.91364500002</v>
      </c>
    </row>
    <row r="213" spans="1:14" x14ac:dyDescent="0.2">
      <c r="A213" s="16" t="s">
        <v>66</v>
      </c>
      <c r="B213" s="16">
        <f t="shared" si="5"/>
        <v>2.4813999999999998</v>
      </c>
      <c r="F213" s="14"/>
      <c r="G213" s="14" t="s">
        <v>412</v>
      </c>
      <c r="H213" s="1">
        <f>H11</f>
        <v>81898.460000000006</v>
      </c>
      <c r="J213" s="15" t="s">
        <v>418</v>
      </c>
      <c r="K213" s="1">
        <f>H210</f>
        <v>33990.418286</v>
      </c>
      <c r="M213" s="15" t="s">
        <v>425</v>
      </c>
      <c r="N213" s="1">
        <f>H204</f>
        <v>0</v>
      </c>
    </row>
    <row r="214" spans="1:14" x14ac:dyDescent="0.2">
      <c r="A214" s="16" t="s">
        <v>67</v>
      </c>
      <c r="B214" s="16">
        <f t="shared" si="5"/>
        <v>83597.709226999999</v>
      </c>
      <c r="F214" s="14"/>
      <c r="G214" s="15" t="s">
        <v>413</v>
      </c>
      <c r="H214" s="1">
        <f>I12</f>
        <v>11134.903645</v>
      </c>
      <c r="J214" s="15" t="s">
        <v>419</v>
      </c>
      <c r="K214" s="1">
        <f>H209</f>
        <v>220745.373616</v>
      </c>
      <c r="M214" s="15" t="s">
        <v>5</v>
      </c>
      <c r="N214" s="1">
        <f>H209</f>
        <v>220745.373616</v>
      </c>
    </row>
    <row r="215" spans="1:14" x14ac:dyDescent="0.2">
      <c r="A215" s="16" t="s">
        <v>68</v>
      </c>
      <c r="B215" s="16">
        <f t="shared" si="5"/>
        <v>0</v>
      </c>
      <c r="F215" s="14"/>
      <c r="G215" s="14" t="s">
        <v>13</v>
      </c>
      <c r="H215" s="1">
        <f>N19</f>
        <v>83597.709226999999</v>
      </c>
      <c r="J215" s="15" t="s">
        <v>420</v>
      </c>
      <c r="K215" s="1">
        <f>H205+H206+H207+H208</f>
        <v>289782.88305499998</v>
      </c>
      <c r="M215" s="15" t="s">
        <v>9</v>
      </c>
      <c r="N215" s="1">
        <f>H210</f>
        <v>33990.418286</v>
      </c>
    </row>
    <row r="216" spans="1:14" x14ac:dyDescent="0.2">
      <c r="A216" s="16" t="s">
        <v>69</v>
      </c>
      <c r="B216" s="16">
        <f t="shared" si="5"/>
        <v>19822.911039999999</v>
      </c>
      <c r="F216" s="14"/>
      <c r="G216" s="14" t="s">
        <v>14</v>
      </c>
      <c r="H216" s="1">
        <f>O20</f>
        <v>83369.171199999997</v>
      </c>
      <c r="J216" s="15" t="s">
        <v>421</v>
      </c>
      <c r="K216" s="1">
        <f>H220</f>
        <v>38204.550000000003</v>
      </c>
      <c r="M216" s="15" t="s">
        <v>426</v>
      </c>
      <c r="N216" s="1">
        <f>H205+H206+H207+H208</f>
        <v>289782.88305499998</v>
      </c>
    </row>
    <row r="217" spans="1:14" x14ac:dyDescent="0.2">
      <c r="A217" s="16" t="s">
        <v>70</v>
      </c>
      <c r="B217" s="16">
        <f t="shared" si="5"/>
        <v>8234.066084</v>
      </c>
      <c r="F217" s="14"/>
      <c r="G217" s="14" t="s">
        <v>15</v>
      </c>
      <c r="H217" s="1">
        <f>P21</f>
        <v>28059.578842999999</v>
      </c>
      <c r="M217" s="15" t="s">
        <v>411</v>
      </c>
      <c r="N217" s="1">
        <f>H212</f>
        <v>147984.847496</v>
      </c>
    </row>
    <row r="218" spans="1:14" x14ac:dyDescent="0.2">
      <c r="A218" s="16" t="s">
        <v>71</v>
      </c>
      <c r="B218" s="16">
        <f t="shared" si="5"/>
        <v>0</v>
      </c>
      <c r="F218" s="14"/>
      <c r="G218" s="14" t="s">
        <v>16</v>
      </c>
      <c r="H218" s="1">
        <f>Q22</f>
        <v>13507.085105</v>
      </c>
      <c r="K218" s="1">
        <f>SUM(K210:K216)</f>
        <v>1032274.980473</v>
      </c>
    </row>
    <row r="219" spans="1:14" x14ac:dyDescent="0.2">
      <c r="A219" s="16" t="s">
        <v>72</v>
      </c>
      <c r="B219" s="16">
        <f t="shared" si="5"/>
        <v>0</v>
      </c>
      <c r="F219" s="14"/>
      <c r="G219" s="14" t="s">
        <v>414</v>
      </c>
      <c r="H219" s="1">
        <f>C5+D6</f>
        <v>0</v>
      </c>
      <c r="N219" s="47">
        <f>(SUM(N210:N217)/1000)</f>
        <v>1032.2749804729999</v>
      </c>
    </row>
    <row r="220" spans="1:14" x14ac:dyDescent="0.2">
      <c r="A220" s="16" t="s">
        <v>73</v>
      </c>
      <c r="B220" s="16">
        <f t="shared" si="5"/>
        <v>0</v>
      </c>
      <c r="F220" s="14"/>
      <c r="G220" s="45" t="s">
        <v>415</v>
      </c>
      <c r="H220" s="1">
        <f>L15</f>
        <v>38204.550000000003</v>
      </c>
    </row>
    <row r="221" spans="1:14" x14ac:dyDescent="0.2">
      <c r="A221" s="16" t="s">
        <v>74</v>
      </c>
      <c r="B221" s="16">
        <f t="shared" si="5"/>
        <v>2.6017199999999998</v>
      </c>
      <c r="F221" s="14"/>
      <c r="G221" s="46" t="s">
        <v>352</v>
      </c>
      <c r="H221" s="47">
        <f>(SUM(H204:H220)/1000)</f>
        <v>1032.2749804729999</v>
      </c>
    </row>
    <row r="222" spans="1:14" x14ac:dyDescent="0.2">
      <c r="A222" s="16" t="s">
        <v>75</v>
      </c>
      <c r="B222" s="16">
        <f t="shared" si="5"/>
        <v>0</v>
      </c>
      <c r="F222" s="14"/>
      <c r="G222" s="14"/>
    </row>
    <row r="223" spans="1:14" x14ac:dyDescent="0.2">
      <c r="A223" s="16" t="s">
        <v>76</v>
      </c>
      <c r="B223" s="16">
        <f t="shared" si="5"/>
        <v>37179.343507999998</v>
      </c>
      <c r="F223" s="14"/>
      <c r="G223" s="14"/>
    </row>
    <row r="224" spans="1:14" x14ac:dyDescent="0.2">
      <c r="A224" s="16" t="s">
        <v>77</v>
      </c>
      <c r="B224" s="16">
        <f t="shared" si="5"/>
        <v>0</v>
      </c>
      <c r="F224" s="14"/>
      <c r="G224" s="14"/>
    </row>
    <row r="225" spans="1:20" x14ac:dyDescent="0.2">
      <c r="A225" s="16" t="s">
        <v>78</v>
      </c>
      <c r="B225" s="16">
        <f t="shared" si="5"/>
        <v>3164.632842</v>
      </c>
      <c r="F225" s="14"/>
      <c r="G225" s="14"/>
    </row>
    <row r="226" spans="1:20" x14ac:dyDescent="0.2">
      <c r="A226" s="16" t="s">
        <v>79</v>
      </c>
      <c r="B226" s="16">
        <f t="shared" si="5"/>
        <v>0</v>
      </c>
      <c r="F226" s="14"/>
      <c r="G226" s="14"/>
    </row>
    <row r="227" spans="1:20" x14ac:dyDescent="0.2">
      <c r="A227" s="16" t="s">
        <v>80</v>
      </c>
      <c r="B227" s="16">
        <f t="shared" si="5"/>
        <v>0</v>
      </c>
      <c r="F227" s="14"/>
      <c r="G227" s="14"/>
    </row>
    <row r="228" spans="1:20" x14ac:dyDescent="0.2">
      <c r="A228" s="16" t="s">
        <v>81</v>
      </c>
      <c r="B228" s="16">
        <f t="shared" si="5"/>
        <v>0</v>
      </c>
      <c r="F228" s="14"/>
      <c r="G228" s="4" t="s">
        <v>405</v>
      </c>
      <c r="H228" s="15" t="s">
        <v>450</v>
      </c>
      <c r="K228" s="4" t="s">
        <v>453</v>
      </c>
      <c r="L228" s="15"/>
      <c r="M228" s="15"/>
      <c r="N228" s="4" t="s">
        <v>455</v>
      </c>
      <c r="O228" s="15"/>
      <c r="P228" s="15"/>
      <c r="Q228" s="4" t="s">
        <v>456</v>
      </c>
      <c r="R228" s="15"/>
      <c r="S228" s="15"/>
      <c r="T228" s="15"/>
    </row>
    <row r="229" spans="1:20" x14ac:dyDescent="0.2">
      <c r="A229" s="16" t="s">
        <v>82</v>
      </c>
      <c r="B229" s="16">
        <f t="shared" si="5"/>
        <v>0</v>
      </c>
      <c r="F229" s="14"/>
      <c r="G229" s="14" t="s">
        <v>407</v>
      </c>
      <c r="H229" s="15">
        <f>((C3+C5)/1000)</f>
        <v>74.469331451000002</v>
      </c>
      <c r="K229" s="15" t="s">
        <v>249</v>
      </c>
      <c r="L229" s="16">
        <f>AD87</f>
        <v>166750.11189</v>
      </c>
      <c r="M229" s="15">
        <f t="shared" ref="M229:M235" si="6">L229/$L$239</f>
        <v>0.48928999999914141</v>
      </c>
      <c r="N229" s="16" t="s">
        <v>108</v>
      </c>
      <c r="O229" s="15">
        <f t="shared" ref="O229:O237" si="7">AC78</f>
        <v>68160.032655000003</v>
      </c>
      <c r="P229" s="15"/>
      <c r="Q229" s="16" t="s">
        <v>121</v>
      </c>
      <c r="R229" s="15">
        <f>AE95</f>
        <v>28199.937959999999</v>
      </c>
      <c r="S229" s="15"/>
      <c r="T229" s="15"/>
    </row>
    <row r="230" spans="1:20" x14ac:dyDescent="0.2">
      <c r="A230" s="16" t="s">
        <v>83</v>
      </c>
      <c r="B230" s="16">
        <f t="shared" si="5"/>
        <v>0</v>
      </c>
      <c r="F230" s="14"/>
      <c r="G230" s="14" t="s">
        <v>408</v>
      </c>
      <c r="H230" s="15">
        <f>((D4+D6)/1000)</f>
        <v>154.003813632</v>
      </c>
      <c r="K230" s="15" t="s">
        <v>250</v>
      </c>
      <c r="L230" s="16">
        <f>AD88</f>
        <v>104571.12209999999</v>
      </c>
      <c r="M230" s="15">
        <f t="shared" si="6"/>
        <v>0.30683999999935002</v>
      </c>
      <c r="N230" s="16" t="s">
        <v>109</v>
      </c>
      <c r="O230" s="15">
        <f t="shared" si="7"/>
        <v>30104.014423000001</v>
      </c>
      <c r="P230" s="15"/>
      <c r="Q230" s="16" t="s">
        <v>122</v>
      </c>
      <c r="R230" s="15">
        <f>AF96</f>
        <v>46346.598037000003</v>
      </c>
      <c r="S230" s="15"/>
      <c r="T230" s="15"/>
    </row>
    <row r="231" spans="1:20" x14ac:dyDescent="0.2">
      <c r="A231" s="16" t="s">
        <v>84</v>
      </c>
      <c r="B231" s="16">
        <f t="shared" si="5"/>
        <v>0</v>
      </c>
      <c r="F231" s="14"/>
      <c r="G231" s="14" t="s">
        <v>5</v>
      </c>
      <c r="H231" s="15">
        <f>-(F81+F90+F100+F85+F109+F97)/1000</f>
        <v>15.002866999</v>
      </c>
      <c r="K231" s="15" t="s">
        <v>361</v>
      </c>
      <c r="L231" s="16">
        <f>AD89</f>
        <v>41134.579707999997</v>
      </c>
      <c r="M231" s="15">
        <f t="shared" si="6"/>
        <v>0.1207000000010135</v>
      </c>
      <c r="N231" s="16" t="s">
        <v>110</v>
      </c>
      <c r="O231" s="15">
        <f t="shared" si="7"/>
        <v>0</v>
      </c>
      <c r="P231" s="15"/>
      <c r="Q231" s="16" t="s">
        <v>123</v>
      </c>
      <c r="R231" s="15">
        <f>AF97</f>
        <v>2439.2946339999999</v>
      </c>
      <c r="S231" s="15"/>
      <c r="T231" s="15"/>
    </row>
    <row r="232" spans="1:20" x14ac:dyDescent="0.2">
      <c r="A232" s="16" t="s">
        <v>85</v>
      </c>
      <c r="B232" s="16">
        <f t="shared" si="5"/>
        <v>0</v>
      </c>
      <c r="F232" s="14"/>
      <c r="G232" s="14" t="s">
        <v>451</v>
      </c>
      <c r="H232" s="15">
        <f>W28/1000</f>
        <v>21.667506380999999</v>
      </c>
      <c r="K232" s="15" t="s">
        <v>116</v>
      </c>
      <c r="L232" s="16">
        <f>AD90</f>
        <v>11304.341415999999</v>
      </c>
      <c r="M232" s="15">
        <f t="shared" si="6"/>
        <v>3.3170000000201705E-2</v>
      </c>
      <c r="N232" s="16" t="s">
        <v>111</v>
      </c>
      <c r="O232" s="15">
        <f t="shared" si="7"/>
        <v>11360.005443</v>
      </c>
      <c r="P232" s="15"/>
      <c r="Q232" s="16" t="s">
        <v>124</v>
      </c>
      <c r="R232" s="15">
        <f>AG98</f>
        <v>195787.939266</v>
      </c>
      <c r="S232" s="15"/>
      <c r="T232" s="15"/>
    </row>
    <row r="233" spans="1:20" x14ac:dyDescent="0.2">
      <c r="A233" s="16" t="s">
        <v>86</v>
      </c>
      <c r="B233" s="16">
        <f t="shared" si="5"/>
        <v>0</v>
      </c>
      <c r="F233" s="14"/>
      <c r="G233" s="14" t="s">
        <v>452</v>
      </c>
      <c r="H233" s="15">
        <f>-((M82+M99)/1000)</f>
        <v>0.57911386900000006</v>
      </c>
      <c r="K233" s="15" t="s">
        <v>117</v>
      </c>
      <c r="L233" s="15">
        <v>0</v>
      </c>
      <c r="M233" s="15">
        <f t="shared" si="6"/>
        <v>0</v>
      </c>
      <c r="N233" s="16" t="s">
        <v>112</v>
      </c>
      <c r="O233" s="15">
        <f t="shared" si="7"/>
        <v>568.000272</v>
      </c>
      <c r="P233" s="15"/>
      <c r="Q233" s="16" t="s">
        <v>125</v>
      </c>
      <c r="R233" s="15">
        <f>AG99</f>
        <v>1025.0677450000001</v>
      </c>
      <c r="S233" s="15"/>
      <c r="T233" s="15"/>
    </row>
    <row r="234" spans="1:20" x14ac:dyDescent="0.2">
      <c r="A234" s="16" t="s">
        <v>87</v>
      </c>
      <c r="B234" s="16">
        <f t="shared" si="5"/>
        <v>0</v>
      </c>
      <c r="F234" s="14"/>
      <c r="G234" s="14" t="s">
        <v>375</v>
      </c>
      <c r="H234" s="15">
        <f>-(B78+B83+B93+B95)/1000</f>
        <v>20.224752529999996</v>
      </c>
      <c r="K234" s="15" t="s">
        <v>119</v>
      </c>
      <c r="L234" s="16">
        <f>AD93</f>
        <v>17040.008163999999</v>
      </c>
      <c r="M234" s="15">
        <f t="shared" si="6"/>
        <v>5.0000000000293428E-2</v>
      </c>
      <c r="N234" s="16" t="s">
        <v>113</v>
      </c>
      <c r="O234" s="15">
        <f t="shared" si="7"/>
        <v>56800.027213000001</v>
      </c>
      <c r="P234" s="15"/>
      <c r="Q234" s="16" t="s">
        <v>126</v>
      </c>
      <c r="R234" s="15">
        <f>AG100</f>
        <v>8200.5419590000001</v>
      </c>
      <c r="S234" s="15"/>
      <c r="T234" s="15"/>
    </row>
    <row r="235" spans="1:20" x14ac:dyDescent="0.2">
      <c r="A235" s="16" t="s">
        <v>88</v>
      </c>
      <c r="B235" s="16">
        <f t="shared" si="5"/>
        <v>0</v>
      </c>
      <c r="F235" s="14"/>
      <c r="G235" s="14"/>
      <c r="K235" s="15" t="s">
        <v>120</v>
      </c>
      <c r="L235" s="15">
        <v>0</v>
      </c>
      <c r="M235" s="15">
        <f t="shared" si="6"/>
        <v>0</v>
      </c>
      <c r="N235" s="16" t="s">
        <v>358</v>
      </c>
      <c r="O235" s="15">
        <f t="shared" si="7"/>
        <v>2272.0010889999999</v>
      </c>
      <c r="P235" s="15"/>
      <c r="Q235" s="15"/>
      <c r="R235" s="15"/>
      <c r="S235" s="15"/>
      <c r="T235" s="15"/>
    </row>
    <row r="236" spans="1:20" x14ac:dyDescent="0.2">
      <c r="A236" s="16" t="s">
        <v>89</v>
      </c>
      <c r="B236" s="16">
        <f t="shared" si="5"/>
        <v>0</v>
      </c>
      <c r="F236" s="14"/>
      <c r="G236" s="14"/>
      <c r="K236" s="15"/>
      <c r="L236" s="15"/>
      <c r="M236" s="15"/>
      <c r="N236" s="16" t="s">
        <v>359</v>
      </c>
      <c r="O236" s="15">
        <f t="shared" si="7"/>
        <v>1136.000544</v>
      </c>
      <c r="P236" s="15"/>
      <c r="Q236" s="15"/>
      <c r="R236" s="15"/>
      <c r="S236" s="15"/>
      <c r="T236" s="15"/>
    </row>
    <row r="237" spans="1:20" x14ac:dyDescent="0.2">
      <c r="A237" s="16" t="s">
        <v>90</v>
      </c>
      <c r="B237" s="16">
        <f t="shared" si="5"/>
        <v>0</v>
      </c>
      <c r="F237" s="14"/>
      <c r="G237" s="14"/>
      <c r="K237" s="15"/>
      <c r="L237" s="15"/>
      <c r="M237" s="15"/>
      <c r="N237" s="16" t="s">
        <v>360</v>
      </c>
      <c r="O237" s="15">
        <f t="shared" si="7"/>
        <v>56800.027213000001</v>
      </c>
      <c r="P237" s="15"/>
      <c r="Q237" s="15"/>
      <c r="R237" s="15"/>
      <c r="S237" s="15"/>
      <c r="T237" s="15"/>
    </row>
    <row r="238" spans="1:20" x14ac:dyDescent="0.2">
      <c r="A238" s="16" t="s">
        <v>91</v>
      </c>
      <c r="B238" s="16">
        <f t="shared" si="5"/>
        <v>0</v>
      </c>
      <c r="F238" s="14"/>
      <c r="G238" s="14"/>
      <c r="K238" s="15"/>
      <c r="M238" s="15"/>
      <c r="N238" s="15"/>
      <c r="O238" s="15"/>
      <c r="P238" s="15"/>
      <c r="Q238" s="15"/>
      <c r="R238" s="15"/>
      <c r="S238" s="15"/>
      <c r="T238" s="15"/>
    </row>
    <row r="239" spans="1:20" x14ac:dyDescent="0.2">
      <c r="A239" s="16" t="s">
        <v>92</v>
      </c>
      <c r="B239" s="16">
        <f t="shared" si="5"/>
        <v>0</v>
      </c>
      <c r="F239" s="14"/>
      <c r="G239" s="14"/>
      <c r="L239" s="15">
        <f>SUM(L229:L235)</f>
        <v>340800.16327799996</v>
      </c>
      <c r="N239" s="15"/>
      <c r="O239" s="15">
        <f>SUM(O229:O237)</f>
        <v>227200.108852</v>
      </c>
      <c r="P239" s="15"/>
      <c r="Q239" s="15"/>
      <c r="R239" s="15">
        <f>SUM(R229:R234)</f>
        <v>281999.37960099999</v>
      </c>
      <c r="S239" s="15"/>
      <c r="T239" s="15">
        <f>SUM(L239:R239)</f>
        <v>849999.65173099993</v>
      </c>
    </row>
    <row r="240" spans="1:20" x14ac:dyDescent="0.2">
      <c r="A240" s="16" t="s">
        <v>93</v>
      </c>
      <c r="B240" s="16">
        <f t="shared" si="5"/>
        <v>0</v>
      </c>
      <c r="F240" s="14"/>
      <c r="G240" s="14"/>
    </row>
    <row r="241" spans="1:12" x14ac:dyDescent="0.2">
      <c r="A241" s="16" t="s">
        <v>94</v>
      </c>
      <c r="B241" s="16">
        <f t="shared" si="5"/>
        <v>0</v>
      </c>
      <c r="F241" s="14"/>
      <c r="G241" s="14"/>
    </row>
    <row r="242" spans="1:12" x14ac:dyDescent="0.2">
      <c r="A242" s="16" t="s">
        <v>95</v>
      </c>
      <c r="B242" s="16">
        <f t="shared" si="5"/>
        <v>-22461.123314</v>
      </c>
      <c r="F242" s="14"/>
      <c r="G242" s="14"/>
    </row>
    <row r="243" spans="1:12" x14ac:dyDescent="0.2">
      <c r="A243" s="16" t="s">
        <v>96</v>
      </c>
      <c r="B243" s="16">
        <f t="shared" si="5"/>
        <v>0</v>
      </c>
      <c r="F243" s="14"/>
      <c r="G243" s="14"/>
      <c r="L243" s="48">
        <f>(L234+O234+O229+R229)/T239</f>
        <v>0.20023538320914905</v>
      </c>
    </row>
    <row r="244" spans="1:12" x14ac:dyDescent="0.2">
      <c r="A244" s="16" t="s">
        <v>97</v>
      </c>
      <c r="B244" s="16">
        <f t="shared" si="5"/>
        <v>0</v>
      </c>
      <c r="F244" s="14"/>
      <c r="G244" s="14"/>
    </row>
    <row r="245" spans="1:12" x14ac:dyDescent="0.2">
      <c r="A245" s="16" t="s">
        <v>98</v>
      </c>
      <c r="B245" s="16">
        <f t="shared" si="5"/>
        <v>0</v>
      </c>
      <c r="F245" s="14"/>
      <c r="G245" s="14"/>
    </row>
    <row r="246" spans="1:12" x14ac:dyDescent="0.2">
      <c r="A246" s="16" t="s">
        <v>99</v>
      </c>
      <c r="B246" s="16">
        <f t="shared" si="5"/>
        <v>0</v>
      </c>
      <c r="F246" s="14"/>
      <c r="G246" s="14"/>
    </row>
    <row r="247" spans="1:12" x14ac:dyDescent="0.2">
      <c r="A247" s="16" t="s">
        <v>100</v>
      </c>
      <c r="B247" s="16">
        <f t="shared" si="5"/>
        <v>0</v>
      </c>
      <c r="F247" s="14"/>
      <c r="G247" s="14"/>
    </row>
    <row r="248" spans="1:12" x14ac:dyDescent="0.2">
      <c r="A248" s="16" t="s">
        <v>101</v>
      </c>
      <c r="B248" s="16">
        <f t="shared" si="5"/>
        <v>0</v>
      </c>
      <c r="F248" s="14"/>
      <c r="G248" s="14"/>
    </row>
    <row r="249" spans="1:12" x14ac:dyDescent="0.2">
      <c r="A249" s="16" t="s">
        <v>102</v>
      </c>
      <c r="B249" s="16">
        <f t="shared" si="5"/>
        <v>0</v>
      </c>
      <c r="F249" s="14"/>
      <c r="G249" s="14"/>
    </row>
    <row r="250" spans="1:12" x14ac:dyDescent="0.2">
      <c r="A250" s="16" t="s">
        <v>103</v>
      </c>
      <c r="B250" s="16">
        <f t="shared" si="5"/>
        <v>0</v>
      </c>
      <c r="F250" s="14"/>
      <c r="G250" s="14"/>
    </row>
    <row r="251" spans="1:12" x14ac:dyDescent="0.2">
      <c r="A251" s="16" t="s">
        <v>104</v>
      </c>
      <c r="B251" s="16">
        <f t="shared" si="5"/>
        <v>0</v>
      </c>
      <c r="F251" s="14"/>
      <c r="G251" s="14"/>
    </row>
    <row r="252" spans="1:12" x14ac:dyDescent="0.2">
      <c r="A252" s="16" t="s">
        <v>105</v>
      </c>
      <c r="B252" s="16">
        <f t="shared" si="5"/>
        <v>0</v>
      </c>
      <c r="F252" s="14"/>
      <c r="G252" s="14"/>
    </row>
    <row r="253" spans="1:12" x14ac:dyDescent="0.2">
      <c r="A253" s="16" t="s">
        <v>106</v>
      </c>
      <c r="B253" s="16">
        <f t="shared" si="5"/>
        <v>-11834.338797</v>
      </c>
      <c r="F253" s="14"/>
      <c r="G253" s="14"/>
    </row>
    <row r="254" spans="1:12" x14ac:dyDescent="0.2">
      <c r="A254" s="16" t="s">
        <v>107</v>
      </c>
      <c r="B254" s="16">
        <f t="shared" si="5"/>
        <v>-4057.2</v>
      </c>
      <c r="F254" s="14"/>
      <c r="G254" s="14"/>
    </row>
    <row r="255" spans="1:12" x14ac:dyDescent="0.2">
      <c r="A255" s="16" t="s">
        <v>108</v>
      </c>
      <c r="B255" s="16">
        <f t="shared" si="5"/>
        <v>-11266.853397999999</v>
      </c>
      <c r="F255" s="14"/>
      <c r="G255" s="14"/>
    </row>
    <row r="256" spans="1:12" x14ac:dyDescent="0.2">
      <c r="A256" s="16" t="s">
        <v>109</v>
      </c>
      <c r="B256" s="16">
        <f t="shared" si="5"/>
        <v>0</v>
      </c>
      <c r="F256" s="14"/>
      <c r="G256" s="14"/>
    </row>
    <row r="257" spans="1:7" x14ac:dyDescent="0.2">
      <c r="A257" s="16" t="s">
        <v>110</v>
      </c>
      <c r="B257" s="16">
        <f t="shared" si="5"/>
        <v>0</v>
      </c>
      <c r="F257" s="14"/>
      <c r="G257" s="14"/>
    </row>
    <row r="258" spans="1:7" x14ac:dyDescent="0.2">
      <c r="A258" s="16" t="s">
        <v>111</v>
      </c>
      <c r="B258" s="16">
        <f t="shared" si="5"/>
        <v>0</v>
      </c>
      <c r="F258" s="14"/>
      <c r="G258" s="14"/>
    </row>
    <row r="259" spans="1:7" x14ac:dyDescent="0.2">
      <c r="A259" s="16" t="s">
        <v>112</v>
      </c>
      <c r="B259" s="16">
        <f t="shared" si="5"/>
        <v>0</v>
      </c>
      <c r="F259" s="14"/>
      <c r="G259" s="14"/>
    </row>
    <row r="260" spans="1:7" x14ac:dyDescent="0.2">
      <c r="A260" s="16" t="s">
        <v>113</v>
      </c>
      <c r="B260" s="16">
        <f t="shared" si="5"/>
        <v>-5208.5624950000001</v>
      </c>
      <c r="F260" s="14"/>
      <c r="G260" s="14"/>
    </row>
    <row r="261" spans="1:7" s="15" customFormat="1" x14ac:dyDescent="0.2">
      <c r="A261" s="16" t="s">
        <v>358</v>
      </c>
      <c r="B261" s="16">
        <f t="shared" si="5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5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5"/>
        <v>0</v>
      </c>
      <c r="F263" s="14"/>
      <c r="G263" s="14"/>
    </row>
    <row r="264" spans="1:7" x14ac:dyDescent="0.2">
      <c r="A264" s="16" t="s">
        <v>114</v>
      </c>
      <c r="B264" s="16">
        <f t="shared" si="5"/>
        <v>0</v>
      </c>
      <c r="F264" s="14"/>
      <c r="G264" s="14"/>
    </row>
    <row r="265" spans="1:7" x14ac:dyDescent="0.2">
      <c r="A265" s="16" t="s">
        <v>115</v>
      </c>
      <c r="B265" s="16">
        <f t="shared" si="5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5"/>
        <v>0</v>
      </c>
      <c r="F266" s="14"/>
      <c r="G266" s="14"/>
    </row>
    <row r="267" spans="1:7" x14ac:dyDescent="0.2">
      <c r="A267" s="16" t="s">
        <v>116</v>
      </c>
      <c r="B267" s="16">
        <f t="shared" si="5"/>
        <v>0</v>
      </c>
      <c r="F267" s="14"/>
      <c r="G267" s="14"/>
    </row>
    <row r="268" spans="1:7" x14ac:dyDescent="0.2">
      <c r="A268" s="16" t="s">
        <v>117</v>
      </c>
      <c r="B268" s="16">
        <f t="shared" si="5"/>
        <v>0</v>
      </c>
      <c r="F268" s="14"/>
      <c r="G268" s="14"/>
    </row>
    <row r="269" spans="1:7" x14ac:dyDescent="0.2">
      <c r="A269" s="16" t="s">
        <v>118</v>
      </c>
      <c r="B269" s="16">
        <f t="shared" si="5"/>
        <v>0</v>
      </c>
      <c r="F269" s="14"/>
      <c r="G269" s="14"/>
    </row>
    <row r="270" spans="1:7" x14ac:dyDescent="0.2">
      <c r="A270" s="16" t="s">
        <v>119</v>
      </c>
      <c r="B270" s="16">
        <f t="shared" ref="B270:B324" si="8">B93</f>
        <v>-1823.280874</v>
      </c>
      <c r="F270" s="14"/>
      <c r="G270" s="14"/>
    </row>
    <row r="271" spans="1:7" x14ac:dyDescent="0.2">
      <c r="A271" s="16" t="s">
        <v>120</v>
      </c>
      <c r="B271" s="16">
        <f t="shared" si="8"/>
        <v>0</v>
      </c>
      <c r="F271" s="14"/>
      <c r="G271" s="14"/>
    </row>
    <row r="272" spans="1:7" x14ac:dyDescent="0.2">
      <c r="A272" s="16" t="s">
        <v>121</v>
      </c>
      <c r="B272" s="16">
        <f t="shared" si="8"/>
        <v>-1926.0557630000001</v>
      </c>
      <c r="F272" s="14"/>
      <c r="G272" s="14"/>
    </row>
    <row r="273" spans="1:7" x14ac:dyDescent="0.2">
      <c r="A273" s="16" t="s">
        <v>122</v>
      </c>
      <c r="B273" s="16">
        <f t="shared" si="8"/>
        <v>0</v>
      </c>
      <c r="F273" s="14"/>
      <c r="G273" s="14"/>
    </row>
    <row r="274" spans="1:7" x14ac:dyDescent="0.2">
      <c r="A274" s="16" t="s">
        <v>123</v>
      </c>
      <c r="B274" s="16">
        <f t="shared" si="8"/>
        <v>0</v>
      </c>
      <c r="F274" s="14"/>
      <c r="G274" s="14"/>
    </row>
    <row r="275" spans="1:7" x14ac:dyDescent="0.2">
      <c r="A275" s="16" t="s">
        <v>124</v>
      </c>
      <c r="B275" s="16">
        <f t="shared" si="8"/>
        <v>0</v>
      </c>
      <c r="F275" s="14"/>
      <c r="G275" s="14"/>
    </row>
    <row r="276" spans="1:7" x14ac:dyDescent="0.2">
      <c r="A276" s="16" t="s">
        <v>125</v>
      </c>
      <c r="B276" s="16">
        <f t="shared" si="8"/>
        <v>0</v>
      </c>
      <c r="F276" s="14"/>
      <c r="G276" s="14"/>
    </row>
    <row r="277" spans="1:7" x14ac:dyDescent="0.2">
      <c r="A277" s="16" t="s">
        <v>126</v>
      </c>
      <c r="B277" s="16">
        <f t="shared" si="8"/>
        <v>0</v>
      </c>
      <c r="F277" s="14"/>
      <c r="G277" s="14"/>
    </row>
    <row r="278" spans="1:7" x14ac:dyDescent="0.2">
      <c r="A278" s="16" t="s">
        <v>127</v>
      </c>
      <c r="B278" s="16">
        <f t="shared" si="8"/>
        <v>0</v>
      </c>
      <c r="F278" s="14"/>
      <c r="G278" s="14"/>
    </row>
    <row r="279" spans="1:7" x14ac:dyDescent="0.2">
      <c r="A279" s="16" t="s">
        <v>128</v>
      </c>
      <c r="B279" s="16">
        <f t="shared" si="8"/>
        <v>0</v>
      </c>
      <c r="F279" s="14"/>
      <c r="G279" s="14"/>
    </row>
    <row r="280" spans="1:7" x14ac:dyDescent="0.2">
      <c r="A280" s="16" t="s">
        <v>129</v>
      </c>
      <c r="B280" s="16">
        <f t="shared" si="8"/>
        <v>0</v>
      </c>
      <c r="F280" s="14"/>
      <c r="G280" s="14"/>
    </row>
    <row r="281" spans="1:7" x14ac:dyDescent="0.2">
      <c r="A281" s="16" t="s">
        <v>130</v>
      </c>
      <c r="B281" s="16">
        <f t="shared" si="8"/>
        <v>0</v>
      </c>
      <c r="F281" s="14"/>
      <c r="G281" s="14"/>
    </row>
    <row r="282" spans="1:7" x14ac:dyDescent="0.2">
      <c r="A282" s="16" t="s">
        <v>131</v>
      </c>
      <c r="B282" s="16">
        <f t="shared" si="8"/>
        <v>0</v>
      </c>
      <c r="F282" s="14"/>
      <c r="G282" s="14"/>
    </row>
    <row r="283" spans="1:7" x14ac:dyDescent="0.2">
      <c r="A283" s="16" t="s">
        <v>132</v>
      </c>
      <c r="B283" s="16">
        <f t="shared" si="8"/>
        <v>0</v>
      </c>
      <c r="F283" s="14"/>
      <c r="G283" s="14"/>
    </row>
    <row r="284" spans="1:7" x14ac:dyDescent="0.2">
      <c r="A284" s="16" t="s">
        <v>133</v>
      </c>
      <c r="B284" s="16">
        <f t="shared" si="8"/>
        <v>0</v>
      </c>
      <c r="F284" s="14"/>
      <c r="G284" s="14"/>
    </row>
    <row r="285" spans="1:7" x14ac:dyDescent="0.2">
      <c r="A285" s="16" t="s">
        <v>134</v>
      </c>
      <c r="B285" s="16">
        <f t="shared" si="8"/>
        <v>0</v>
      </c>
      <c r="F285" s="14"/>
      <c r="G285" s="14"/>
    </row>
    <row r="286" spans="1:7" x14ac:dyDescent="0.2">
      <c r="A286" s="16" t="s">
        <v>135</v>
      </c>
      <c r="B286" s="16">
        <f t="shared" si="8"/>
        <v>0</v>
      </c>
      <c r="F286" s="14"/>
      <c r="G286" s="14"/>
    </row>
    <row r="287" spans="1:7" x14ac:dyDescent="0.2">
      <c r="A287" s="16" t="s">
        <v>136</v>
      </c>
      <c r="B287" s="16">
        <f t="shared" si="8"/>
        <v>0</v>
      </c>
      <c r="F287" s="14"/>
      <c r="G287" s="14"/>
    </row>
    <row r="288" spans="1:7" x14ac:dyDescent="0.2">
      <c r="A288" s="16" t="s">
        <v>137</v>
      </c>
      <c r="B288" s="16">
        <f t="shared" si="8"/>
        <v>0</v>
      </c>
      <c r="F288" s="14"/>
      <c r="G288" s="14"/>
    </row>
    <row r="289" spans="1:7" x14ac:dyDescent="0.2">
      <c r="A289" s="16" t="s">
        <v>138</v>
      </c>
      <c r="B289" s="16">
        <f t="shared" si="8"/>
        <v>346.92158799999999</v>
      </c>
      <c r="F289" s="14"/>
      <c r="G289" s="14"/>
    </row>
    <row r="290" spans="1:7" x14ac:dyDescent="0.2">
      <c r="A290" s="16" t="s">
        <v>139</v>
      </c>
      <c r="B290" s="16">
        <f t="shared" si="8"/>
        <v>0</v>
      </c>
      <c r="F290" s="14"/>
      <c r="G290" s="14"/>
    </row>
    <row r="291" spans="1:7" x14ac:dyDescent="0.2">
      <c r="A291" s="16" t="s">
        <v>140</v>
      </c>
      <c r="B291" s="16">
        <f t="shared" si="8"/>
        <v>0</v>
      </c>
      <c r="F291" s="14"/>
      <c r="G291" s="14"/>
    </row>
    <row r="292" spans="1:7" x14ac:dyDescent="0.2">
      <c r="A292" s="16" t="s">
        <v>141</v>
      </c>
      <c r="B292" s="16">
        <f t="shared" si="8"/>
        <v>0</v>
      </c>
      <c r="F292" s="14"/>
      <c r="G292" s="14"/>
    </row>
    <row r="293" spans="1:7" x14ac:dyDescent="0.2">
      <c r="A293" s="16" t="s">
        <v>142</v>
      </c>
      <c r="B293" s="16">
        <f t="shared" si="8"/>
        <v>0</v>
      </c>
      <c r="F293" s="14"/>
      <c r="G293" s="14"/>
    </row>
    <row r="294" spans="1:7" x14ac:dyDescent="0.2">
      <c r="A294" s="16" t="s">
        <v>143</v>
      </c>
      <c r="B294" s="16">
        <f t="shared" si="8"/>
        <v>0</v>
      </c>
      <c r="F294" s="14"/>
      <c r="G294" s="14"/>
    </row>
    <row r="295" spans="1:7" x14ac:dyDescent="0.2">
      <c r="A295" s="16" t="s">
        <v>144</v>
      </c>
      <c r="B295" s="16">
        <f t="shared" si="8"/>
        <v>0</v>
      </c>
      <c r="F295" s="14"/>
      <c r="G295" s="14"/>
    </row>
    <row r="296" spans="1:7" x14ac:dyDescent="0.2">
      <c r="A296" s="16" t="s">
        <v>145</v>
      </c>
      <c r="B296" s="16">
        <f t="shared" si="8"/>
        <v>0</v>
      </c>
      <c r="F296" s="14"/>
      <c r="G296" s="14"/>
    </row>
    <row r="297" spans="1:7" x14ac:dyDescent="0.2">
      <c r="A297" s="16" t="s">
        <v>146</v>
      </c>
      <c r="B297" s="16">
        <f t="shared" si="8"/>
        <v>0</v>
      </c>
    </row>
    <row r="298" spans="1:7" x14ac:dyDescent="0.2">
      <c r="A298" s="16" t="s">
        <v>147</v>
      </c>
      <c r="B298" s="16">
        <f t="shared" si="8"/>
        <v>0</v>
      </c>
    </row>
    <row r="299" spans="1:7" x14ac:dyDescent="0.2">
      <c r="A299" s="16" t="s">
        <v>148</v>
      </c>
      <c r="B299" s="16">
        <f t="shared" si="8"/>
        <v>-238.591138</v>
      </c>
    </row>
    <row r="300" spans="1:7" x14ac:dyDescent="0.2">
      <c r="A300" s="16" t="s">
        <v>149</v>
      </c>
      <c r="B300" s="16">
        <f t="shared" si="8"/>
        <v>0</v>
      </c>
    </row>
    <row r="301" spans="1:7" x14ac:dyDescent="0.2">
      <c r="A301" s="16" t="s">
        <v>150</v>
      </c>
      <c r="B301" s="16">
        <f t="shared" si="8"/>
        <v>0</v>
      </c>
    </row>
    <row r="302" spans="1:7" x14ac:dyDescent="0.2">
      <c r="A302" s="16" t="s">
        <v>151</v>
      </c>
      <c r="B302" s="16">
        <f t="shared" si="8"/>
        <v>-199.04473400000001</v>
      </c>
    </row>
    <row r="303" spans="1:7" x14ac:dyDescent="0.2">
      <c r="A303" s="16" t="s">
        <v>152</v>
      </c>
      <c r="B303" s="16">
        <f t="shared" si="8"/>
        <v>0</v>
      </c>
    </row>
    <row r="304" spans="1:7" x14ac:dyDescent="0.2">
      <c r="A304" s="16" t="s">
        <v>153</v>
      </c>
      <c r="B304" s="16">
        <f t="shared" si="8"/>
        <v>0</v>
      </c>
    </row>
    <row r="305" spans="1:2" x14ac:dyDescent="0.2">
      <c r="A305" s="16" t="s">
        <v>154</v>
      </c>
      <c r="B305" s="16">
        <f t="shared" si="8"/>
        <v>0</v>
      </c>
    </row>
    <row r="306" spans="1:2" x14ac:dyDescent="0.2">
      <c r="A306" s="16" t="s">
        <v>155</v>
      </c>
      <c r="B306" s="16">
        <f t="shared" si="8"/>
        <v>0</v>
      </c>
    </row>
    <row r="307" spans="1:2" x14ac:dyDescent="0.2">
      <c r="A307" s="16" t="s">
        <v>156</v>
      </c>
      <c r="B307" s="16">
        <f t="shared" si="8"/>
        <v>0</v>
      </c>
    </row>
    <row r="308" spans="1:2" x14ac:dyDescent="0.2">
      <c r="A308" s="16" t="s">
        <v>157</v>
      </c>
      <c r="B308" s="16">
        <f t="shared" si="8"/>
        <v>0</v>
      </c>
    </row>
    <row r="309" spans="1:2" x14ac:dyDescent="0.2">
      <c r="A309" s="16" t="s">
        <v>158</v>
      </c>
      <c r="B309" s="16">
        <f t="shared" si="8"/>
        <v>0</v>
      </c>
    </row>
    <row r="310" spans="1:2" x14ac:dyDescent="0.2">
      <c r="A310" s="16" t="s">
        <v>159</v>
      </c>
      <c r="B310" s="16">
        <f t="shared" si="8"/>
        <v>0</v>
      </c>
    </row>
    <row r="311" spans="1:2" x14ac:dyDescent="0.2">
      <c r="A311" s="16" t="s">
        <v>160</v>
      </c>
      <c r="B311" s="16">
        <f t="shared" si="8"/>
        <v>0</v>
      </c>
    </row>
    <row r="312" spans="1:2" x14ac:dyDescent="0.2">
      <c r="A312" s="16" t="s">
        <v>161</v>
      </c>
      <c r="B312" s="16">
        <f t="shared" si="8"/>
        <v>0</v>
      </c>
    </row>
    <row r="313" spans="1:2" x14ac:dyDescent="0.2">
      <c r="A313" s="16" t="s">
        <v>162</v>
      </c>
      <c r="B313" s="16">
        <f t="shared" si="8"/>
        <v>0</v>
      </c>
    </row>
    <row r="314" spans="1:2" x14ac:dyDescent="0.2">
      <c r="A314" s="16" t="s">
        <v>163</v>
      </c>
      <c r="B314" s="16">
        <f t="shared" si="8"/>
        <v>0</v>
      </c>
    </row>
    <row r="315" spans="1:2" x14ac:dyDescent="0.2">
      <c r="A315" s="16" t="s">
        <v>164</v>
      </c>
      <c r="B315" s="16">
        <f t="shared" si="8"/>
        <v>0</v>
      </c>
    </row>
    <row r="316" spans="1:2" x14ac:dyDescent="0.2">
      <c r="A316" s="16" t="s">
        <v>165</v>
      </c>
      <c r="B316" s="16">
        <f t="shared" si="8"/>
        <v>0</v>
      </c>
    </row>
    <row r="317" spans="1:2" x14ac:dyDescent="0.2">
      <c r="A317" s="16" t="s">
        <v>166</v>
      </c>
      <c r="B317" s="16">
        <f t="shared" si="8"/>
        <v>0</v>
      </c>
    </row>
    <row r="318" spans="1:2" x14ac:dyDescent="0.2">
      <c r="A318" s="16" t="s">
        <v>167</v>
      </c>
      <c r="B318" s="16">
        <f t="shared" si="8"/>
        <v>0</v>
      </c>
    </row>
    <row r="319" spans="1:2" x14ac:dyDescent="0.2">
      <c r="A319" s="16" t="s">
        <v>168</v>
      </c>
      <c r="B319" s="16">
        <f t="shared" si="8"/>
        <v>0</v>
      </c>
    </row>
    <row r="320" spans="1:2" x14ac:dyDescent="0.2">
      <c r="A320" s="16" t="s">
        <v>169</v>
      </c>
      <c r="B320" s="16">
        <f t="shared" si="8"/>
        <v>0</v>
      </c>
    </row>
    <row r="321" spans="1:2" x14ac:dyDescent="0.2">
      <c r="A321" s="16" t="s">
        <v>170</v>
      </c>
      <c r="B321" s="16">
        <f t="shared" si="8"/>
        <v>0</v>
      </c>
    </row>
    <row r="322" spans="1:2" x14ac:dyDescent="0.2">
      <c r="A322" s="16" t="s">
        <v>171</v>
      </c>
      <c r="B322" s="16">
        <f t="shared" si="8"/>
        <v>0</v>
      </c>
    </row>
    <row r="323" spans="1:2" x14ac:dyDescent="0.2">
      <c r="A323" s="16" t="s">
        <v>172</v>
      </c>
      <c r="B323" s="16">
        <f t="shared" si="8"/>
        <v>0</v>
      </c>
    </row>
    <row r="324" spans="1:2" x14ac:dyDescent="0.2">
      <c r="A324" s="6" t="s">
        <v>173</v>
      </c>
      <c r="B324" s="6">
        <f t="shared" si="8"/>
        <v>233585.31223000001</v>
      </c>
    </row>
    <row r="325" spans="1:2" x14ac:dyDescent="0.2">
      <c r="B325" s="14"/>
    </row>
  </sheetData>
  <mergeCells count="3">
    <mergeCell ref="J172:J174"/>
    <mergeCell ref="J176:J178"/>
    <mergeCell ref="X152:Z15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topLeftCell="A119" zoomScale="85" zoomScaleNormal="85" workbookViewId="0">
      <selection activeCell="B3" sqref="B3:M120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35675.267412000001</v>
      </c>
      <c r="C3" s="16">
        <v>757.79850499999998</v>
      </c>
      <c r="D3" s="16">
        <v>60</v>
      </c>
      <c r="E3" s="16">
        <v>7.3621999999999996</v>
      </c>
      <c r="F3" s="16">
        <v>7.3621999999999996</v>
      </c>
      <c r="G3" s="16">
        <v>7.3621999999999996</v>
      </c>
      <c r="H3" s="16">
        <v>0</v>
      </c>
      <c r="I3" s="16">
        <v>0.217358</v>
      </c>
      <c r="J3" s="16">
        <v>1</v>
      </c>
      <c r="K3" s="16">
        <v>0.84899999999999998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21064.644348999998</v>
      </c>
      <c r="C4" s="16">
        <v>538.36326199999996</v>
      </c>
      <c r="D4" s="16">
        <v>25</v>
      </c>
      <c r="E4" s="16">
        <v>27.286100000000001</v>
      </c>
      <c r="F4" s="16">
        <v>27.286100000000001</v>
      </c>
      <c r="G4" s="16">
        <v>27.286100000000001</v>
      </c>
      <c r="H4" s="16">
        <v>0</v>
      </c>
      <c r="I4" s="16">
        <v>0.14232900000000001</v>
      </c>
      <c r="J4" s="16">
        <v>1</v>
      </c>
      <c r="K4" s="16">
        <v>0.15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5448.6678060000004</v>
      </c>
      <c r="C5" s="16">
        <v>64.307332000000002</v>
      </c>
      <c r="D5" s="16">
        <v>35</v>
      </c>
      <c r="E5" s="16">
        <v>2.165</v>
      </c>
      <c r="F5" s="16">
        <v>2.165</v>
      </c>
      <c r="G5" s="16">
        <v>2.165</v>
      </c>
      <c r="H5" s="16">
        <v>0</v>
      </c>
      <c r="I5" s="16">
        <v>4.6526999999999999E-2</v>
      </c>
      <c r="J5" s="16">
        <v>1</v>
      </c>
      <c r="K5" s="16">
        <v>0.61799999999999999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16461.27</v>
      </c>
      <c r="C7" s="16">
        <v>204.63061500000001</v>
      </c>
      <c r="D7" s="16">
        <v>25</v>
      </c>
      <c r="E7" s="16">
        <v>4.6639999999999997</v>
      </c>
      <c r="F7" s="16">
        <v>18.920999999999999</v>
      </c>
      <c r="G7" s="16">
        <v>18.920999999999999</v>
      </c>
      <c r="H7" s="16">
        <v>0</v>
      </c>
      <c r="I7" s="16">
        <v>0.12828100000000001</v>
      </c>
      <c r="J7" s="16">
        <v>1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2321.5568250000001</v>
      </c>
      <c r="C8" s="16">
        <v>139.23962499999999</v>
      </c>
      <c r="D8" s="16">
        <v>25</v>
      </c>
      <c r="E8" s="16">
        <v>2.2225000000000001</v>
      </c>
      <c r="F8" s="16">
        <v>2.2225000000000001</v>
      </c>
      <c r="G8" s="16">
        <v>2.2225000000000001</v>
      </c>
      <c r="H8" s="16">
        <v>0</v>
      </c>
      <c r="I8" s="16">
        <v>2.1472999999999999E-2</v>
      </c>
      <c r="J8" s="16">
        <v>1</v>
      </c>
      <c r="K8" s="16">
        <v>0.27783600000000003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39.177689999999998</v>
      </c>
      <c r="C9" s="16">
        <v>3.2130000000000001</v>
      </c>
      <c r="D9" s="16">
        <v>25</v>
      </c>
      <c r="E9" s="16">
        <v>5.0999999999999997E-2</v>
      </c>
      <c r="F9" s="16">
        <v>5.0999999999999997E-2</v>
      </c>
      <c r="G9" s="16">
        <v>5.0999999999999997E-2</v>
      </c>
      <c r="H9" s="16">
        <v>0</v>
      </c>
      <c r="I9" s="16">
        <v>7.7899999999999996E-4</v>
      </c>
      <c r="J9" s="16">
        <v>1</v>
      </c>
      <c r="K9" s="16">
        <v>0.43940299999999999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15.345000000000001</v>
      </c>
      <c r="C10" s="16">
        <v>0.24115500000000001</v>
      </c>
      <c r="D10" s="16">
        <v>30</v>
      </c>
      <c r="E10" s="16">
        <v>2.2499999999999998E-3</v>
      </c>
      <c r="F10" s="16">
        <v>2.2499999999999998E-3</v>
      </c>
      <c r="G10" s="16">
        <v>2.2499999999999998E-3</v>
      </c>
      <c r="H10" s="16">
        <v>0</v>
      </c>
      <c r="I10" s="16">
        <v>1.0000000000000001E-5</v>
      </c>
      <c r="J10" s="16">
        <v>1</v>
      </c>
      <c r="K10" s="16">
        <v>0.12589500000000001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39554.32</v>
      </c>
      <c r="C11" s="16">
        <v>109.91537</v>
      </c>
      <c r="D11" s="16">
        <v>30</v>
      </c>
      <c r="E11" s="16">
        <v>23.02</v>
      </c>
      <c r="F11" s="16">
        <v>38.033000000000001</v>
      </c>
      <c r="G11" s="16">
        <v>38.033000000000001</v>
      </c>
      <c r="H11" s="16">
        <v>0</v>
      </c>
      <c r="I11" s="16">
        <v>0.33185599999999998</v>
      </c>
      <c r="J11" s="16">
        <v>1</v>
      </c>
      <c r="K11" s="16">
        <v>0.250917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68305.470967999994</v>
      </c>
      <c r="C13" s="16">
        <v>341.49976900000001</v>
      </c>
      <c r="D13" s="16">
        <v>40</v>
      </c>
      <c r="E13" s="16">
        <v>16.2605</v>
      </c>
      <c r="F13" s="16">
        <v>16.2605</v>
      </c>
      <c r="G13" s="16">
        <v>16.3</v>
      </c>
      <c r="H13" s="16">
        <v>0</v>
      </c>
      <c r="I13" s="16">
        <v>7.8690999999999997E-2</v>
      </c>
      <c r="J13" s="16">
        <v>1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5888.2287530000003</v>
      </c>
      <c r="C14" s="16">
        <v>58.877150999999998</v>
      </c>
      <c r="D14" s="16">
        <v>40</v>
      </c>
      <c r="E14" s="16">
        <v>1.1671499999999999</v>
      </c>
      <c r="F14" s="16">
        <v>1.16716</v>
      </c>
      <c r="G14" s="16">
        <v>1.16716</v>
      </c>
      <c r="H14" s="16">
        <v>0</v>
      </c>
      <c r="I14" s="16">
        <v>3.2687000000000001E-2</v>
      </c>
      <c r="J14" s="16">
        <v>1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7.0000000000000007E-2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7.0000000000000007E-2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0.56697299999999995</v>
      </c>
      <c r="C18" s="16">
        <v>1.2474000000000001E-2</v>
      </c>
      <c r="D18" s="16">
        <v>20</v>
      </c>
      <c r="E18" s="16">
        <v>2.9599999999999998E-4</v>
      </c>
      <c r="F18" s="16">
        <v>2.9700000000000001E-4</v>
      </c>
      <c r="G18" s="16">
        <v>2.9700000000000001E-4</v>
      </c>
      <c r="H18" s="16">
        <v>0</v>
      </c>
      <c r="I18" s="16">
        <v>1.0000000000000001E-5</v>
      </c>
      <c r="J18" s="16">
        <v>1</v>
      </c>
      <c r="K18" s="16">
        <v>1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0</v>
      </c>
      <c r="C19" s="16">
        <v>0</v>
      </c>
      <c r="D19" s="16">
        <v>30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7350.3326559999996</v>
      </c>
      <c r="C20" s="16">
        <v>483.45873999999998</v>
      </c>
      <c r="D20" s="16">
        <v>25</v>
      </c>
      <c r="E20" s="16">
        <v>0</v>
      </c>
      <c r="F20" s="16">
        <v>5.2202789999999997</v>
      </c>
      <c r="G20" s="16">
        <v>100000</v>
      </c>
      <c r="H20" s="16">
        <v>0</v>
      </c>
      <c r="I20" s="16">
        <v>0.42361300000000002</v>
      </c>
      <c r="J20" s="16">
        <v>1</v>
      </c>
      <c r="K20" s="16">
        <v>0.85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1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2800.1268679999998</v>
      </c>
      <c r="C22" s="16">
        <v>106.464412</v>
      </c>
      <c r="D22" s="16">
        <v>25</v>
      </c>
      <c r="E22" s="16">
        <v>0</v>
      </c>
      <c r="F22" s="16">
        <v>0.95637099999999997</v>
      </c>
      <c r="G22" s="16">
        <v>100000</v>
      </c>
      <c r="H22" s="16">
        <v>0</v>
      </c>
      <c r="I22" s="16">
        <v>7.7606999999999995E-2</v>
      </c>
      <c r="J22" s="16">
        <v>1</v>
      </c>
      <c r="K22" s="16">
        <v>0.85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293.238406</v>
      </c>
      <c r="C23" s="16">
        <v>5.8750260000000001</v>
      </c>
      <c r="D23" s="16">
        <v>17</v>
      </c>
      <c r="E23" s="16">
        <v>0</v>
      </c>
      <c r="F23" s="16">
        <v>4.9793180000000001</v>
      </c>
      <c r="G23" s="16">
        <v>100000</v>
      </c>
      <c r="H23" s="16">
        <v>0</v>
      </c>
      <c r="I23" s="16">
        <v>0.10878</v>
      </c>
      <c r="J23" s="16">
        <v>0.3</v>
      </c>
      <c r="K23" s="16">
        <v>0.22883500000000001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134.052663</v>
      </c>
      <c r="C24" s="16">
        <v>2.6810529999999999</v>
      </c>
      <c r="D24" s="16">
        <v>17</v>
      </c>
      <c r="E24" s="16">
        <v>0</v>
      </c>
      <c r="F24" s="16">
        <v>1.1638599999999999</v>
      </c>
      <c r="G24" s="16">
        <v>100000</v>
      </c>
      <c r="H24" s="16">
        <v>0.1</v>
      </c>
      <c r="I24" s="16">
        <v>0.1</v>
      </c>
      <c r="J24" s="16">
        <v>1</v>
      </c>
      <c r="K24" s="16">
        <v>0.9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0</v>
      </c>
      <c r="C25" s="16">
        <v>0</v>
      </c>
      <c r="D25" s="16">
        <v>17</v>
      </c>
      <c r="E25" s="16">
        <v>0</v>
      </c>
      <c r="F25" s="16">
        <v>0</v>
      </c>
      <c r="G25" s="16">
        <v>100000</v>
      </c>
      <c r="H25" s="16">
        <v>0</v>
      </c>
      <c r="I25" s="16">
        <v>0</v>
      </c>
      <c r="J25" s="16">
        <v>1</v>
      </c>
      <c r="K25" s="16">
        <v>0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120.647397</v>
      </c>
      <c r="C26" s="16">
        <v>2.4129480000000001</v>
      </c>
      <c r="D26" s="16">
        <v>17</v>
      </c>
      <c r="E26" s="16">
        <v>0</v>
      </c>
      <c r="F26" s="16">
        <v>1.047474</v>
      </c>
      <c r="G26" s="16">
        <v>100000</v>
      </c>
      <c r="H26" s="16">
        <v>0</v>
      </c>
      <c r="I26" s="16">
        <v>0.09</v>
      </c>
      <c r="J26" s="16">
        <v>0.09</v>
      </c>
      <c r="K26" s="16">
        <v>0.9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268.10532599999999</v>
      </c>
      <c r="C27" s="16">
        <v>5.362107</v>
      </c>
      <c r="D27" s="16">
        <v>17</v>
      </c>
      <c r="E27" s="16">
        <v>0</v>
      </c>
      <c r="F27" s="16">
        <v>2.3277209999999999</v>
      </c>
      <c r="G27" s="16">
        <v>100000</v>
      </c>
      <c r="H27" s="16">
        <v>0</v>
      </c>
      <c r="I27" s="16">
        <v>0.2</v>
      </c>
      <c r="J27" s="16">
        <v>0.2</v>
      </c>
      <c r="K27" s="16">
        <v>0.9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0</v>
      </c>
      <c r="C28" s="16">
        <v>0</v>
      </c>
      <c r="D28" s="16">
        <v>15</v>
      </c>
      <c r="E28" s="16">
        <v>0</v>
      </c>
      <c r="F28" s="16">
        <v>0</v>
      </c>
      <c r="G28" s="16">
        <v>100000</v>
      </c>
      <c r="H28" s="16">
        <v>0</v>
      </c>
      <c r="I28" s="16">
        <v>0</v>
      </c>
      <c r="J28" s="16">
        <v>1</v>
      </c>
      <c r="K28" s="16">
        <v>0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0</v>
      </c>
      <c r="C29" s="16">
        <v>0</v>
      </c>
      <c r="D29" s="16">
        <v>25</v>
      </c>
      <c r="E29" s="16">
        <v>0</v>
      </c>
      <c r="F29" s="16">
        <v>0</v>
      </c>
      <c r="G29" s="16">
        <v>100000</v>
      </c>
      <c r="H29" s="16">
        <v>0</v>
      </c>
      <c r="I29" s="16">
        <v>0</v>
      </c>
      <c r="J29" s="16">
        <v>1</v>
      </c>
      <c r="K29" s="16">
        <v>0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1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0</v>
      </c>
      <c r="C31" s="16">
        <v>0</v>
      </c>
      <c r="D31" s="16">
        <v>25</v>
      </c>
      <c r="E31" s="16">
        <v>0</v>
      </c>
      <c r="F31" s="16">
        <v>0</v>
      </c>
      <c r="G31" s="16">
        <v>100000</v>
      </c>
      <c r="H31" s="16">
        <v>0</v>
      </c>
      <c r="I31" s="16">
        <v>0</v>
      </c>
      <c r="J31" s="16">
        <v>1</v>
      </c>
      <c r="K31" s="16">
        <v>0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1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1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0</v>
      </c>
      <c r="C35" s="16">
        <v>0</v>
      </c>
      <c r="D35" s="16">
        <v>17</v>
      </c>
      <c r="E35" s="16">
        <v>0</v>
      </c>
      <c r="F35" s="16">
        <v>0</v>
      </c>
      <c r="G35" s="16">
        <v>100000</v>
      </c>
      <c r="H35" s="16">
        <v>0</v>
      </c>
      <c r="I35" s="16">
        <v>0</v>
      </c>
      <c r="J35" s="16">
        <v>1</v>
      </c>
      <c r="K35" s="16">
        <v>0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1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2721.0082809999999</v>
      </c>
      <c r="C37" s="16">
        <v>103.47087500000001</v>
      </c>
      <c r="D37" s="16">
        <v>30</v>
      </c>
      <c r="E37" s="16">
        <v>0</v>
      </c>
      <c r="F37" s="16">
        <v>1.814006</v>
      </c>
      <c r="G37" s="16">
        <v>100000</v>
      </c>
      <c r="H37" s="16">
        <v>0</v>
      </c>
      <c r="I37" s="16">
        <v>1</v>
      </c>
      <c r="J37" s="16">
        <v>1</v>
      </c>
      <c r="K37" s="16">
        <v>0.85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1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13515.819433999999</v>
      </c>
      <c r="C39" s="16">
        <v>578.23888299999999</v>
      </c>
      <c r="D39" s="16">
        <v>18</v>
      </c>
      <c r="E39" s="16">
        <v>0</v>
      </c>
      <c r="F39" s="16">
        <v>27.468919</v>
      </c>
      <c r="G39" s="16">
        <v>10000</v>
      </c>
      <c r="H39" s="16">
        <v>0</v>
      </c>
      <c r="I39" s="16">
        <v>0.3</v>
      </c>
      <c r="J39" s="16">
        <v>0.3</v>
      </c>
      <c r="K39" s="16">
        <v>0.28005999999999998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1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1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1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1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4939.1681570000001</v>
      </c>
      <c r="C45" s="16">
        <v>148.20421899999999</v>
      </c>
      <c r="D45" s="16">
        <v>17</v>
      </c>
      <c r="E45" s="16">
        <v>0</v>
      </c>
      <c r="F45" s="16">
        <v>31.154976999999999</v>
      </c>
      <c r="G45" s="16">
        <v>100000</v>
      </c>
      <c r="H45" s="16">
        <v>0</v>
      </c>
      <c r="I45" s="16">
        <v>0.25628600000000001</v>
      </c>
      <c r="J45" s="16">
        <v>0.42</v>
      </c>
      <c r="K45" s="16">
        <v>0.21094499999999999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8339.7632240000003</v>
      </c>
      <c r="C46" s="16">
        <v>291.817407</v>
      </c>
      <c r="D46" s="16">
        <v>17</v>
      </c>
      <c r="E46" s="16">
        <v>0</v>
      </c>
      <c r="F46" s="16">
        <v>18.034248000000002</v>
      </c>
      <c r="G46" s="16">
        <v>100000</v>
      </c>
      <c r="H46" s="16">
        <v>0.18690000000000001</v>
      </c>
      <c r="I46" s="16">
        <v>0.18690000000000001</v>
      </c>
      <c r="J46" s="16">
        <v>1</v>
      </c>
      <c r="K46" s="16">
        <v>0.26575500000000002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2457.7777729999998</v>
      </c>
      <c r="C47" s="16">
        <v>147.41817399999999</v>
      </c>
      <c r="D47" s="16">
        <v>17</v>
      </c>
      <c r="E47" s="16">
        <v>0</v>
      </c>
      <c r="F47" s="16">
        <v>17.261828000000001</v>
      </c>
      <c r="G47" s="16">
        <v>100000</v>
      </c>
      <c r="H47" s="16">
        <v>0.15</v>
      </c>
      <c r="I47" s="16">
        <v>0.15</v>
      </c>
      <c r="J47" s="16">
        <v>0.28570000000000001</v>
      </c>
      <c r="K47" s="16">
        <v>0.222831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10920.692419999999</v>
      </c>
      <c r="C48" s="16">
        <v>122.873789</v>
      </c>
      <c r="D48" s="16">
        <v>20</v>
      </c>
      <c r="E48" s="16">
        <v>0</v>
      </c>
      <c r="F48" s="16">
        <v>15.187143000000001</v>
      </c>
      <c r="G48" s="16">
        <v>100000</v>
      </c>
      <c r="H48" s="16">
        <v>0</v>
      </c>
      <c r="I48" s="16">
        <v>0.10681400000000001</v>
      </c>
      <c r="J48" s="16">
        <v>1</v>
      </c>
      <c r="K48" s="16">
        <v>0.18035300000000001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0</v>
      </c>
      <c r="C49" s="16">
        <v>0</v>
      </c>
      <c r="D49" s="16">
        <v>15</v>
      </c>
      <c r="E49" s="16">
        <v>0</v>
      </c>
      <c r="F49" s="16">
        <v>0</v>
      </c>
      <c r="G49" s="16">
        <v>100000</v>
      </c>
      <c r="H49" s="16">
        <v>0</v>
      </c>
      <c r="I49" s="16">
        <v>0</v>
      </c>
      <c r="J49" s="16">
        <v>1</v>
      </c>
      <c r="K49" s="16">
        <v>0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11192.680686</v>
      </c>
      <c r="C50" s="16">
        <v>450.26417600000002</v>
      </c>
      <c r="D50" s="16">
        <v>15</v>
      </c>
      <c r="E50" s="16">
        <v>0</v>
      </c>
      <c r="F50" s="16">
        <v>48.244312999999998</v>
      </c>
      <c r="G50" s="16">
        <v>100000</v>
      </c>
      <c r="H50" s="16">
        <v>0</v>
      </c>
      <c r="I50" s="16">
        <v>1</v>
      </c>
      <c r="J50" s="16">
        <v>1</v>
      </c>
      <c r="K50" s="16">
        <v>0.17360400000000001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380.365297</v>
      </c>
      <c r="C51" s="16">
        <v>15.214612000000001</v>
      </c>
      <c r="D51" s="16">
        <v>20</v>
      </c>
      <c r="E51" s="16">
        <v>0</v>
      </c>
      <c r="F51" s="16">
        <v>3.1963469999999998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14200.006821000001</v>
      </c>
      <c r="C52" s="16">
        <v>284.000136</v>
      </c>
      <c r="D52" s="16">
        <v>30</v>
      </c>
      <c r="E52" s="16">
        <v>0</v>
      </c>
      <c r="F52" s="16">
        <v>22.720011</v>
      </c>
      <c r="G52" s="16">
        <v>100000</v>
      </c>
      <c r="H52" s="16">
        <v>0</v>
      </c>
      <c r="I52" s="16">
        <v>0.3</v>
      </c>
      <c r="J52" s="16">
        <v>0.3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7075.7298849999997</v>
      </c>
      <c r="C53" s="16">
        <v>353.786494</v>
      </c>
      <c r="D53" s="16">
        <v>15</v>
      </c>
      <c r="E53" s="16">
        <v>0</v>
      </c>
      <c r="F53" s="16">
        <v>11.578467</v>
      </c>
      <c r="G53" s="16">
        <v>1000000</v>
      </c>
      <c r="H53" s="16">
        <v>0</v>
      </c>
      <c r="I53" s="16">
        <v>0.13250000000000001</v>
      </c>
      <c r="J53" s="16">
        <v>1</v>
      </c>
      <c r="K53" s="16">
        <v>0.29680400000000001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1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2670.0867490000001</v>
      </c>
      <c r="C55" s="16">
        <v>133.50433699999999</v>
      </c>
      <c r="D55" s="16">
        <v>15</v>
      </c>
      <c r="E55" s="16">
        <v>0</v>
      </c>
      <c r="F55" s="16">
        <v>4.3692330000000004</v>
      </c>
      <c r="G55" s="16">
        <v>1000000</v>
      </c>
      <c r="H55" s="16">
        <v>1.03E-2</v>
      </c>
      <c r="I55" s="16">
        <v>0.05</v>
      </c>
      <c r="J55" s="16">
        <v>0.05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227.564212</v>
      </c>
      <c r="C56" s="16">
        <v>6.8269260000000003</v>
      </c>
      <c r="D56" s="16">
        <v>15</v>
      </c>
      <c r="E56" s="16">
        <v>0</v>
      </c>
      <c r="F56" s="16">
        <v>0.21846199999999999</v>
      </c>
      <c r="G56" s="16">
        <v>1000000</v>
      </c>
      <c r="H56" s="16">
        <v>2.5000000000000001E-3</v>
      </c>
      <c r="I56" s="16">
        <v>2.5000000000000001E-3</v>
      </c>
      <c r="J56" s="16">
        <v>5.0000000000000001E-3</v>
      </c>
      <c r="K56" s="16">
        <v>0.29680400000000001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35500.017039999999</v>
      </c>
      <c r="C57" s="16">
        <v>1281.2036230000001</v>
      </c>
      <c r="D57" s="16">
        <v>40</v>
      </c>
      <c r="E57" s="16">
        <v>0</v>
      </c>
      <c r="F57" s="16">
        <v>23.572011</v>
      </c>
      <c r="G57" s="16">
        <v>1000000</v>
      </c>
      <c r="H57" s="16">
        <v>0.25</v>
      </c>
      <c r="I57" s="16">
        <v>0.25</v>
      </c>
      <c r="J57" s="16">
        <v>0.5</v>
      </c>
      <c r="K57" s="16">
        <v>0.27507300000000001</v>
      </c>
      <c r="L57" s="16">
        <v>0.27507300000000001</v>
      </c>
      <c r="M57" s="16">
        <v>3.3426999999999998E-2</v>
      </c>
      <c r="N57" s="14"/>
    </row>
    <row r="58" spans="1:14" s="15" customFormat="1" x14ac:dyDescent="0.2">
      <c r="A58" s="20" t="s">
        <v>358</v>
      </c>
      <c r="B58" s="16">
        <v>173.55563900000001</v>
      </c>
      <c r="C58" s="16">
        <v>8.6777820000000006</v>
      </c>
      <c r="D58" s="16">
        <v>40</v>
      </c>
      <c r="E58" s="16">
        <v>0</v>
      </c>
      <c r="F58" s="16">
        <v>2.2720009999999999</v>
      </c>
      <c r="G58" s="16">
        <v>1000000</v>
      </c>
      <c r="H58" s="16">
        <v>0</v>
      </c>
      <c r="I58" s="16">
        <v>0.01</v>
      </c>
      <c r="J58" s="16">
        <v>0.01</v>
      </c>
      <c r="K58" s="16">
        <v>0.11415500000000001</v>
      </c>
      <c r="L58" s="16">
        <v>0.11415500000000001</v>
      </c>
      <c r="M58" s="16">
        <v>3.3426999999999998E-2</v>
      </c>
      <c r="N58" s="14"/>
    </row>
    <row r="59" spans="1:14" s="15" customFormat="1" x14ac:dyDescent="0.2">
      <c r="A59" s="20" t="s">
        <v>359</v>
      </c>
      <c r="B59" s="16">
        <v>86.777818999999994</v>
      </c>
      <c r="C59" s="16">
        <v>4.3388910000000003</v>
      </c>
      <c r="D59" s="16">
        <v>40</v>
      </c>
      <c r="E59" s="16">
        <v>0</v>
      </c>
      <c r="F59" s="16">
        <v>1.136001</v>
      </c>
      <c r="G59" s="16">
        <v>1000000</v>
      </c>
      <c r="H59" s="16">
        <v>0</v>
      </c>
      <c r="I59" s="16">
        <v>5.0000000000000001E-3</v>
      </c>
      <c r="J59" s="16">
        <v>5.0000000000000001E-3</v>
      </c>
      <c r="K59" s="16">
        <v>0.11415500000000001</v>
      </c>
      <c r="L59" s="16">
        <v>0.11415500000000001</v>
      </c>
      <c r="M59" s="16">
        <v>3.3426999999999998E-2</v>
      </c>
      <c r="N59" s="14"/>
    </row>
    <row r="60" spans="1:14" s="15" customFormat="1" x14ac:dyDescent="0.2">
      <c r="A60" s="20" t="s">
        <v>360</v>
      </c>
      <c r="B60" s="16">
        <v>16697.500518000001</v>
      </c>
      <c r="C60" s="16">
        <v>699.65252699999996</v>
      </c>
      <c r="D60" s="16">
        <v>30</v>
      </c>
      <c r="E60" s="16">
        <v>0</v>
      </c>
      <c r="F60" s="16">
        <v>18.93366</v>
      </c>
      <c r="G60" s="16">
        <v>1000000</v>
      </c>
      <c r="H60" s="16">
        <v>0.24399999999999999</v>
      </c>
      <c r="I60" s="16">
        <v>0.25</v>
      </c>
      <c r="J60" s="16">
        <v>0.25</v>
      </c>
      <c r="K60" s="16">
        <v>0.34245999999999999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249</v>
      </c>
      <c r="B61" s="16">
        <v>155739.54934999999</v>
      </c>
      <c r="C61" s="16">
        <v>5112.7528629999997</v>
      </c>
      <c r="D61" s="16">
        <v>10</v>
      </c>
      <c r="E61" s="16">
        <v>0</v>
      </c>
      <c r="F61" s="16">
        <v>370.55580400000002</v>
      </c>
      <c r="G61" s="16">
        <v>1000000</v>
      </c>
      <c r="H61" s="16">
        <v>0.48929</v>
      </c>
      <c r="I61" s="16">
        <v>0.48929</v>
      </c>
      <c r="J61" s="16">
        <v>0.48929</v>
      </c>
      <c r="K61" s="16">
        <v>5.1369999999999999E-2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250</v>
      </c>
      <c r="B62" s="16">
        <v>100958.441852</v>
      </c>
      <c r="C62" s="16">
        <v>3417.1217809999998</v>
      </c>
      <c r="D62" s="16">
        <v>10</v>
      </c>
      <c r="E62" s="16">
        <v>0</v>
      </c>
      <c r="F62" s="16">
        <v>232.38027099999999</v>
      </c>
      <c r="G62" s="16">
        <v>1000000</v>
      </c>
      <c r="H62" s="16">
        <v>0.30684</v>
      </c>
      <c r="I62" s="16">
        <v>0.30684</v>
      </c>
      <c r="J62" s="16">
        <v>0.30684</v>
      </c>
      <c r="K62" s="16">
        <v>5.1369999999999999E-2</v>
      </c>
      <c r="L62" s="16">
        <v>5.1369999999999999E-2</v>
      </c>
      <c r="M62" s="16">
        <v>0.108434</v>
      </c>
      <c r="N62" s="14"/>
    </row>
    <row r="63" spans="1:14" s="15" customFormat="1" x14ac:dyDescent="0.2">
      <c r="A63" s="16" t="s">
        <v>361</v>
      </c>
      <c r="B63" s="16">
        <v>102258.891298</v>
      </c>
      <c r="C63" s="16">
        <v>13634.505171999999</v>
      </c>
      <c r="D63" s="16">
        <v>10</v>
      </c>
      <c r="E63" s="16">
        <v>0</v>
      </c>
      <c r="F63" s="16">
        <v>572.64979000000005</v>
      </c>
      <c r="G63" s="16">
        <v>1000000</v>
      </c>
      <c r="H63" s="16">
        <v>0.1207</v>
      </c>
      <c r="I63" s="16">
        <v>0.1207</v>
      </c>
      <c r="J63" s="16">
        <v>0.1207</v>
      </c>
      <c r="K63" s="16">
        <v>8.2000000000000007E-3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251</v>
      </c>
      <c r="B64" s="16">
        <v>10786.245978000001</v>
      </c>
      <c r="C64" s="16">
        <v>447.61547200000001</v>
      </c>
      <c r="D64" s="16">
        <v>10</v>
      </c>
      <c r="E64" s="16">
        <v>0</v>
      </c>
      <c r="F64" s="16">
        <v>25.120759</v>
      </c>
      <c r="G64" s="16">
        <v>1000000</v>
      </c>
      <c r="H64" s="16">
        <v>3.3169999999999998E-2</v>
      </c>
      <c r="I64" s="16">
        <v>3.3169999999999998E-2</v>
      </c>
      <c r="J64" s="16">
        <v>3.3169999999999998E-2</v>
      </c>
      <c r="K64" s="16">
        <v>5.1369999999999999E-2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252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1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253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0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254</v>
      </c>
      <c r="B67" s="16">
        <v>17033.374864000001</v>
      </c>
      <c r="C67" s="16">
        <v>260.08871199999999</v>
      </c>
      <c r="D67" s="16">
        <v>10</v>
      </c>
      <c r="E67" s="16">
        <v>0</v>
      </c>
      <c r="F67" s="16">
        <v>37.866684999999997</v>
      </c>
      <c r="G67" s="16">
        <v>1000000</v>
      </c>
      <c r="H67" s="16">
        <v>0</v>
      </c>
      <c r="I67" s="16">
        <v>0.05</v>
      </c>
      <c r="J67" s="16">
        <v>1</v>
      </c>
      <c r="K67" s="16">
        <v>5.1369999999999999E-2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255</v>
      </c>
      <c r="B68" s="16">
        <v>434.77406000000002</v>
      </c>
      <c r="C68" s="16">
        <v>2.6878299999999999</v>
      </c>
      <c r="D68" s="16">
        <v>10</v>
      </c>
      <c r="E68" s="16">
        <v>1</v>
      </c>
      <c r="F68" s="16">
        <v>1</v>
      </c>
      <c r="G68" s="16">
        <v>1000000</v>
      </c>
      <c r="H68" s="16">
        <v>0</v>
      </c>
      <c r="I68" s="16">
        <v>0</v>
      </c>
      <c r="J68" s="16">
        <v>0</v>
      </c>
      <c r="K68" s="16">
        <v>0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256</v>
      </c>
      <c r="B69" s="16">
        <v>981.50433499999997</v>
      </c>
      <c r="C69" s="16">
        <v>19.630087</v>
      </c>
      <c r="D69" s="16">
        <v>40</v>
      </c>
      <c r="E69" s="16">
        <v>0</v>
      </c>
      <c r="F69" s="16">
        <v>9.3999790000000001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257</v>
      </c>
      <c r="B70" s="16">
        <v>3540.3651319999999</v>
      </c>
      <c r="C70" s="16">
        <v>177.01825700000001</v>
      </c>
      <c r="D70" s="16">
        <v>40</v>
      </c>
      <c r="E70" s="16">
        <v>0</v>
      </c>
      <c r="F70" s="16">
        <v>46.346598</v>
      </c>
      <c r="G70" s="16">
        <v>1000000</v>
      </c>
      <c r="H70" s="16">
        <v>0</v>
      </c>
      <c r="I70" s="16">
        <v>0.95</v>
      </c>
      <c r="J70" s="16">
        <v>1</v>
      </c>
      <c r="K70" s="16">
        <v>0.11415500000000001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258</v>
      </c>
      <c r="B71" s="16">
        <v>186.33500699999999</v>
      </c>
      <c r="C71" s="16">
        <v>9.3167500000000008</v>
      </c>
      <c r="D71" s="16">
        <v>40</v>
      </c>
      <c r="E71" s="16">
        <v>0</v>
      </c>
      <c r="F71" s="16">
        <v>2.439295</v>
      </c>
      <c r="G71" s="16">
        <v>1000000</v>
      </c>
      <c r="H71" s="16">
        <v>0</v>
      </c>
      <c r="I71" s="16">
        <v>0.05</v>
      </c>
      <c r="J71" s="16">
        <v>0.05</v>
      </c>
      <c r="K71" s="16">
        <v>0.11415500000000001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259</v>
      </c>
      <c r="B72" s="16">
        <v>89579.686883999995</v>
      </c>
      <c r="C72" s="16">
        <v>4478.9843449999998</v>
      </c>
      <c r="D72" s="16">
        <v>15</v>
      </c>
      <c r="E72" s="16">
        <v>0</v>
      </c>
      <c r="F72" s="16">
        <v>241.38238999999999</v>
      </c>
      <c r="G72" s="16">
        <v>1000000</v>
      </c>
      <c r="H72" s="16">
        <v>0</v>
      </c>
      <c r="I72" s="16">
        <v>0.95499999999999996</v>
      </c>
      <c r="J72" s="16">
        <v>1</v>
      </c>
      <c r="K72" s="16">
        <v>9.2592999999999995E-2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260</v>
      </c>
      <c r="B73" s="16">
        <v>508.32126299999999</v>
      </c>
      <c r="C73" s="16">
        <v>15.249637999999999</v>
      </c>
      <c r="D73" s="16">
        <v>15</v>
      </c>
      <c r="E73" s="16">
        <v>0</v>
      </c>
      <c r="F73" s="16">
        <v>1.263782</v>
      </c>
      <c r="G73" s="16">
        <v>1000000</v>
      </c>
      <c r="H73" s="16">
        <v>0</v>
      </c>
      <c r="I73" s="16">
        <v>5.0000000000000001E-3</v>
      </c>
      <c r="J73" s="16">
        <v>5.0000000000000001E-3</v>
      </c>
      <c r="K73" s="16">
        <v>9.2592999999999995E-2</v>
      </c>
      <c r="L73" s="16">
        <v>9.2592999999999995E-2</v>
      </c>
      <c r="M73" s="16">
        <v>7.4943999999999997E-2</v>
      </c>
      <c r="N73" s="14"/>
    </row>
    <row r="74" spans="1:14" x14ac:dyDescent="0.2">
      <c r="A74" s="3" t="s">
        <v>261</v>
      </c>
      <c r="B74" s="16">
        <v>3752.0287699999999</v>
      </c>
      <c r="C74" s="16">
        <v>187.601439</v>
      </c>
      <c r="D74" s="16">
        <v>15</v>
      </c>
      <c r="E74" s="16">
        <v>0</v>
      </c>
      <c r="F74" s="16">
        <v>10.110257000000001</v>
      </c>
      <c r="G74" s="16">
        <v>1000000</v>
      </c>
      <c r="H74" s="16">
        <v>0</v>
      </c>
      <c r="I74" s="16">
        <v>0.04</v>
      </c>
      <c r="J74" s="16">
        <v>0.04</v>
      </c>
      <c r="K74" s="16">
        <v>9.2592999999999995E-2</v>
      </c>
      <c r="L74" s="16">
        <v>9.2592999999999995E-2</v>
      </c>
      <c r="M74" s="16">
        <v>7.4943999999999997E-2</v>
      </c>
      <c r="N74" s="14"/>
    </row>
    <row r="75" spans="1:14" x14ac:dyDescent="0.2">
      <c r="A75" s="3" t="s">
        <v>262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  <c r="N75" s="14"/>
    </row>
    <row r="76" spans="1:14" x14ac:dyDescent="0.2">
      <c r="A76" s="3" t="s">
        <v>263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  <c r="N76" s="14"/>
    </row>
    <row r="77" spans="1:14" x14ac:dyDescent="0.2">
      <c r="A77" s="3" t="s">
        <v>264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1.5100000000000001E-4</v>
      </c>
      <c r="L77" s="16">
        <v>1</v>
      </c>
      <c r="M77" s="16">
        <v>1.0149999999999999</v>
      </c>
    </row>
    <row r="78" spans="1:14" x14ac:dyDescent="0.2">
      <c r="A78" s="3" t="s">
        <v>265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3.4E-5</v>
      </c>
      <c r="L78" s="16">
        <v>1</v>
      </c>
      <c r="M78" s="16">
        <v>2.8572E-2</v>
      </c>
    </row>
    <row r="79" spans="1:14" x14ac:dyDescent="0.2">
      <c r="A79" s="3" t="s">
        <v>266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267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268</v>
      </c>
      <c r="B81" s="16">
        <v>0</v>
      </c>
      <c r="C81" s="16">
        <v>0</v>
      </c>
      <c r="D81" s="16">
        <v>1</v>
      </c>
      <c r="E81" s="16">
        <v>0</v>
      </c>
      <c r="F81" s="16">
        <v>15.84</v>
      </c>
      <c r="G81" s="16">
        <v>100000</v>
      </c>
      <c r="H81" s="16">
        <v>0</v>
      </c>
      <c r="I81" s="16">
        <v>-1</v>
      </c>
      <c r="J81" s="16">
        <v>1</v>
      </c>
      <c r="K81" s="16">
        <v>5.9880000000000003E-3</v>
      </c>
      <c r="L81" s="16">
        <v>1</v>
      </c>
      <c r="M81" s="16">
        <v>1.0149999999999999</v>
      </c>
    </row>
    <row r="82" spans="1:13" x14ac:dyDescent="0.2">
      <c r="A82" s="3" t="s">
        <v>269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270</v>
      </c>
      <c r="B83" s="16">
        <v>796.18084599999997</v>
      </c>
      <c r="C83" s="16">
        <v>5.5732660000000003</v>
      </c>
      <c r="D83" s="16">
        <v>25</v>
      </c>
      <c r="E83" s="16">
        <v>0</v>
      </c>
      <c r="F83" s="16">
        <v>41.966512000000002</v>
      </c>
      <c r="G83" s="16">
        <v>100000</v>
      </c>
      <c r="H83" s="16">
        <v>0</v>
      </c>
      <c r="I83" s="16">
        <v>-1</v>
      </c>
      <c r="J83" s="16">
        <v>1</v>
      </c>
      <c r="K83" s="16">
        <v>3.8128000000000002E-2</v>
      </c>
      <c r="L83" s="16">
        <v>1</v>
      </c>
      <c r="M83" s="16">
        <v>4.8263E-2</v>
      </c>
    </row>
    <row r="84" spans="1:13" x14ac:dyDescent="0.2">
      <c r="A84" s="3" t="s">
        <v>271</v>
      </c>
      <c r="B84" s="16">
        <v>0</v>
      </c>
      <c r="C84" s="16">
        <v>0</v>
      </c>
      <c r="D84" s="16">
        <v>25</v>
      </c>
      <c r="E84" s="16">
        <v>0</v>
      </c>
      <c r="F84" s="16">
        <v>0</v>
      </c>
      <c r="G84" s="16">
        <v>100000</v>
      </c>
      <c r="H84" s="16">
        <v>0</v>
      </c>
      <c r="I84" s="16">
        <v>-1</v>
      </c>
      <c r="J84" s="16">
        <v>1</v>
      </c>
      <c r="K84" s="16">
        <v>0</v>
      </c>
      <c r="L84" s="16">
        <v>1</v>
      </c>
      <c r="M84" s="16">
        <v>4.8263E-2</v>
      </c>
    </row>
    <row r="85" spans="1:13" x14ac:dyDescent="0.2">
      <c r="A85" s="3" t="s">
        <v>272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100000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273</v>
      </c>
      <c r="B86" s="16">
        <v>1910.423994</v>
      </c>
      <c r="C86" s="16">
        <v>10.613467</v>
      </c>
      <c r="D86" s="16">
        <v>25</v>
      </c>
      <c r="E86" s="16">
        <v>0</v>
      </c>
      <c r="F86" s="16">
        <v>3537.8222099999998</v>
      </c>
      <c r="G86" s="16">
        <v>100000</v>
      </c>
      <c r="H86" s="16">
        <v>0</v>
      </c>
      <c r="I86" s="16">
        <v>-1</v>
      </c>
      <c r="J86" s="16">
        <v>1</v>
      </c>
      <c r="K86" s="16">
        <v>1.65E-4</v>
      </c>
      <c r="L86" s="16">
        <v>1</v>
      </c>
      <c r="M86" s="16">
        <v>4.8263E-2</v>
      </c>
    </row>
    <row r="87" spans="1:13" x14ac:dyDescent="0.2">
      <c r="A87" s="3" t="s">
        <v>274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100000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275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100000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276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100000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277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100000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278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100000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279</v>
      </c>
      <c r="B92" s="16">
        <v>724.31110200000001</v>
      </c>
      <c r="C92" s="16">
        <v>5.0701780000000003</v>
      </c>
      <c r="D92" s="16">
        <v>25</v>
      </c>
      <c r="E92" s="16">
        <v>0</v>
      </c>
      <c r="F92" s="16">
        <v>38.178274000000002</v>
      </c>
      <c r="G92" s="16">
        <v>100000</v>
      </c>
      <c r="H92" s="16">
        <v>0</v>
      </c>
      <c r="I92" s="16">
        <v>-1</v>
      </c>
      <c r="J92" s="16">
        <v>1</v>
      </c>
      <c r="K92" s="16">
        <v>4.0783E-2</v>
      </c>
      <c r="L92" s="16">
        <v>1</v>
      </c>
      <c r="M92" s="16">
        <v>4.8263E-2</v>
      </c>
    </row>
    <row r="93" spans="1:13" x14ac:dyDescent="0.2">
      <c r="A93" s="3" t="s">
        <v>280</v>
      </c>
      <c r="B93" s="16">
        <v>527.51928899999996</v>
      </c>
      <c r="C93" s="16">
        <v>3.6926350000000001</v>
      </c>
      <c r="D93" s="16">
        <v>25</v>
      </c>
      <c r="E93" s="16">
        <v>0</v>
      </c>
      <c r="F93" s="16">
        <v>27.805422</v>
      </c>
      <c r="G93" s="16">
        <v>100000</v>
      </c>
      <c r="H93" s="16">
        <v>0</v>
      </c>
      <c r="I93" s="16">
        <v>-1</v>
      </c>
      <c r="J93" s="16">
        <v>1</v>
      </c>
      <c r="K93" s="16">
        <v>3.3693000000000001E-2</v>
      </c>
      <c r="L93" s="16">
        <v>1</v>
      </c>
      <c r="M93" s="16">
        <v>4.8263E-2</v>
      </c>
    </row>
    <row r="94" spans="1:13" x14ac:dyDescent="0.2">
      <c r="A94" s="3" t="s">
        <v>281</v>
      </c>
      <c r="B94" s="16">
        <v>417.17908299999999</v>
      </c>
      <c r="C94" s="16">
        <v>2.9202539999999999</v>
      </c>
      <c r="D94" s="16">
        <v>25</v>
      </c>
      <c r="E94" s="16">
        <v>0</v>
      </c>
      <c r="F94" s="16">
        <v>21.989415000000001</v>
      </c>
      <c r="G94" s="16">
        <v>100000</v>
      </c>
      <c r="H94" s="16">
        <v>0</v>
      </c>
      <c r="I94" s="16">
        <v>-1</v>
      </c>
      <c r="J94" s="16">
        <v>1</v>
      </c>
      <c r="K94" s="16">
        <v>3.4877999999999999E-2</v>
      </c>
      <c r="L94" s="16">
        <v>1</v>
      </c>
      <c r="M94" s="16">
        <v>4.8263E-2</v>
      </c>
    </row>
    <row r="95" spans="1:13" x14ac:dyDescent="0.2">
      <c r="A95" s="3" t="s">
        <v>282</v>
      </c>
      <c r="B95" s="16">
        <v>0</v>
      </c>
      <c r="C95" s="16">
        <v>0</v>
      </c>
      <c r="D95" s="16">
        <v>30</v>
      </c>
      <c r="E95" s="16">
        <v>0</v>
      </c>
      <c r="F95" s="16">
        <v>0</v>
      </c>
      <c r="G95" s="16">
        <v>100000</v>
      </c>
      <c r="H95" s="16">
        <v>0</v>
      </c>
      <c r="I95" s="16">
        <v>-1</v>
      </c>
      <c r="J95" s="16">
        <v>1</v>
      </c>
      <c r="K95" s="16">
        <v>0</v>
      </c>
      <c r="L95" s="16">
        <v>1</v>
      </c>
      <c r="M95" s="16">
        <v>4.1639000000000002E-2</v>
      </c>
    </row>
    <row r="96" spans="1:13" x14ac:dyDescent="0.2">
      <c r="A96" s="3" t="s">
        <v>283</v>
      </c>
      <c r="B96" s="16">
        <v>7.7928999999999998E-2</v>
      </c>
      <c r="C96" s="16">
        <v>3.7800000000000003E-4</v>
      </c>
      <c r="D96" s="16">
        <v>20</v>
      </c>
      <c r="E96" s="16">
        <v>0</v>
      </c>
      <c r="F96" s="16">
        <v>1.259E-2</v>
      </c>
      <c r="G96" s="16">
        <v>100000</v>
      </c>
      <c r="H96" s="16">
        <v>0</v>
      </c>
      <c r="I96" s="16">
        <v>-1</v>
      </c>
      <c r="J96" s="16">
        <v>1</v>
      </c>
      <c r="K96" s="16">
        <v>3.1336999999999997E-2</v>
      </c>
      <c r="L96" s="16">
        <v>1</v>
      </c>
      <c r="M96" s="16">
        <v>5.8245999999999999E-2</v>
      </c>
    </row>
    <row r="97" spans="1:13" x14ac:dyDescent="0.2">
      <c r="A97" s="3" t="s">
        <v>284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285</v>
      </c>
      <c r="B98" s="16">
        <v>1.0092E-2</v>
      </c>
      <c r="C98" s="16">
        <v>6.3100000000000005E-4</v>
      </c>
      <c r="D98" s="16">
        <v>20</v>
      </c>
      <c r="E98" s="16">
        <v>0</v>
      </c>
      <c r="F98" s="16">
        <v>1.589345</v>
      </c>
      <c r="G98" s="16">
        <v>100000</v>
      </c>
      <c r="H98" s="16">
        <v>0</v>
      </c>
      <c r="I98" s="16">
        <v>-1</v>
      </c>
      <c r="J98" s="16">
        <v>1</v>
      </c>
      <c r="K98" s="16">
        <v>0.12734100000000001</v>
      </c>
      <c r="L98" s="16">
        <v>1</v>
      </c>
      <c r="M98" s="16">
        <v>5.8245999999999999E-2</v>
      </c>
    </row>
    <row r="99" spans="1:13" x14ac:dyDescent="0.2">
      <c r="A99" s="3" t="s">
        <v>286</v>
      </c>
      <c r="B99" s="16">
        <v>448.22170199999999</v>
      </c>
      <c r="C99" s="16">
        <v>4.4813919999999996</v>
      </c>
      <c r="D99" s="16">
        <v>25</v>
      </c>
      <c r="E99" s="16">
        <v>0</v>
      </c>
      <c r="F99" s="16">
        <v>12.128261</v>
      </c>
      <c r="G99" s="16">
        <v>100000</v>
      </c>
      <c r="H99" s="16">
        <v>0</v>
      </c>
      <c r="I99" s="16">
        <v>-1</v>
      </c>
      <c r="J99" s="16">
        <v>1</v>
      </c>
      <c r="K99" s="16">
        <v>1.9266999999999999E-2</v>
      </c>
      <c r="L99" s="16">
        <v>1</v>
      </c>
      <c r="M99" s="16">
        <v>4.8263E-2</v>
      </c>
    </row>
    <row r="100" spans="1:13" x14ac:dyDescent="0.2">
      <c r="A100" s="3" t="s">
        <v>287</v>
      </c>
      <c r="B100" s="16">
        <v>20.771964000000001</v>
      </c>
      <c r="C100" s="16">
        <v>0.207622</v>
      </c>
      <c r="D100" s="16">
        <v>25</v>
      </c>
      <c r="E100" s="16">
        <v>0</v>
      </c>
      <c r="F100" s="16">
        <v>1.0875939999999999</v>
      </c>
      <c r="G100" s="16">
        <v>100000</v>
      </c>
      <c r="H100" s="16">
        <v>0</v>
      </c>
      <c r="I100" s="16">
        <v>-1</v>
      </c>
      <c r="J100" s="16">
        <v>1</v>
      </c>
      <c r="K100" s="16">
        <v>2.5184999999999999E-2</v>
      </c>
      <c r="L100" s="16">
        <v>1</v>
      </c>
      <c r="M100" s="16">
        <v>4.8263E-2</v>
      </c>
    </row>
    <row r="101" spans="1:13" x14ac:dyDescent="0.2">
      <c r="A101" s="3" t="s">
        <v>288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289</v>
      </c>
      <c r="B102" s="16">
        <v>8765.5620990000007</v>
      </c>
      <c r="C102" s="16">
        <v>105.186745</v>
      </c>
      <c r="D102" s="16">
        <v>20</v>
      </c>
      <c r="E102" s="16">
        <v>0</v>
      </c>
      <c r="F102" s="16">
        <v>350.62248399999999</v>
      </c>
      <c r="G102" s="16">
        <v>100000</v>
      </c>
      <c r="H102" s="16">
        <v>0</v>
      </c>
      <c r="I102" s="16">
        <v>-1</v>
      </c>
      <c r="J102" s="16">
        <v>1</v>
      </c>
      <c r="K102" s="16">
        <v>5.7840000000000001E-3</v>
      </c>
      <c r="L102" s="16">
        <v>1</v>
      </c>
      <c r="M102" s="16">
        <v>5.8245999999999999E-2</v>
      </c>
    </row>
    <row r="103" spans="1:13" x14ac:dyDescent="0.2">
      <c r="A103" s="3" t="s">
        <v>290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291</v>
      </c>
      <c r="B104" s="16">
        <v>1498.1555470000001</v>
      </c>
      <c r="C104" s="16">
        <v>0</v>
      </c>
      <c r="D104" s="16">
        <v>60</v>
      </c>
      <c r="E104" s="16">
        <v>0</v>
      </c>
      <c r="F104" s="16">
        <v>1.814006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292</v>
      </c>
      <c r="B105" s="16">
        <v>239320.62299999999</v>
      </c>
      <c r="C105" s="16">
        <v>0</v>
      </c>
      <c r="D105" s="16">
        <v>80</v>
      </c>
      <c r="E105" s="16">
        <v>0</v>
      </c>
      <c r="F105" s="16">
        <v>1.0523420000000001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293</v>
      </c>
      <c r="B106" s="16">
        <v>69889.239830999999</v>
      </c>
      <c r="C106" s="16">
        <v>971.99524599999995</v>
      </c>
      <c r="D106" s="16">
        <v>25</v>
      </c>
      <c r="E106" s="16">
        <v>0</v>
      </c>
      <c r="F106" s="16">
        <v>15.514689000000001</v>
      </c>
      <c r="G106" s="16">
        <v>100000</v>
      </c>
      <c r="H106" s="16">
        <v>0</v>
      </c>
      <c r="I106" s="16">
        <v>-1</v>
      </c>
      <c r="J106" s="16">
        <v>1</v>
      </c>
      <c r="K106" s="16">
        <v>0.19344900000000001</v>
      </c>
      <c r="L106" s="16">
        <v>1</v>
      </c>
      <c r="M106" s="16">
        <v>4.8263E-2</v>
      </c>
    </row>
    <row r="107" spans="1:13" x14ac:dyDescent="0.2">
      <c r="A107" s="3" t="s">
        <v>294</v>
      </c>
      <c r="B107" s="16">
        <v>2494.1977630000001</v>
      </c>
      <c r="C107" s="16">
        <v>28.481763999999998</v>
      </c>
      <c r="D107" s="16">
        <v>25</v>
      </c>
      <c r="E107" s="16">
        <v>0</v>
      </c>
      <c r="F107" s="16">
        <v>0.45209100000000002</v>
      </c>
      <c r="G107" s="16">
        <v>100000</v>
      </c>
      <c r="H107" s="16">
        <v>0</v>
      </c>
      <c r="I107" s="16">
        <v>-1</v>
      </c>
      <c r="J107" s="16">
        <v>1</v>
      </c>
      <c r="K107" s="16">
        <v>0.19344900000000001</v>
      </c>
      <c r="L107" s="16">
        <v>1</v>
      </c>
      <c r="M107" s="16">
        <v>4.8263E-2</v>
      </c>
    </row>
    <row r="108" spans="1:13" x14ac:dyDescent="0.2">
      <c r="A108" s="3" t="s">
        <v>295</v>
      </c>
      <c r="B108" s="16">
        <v>0</v>
      </c>
      <c r="C108" s="16">
        <v>0</v>
      </c>
      <c r="D108" s="16">
        <v>15</v>
      </c>
      <c r="E108" s="16">
        <v>0</v>
      </c>
      <c r="F108" s="16">
        <v>0</v>
      </c>
      <c r="G108" s="16">
        <v>100000</v>
      </c>
      <c r="H108" s="16">
        <v>0</v>
      </c>
      <c r="I108" s="16">
        <v>-1</v>
      </c>
      <c r="J108" s="16">
        <v>1</v>
      </c>
      <c r="K108" s="16">
        <v>0</v>
      </c>
      <c r="L108" s="16">
        <v>0.9</v>
      </c>
      <c r="M108" s="16">
        <v>7.4943999999999997E-2</v>
      </c>
    </row>
    <row r="109" spans="1:13" x14ac:dyDescent="0.2">
      <c r="A109" s="3" t="s">
        <v>296</v>
      </c>
      <c r="B109" s="16">
        <v>52.408712000000001</v>
      </c>
      <c r="C109" s="16">
        <v>4.9570360000000004</v>
      </c>
      <c r="D109" s="16">
        <v>25</v>
      </c>
      <c r="E109" s="16">
        <v>0</v>
      </c>
      <c r="F109" s="16">
        <v>7.6930999999999999E-2</v>
      </c>
      <c r="G109" s="16">
        <v>100000</v>
      </c>
      <c r="H109" s="16">
        <v>0</v>
      </c>
      <c r="I109" s="16">
        <v>-1</v>
      </c>
      <c r="J109" s="16">
        <v>1</v>
      </c>
      <c r="K109" s="16">
        <v>0.86</v>
      </c>
      <c r="L109" s="16">
        <v>0.86</v>
      </c>
      <c r="M109" s="16">
        <v>4.8263E-2</v>
      </c>
    </row>
    <row r="110" spans="1:13" x14ac:dyDescent="0.2">
      <c r="A110" s="3" t="s">
        <v>297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298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299</v>
      </c>
      <c r="B112" s="16">
        <v>2631.485138</v>
      </c>
      <c r="C112" s="16">
        <v>131.56600800000001</v>
      </c>
      <c r="D112" s="16">
        <v>25</v>
      </c>
      <c r="E112" s="16">
        <v>0</v>
      </c>
      <c r="F112" s="16">
        <v>1.957633</v>
      </c>
      <c r="G112" s="16">
        <v>100000</v>
      </c>
      <c r="H112" s="16">
        <v>0</v>
      </c>
      <c r="I112" s="16">
        <v>-1</v>
      </c>
      <c r="J112" s="16">
        <v>1</v>
      </c>
      <c r="K112" s="16">
        <v>0.85</v>
      </c>
      <c r="L112" s="16">
        <v>0.85</v>
      </c>
      <c r="M112" s="16">
        <v>4.8263E-2</v>
      </c>
    </row>
    <row r="113" spans="1:13" x14ac:dyDescent="0.2">
      <c r="A113" s="3" t="s">
        <v>300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301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302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303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A117" s="3" t="s">
        <v>304</v>
      </c>
      <c r="B117" s="16">
        <v>2319.9570239999998</v>
      </c>
      <c r="C117" s="16">
        <v>19.554123000000001</v>
      </c>
      <c r="D117" s="16">
        <v>20</v>
      </c>
      <c r="E117" s="16">
        <v>0</v>
      </c>
      <c r="F117" s="16">
        <v>1.3967229999999999</v>
      </c>
      <c r="G117" s="16">
        <v>100000</v>
      </c>
      <c r="H117" s="16">
        <v>0</v>
      </c>
      <c r="I117" s="16">
        <v>-1</v>
      </c>
      <c r="J117" s="16">
        <v>1</v>
      </c>
      <c r="K117" s="16">
        <v>0.85</v>
      </c>
      <c r="L117" s="16">
        <v>0.85</v>
      </c>
      <c r="M117" s="16">
        <v>5.8245999999999999E-2</v>
      </c>
    </row>
    <row r="118" spans="1:13" x14ac:dyDescent="0.2">
      <c r="A118" s="3" t="s">
        <v>305</v>
      </c>
      <c r="B118" s="16">
        <v>0</v>
      </c>
      <c r="C118" s="16">
        <v>0</v>
      </c>
      <c r="D118" s="16">
        <v>1</v>
      </c>
      <c r="E118" s="16">
        <v>0</v>
      </c>
      <c r="F118" s="16">
        <v>100000</v>
      </c>
      <c r="G118" s="16">
        <v>100000</v>
      </c>
      <c r="H118" s="16">
        <v>0</v>
      </c>
      <c r="I118" s="16">
        <v>-1</v>
      </c>
      <c r="J118" s="16">
        <v>1</v>
      </c>
      <c r="K118" s="16">
        <v>0</v>
      </c>
      <c r="L118" s="16">
        <v>1</v>
      </c>
      <c r="M118" s="16">
        <v>1.0149999999999999</v>
      </c>
    </row>
    <row r="119" spans="1:13" x14ac:dyDescent="0.2">
      <c r="A119" s="3" t="s">
        <v>306</v>
      </c>
      <c r="B119" s="16">
        <v>0</v>
      </c>
      <c r="C119" s="16">
        <v>0</v>
      </c>
      <c r="D119" s="16">
        <v>1</v>
      </c>
      <c r="E119" s="16">
        <v>0</v>
      </c>
      <c r="F119" s="16">
        <v>100000</v>
      </c>
      <c r="G119" s="16">
        <v>100000</v>
      </c>
      <c r="H119" s="16">
        <v>0</v>
      </c>
      <c r="I119" s="16">
        <v>-1</v>
      </c>
      <c r="J119" s="16">
        <v>1</v>
      </c>
      <c r="K119" s="16">
        <v>1.7E-5</v>
      </c>
      <c r="L119" s="16">
        <v>1</v>
      </c>
      <c r="M119" s="16">
        <v>1.0149999999999999</v>
      </c>
    </row>
    <row r="120" spans="1:13" x14ac:dyDescent="0.2">
      <c r="A120" s="3" t="s">
        <v>307</v>
      </c>
      <c r="B120" s="16">
        <v>0</v>
      </c>
      <c r="C120" s="16">
        <v>0</v>
      </c>
      <c r="D120" s="16">
        <v>1</v>
      </c>
      <c r="E120" s="16">
        <v>0</v>
      </c>
      <c r="F120" s="16">
        <v>100000</v>
      </c>
      <c r="G120" s="16">
        <v>100000</v>
      </c>
      <c r="H120" s="16">
        <v>0</v>
      </c>
      <c r="I120" s="16">
        <v>-1</v>
      </c>
      <c r="J120" s="16">
        <v>1</v>
      </c>
      <c r="K120" s="16">
        <v>0</v>
      </c>
      <c r="L120" s="16">
        <v>1</v>
      </c>
      <c r="M120" s="16">
        <v>1.0149999999999999</v>
      </c>
    </row>
    <row r="121" spans="1:13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6" spans="1:13" ht="16" thickBot="1" x14ac:dyDescent="0.25">
      <c r="A126" s="34" t="s">
        <v>174</v>
      </c>
      <c r="B126" s="4" t="s">
        <v>350</v>
      </c>
      <c r="C126" s="4" t="s">
        <v>346</v>
      </c>
      <c r="D126" s="4" t="s">
        <v>349</v>
      </c>
      <c r="F126" s="15" t="s">
        <v>334</v>
      </c>
      <c r="G126" s="1">
        <f>365*24</f>
        <v>8760</v>
      </c>
    </row>
    <row r="127" spans="1:13" ht="16" thickTop="1" x14ac:dyDescent="0.2">
      <c r="A127" s="35" t="s">
        <v>187</v>
      </c>
      <c r="B127" s="38" t="s">
        <v>343</v>
      </c>
      <c r="C127" s="38" t="s">
        <v>347</v>
      </c>
      <c r="D127" s="38" t="s">
        <v>351</v>
      </c>
    </row>
    <row r="128" spans="1:13" x14ac:dyDescent="0.2">
      <c r="A128" s="36" t="s">
        <v>194</v>
      </c>
      <c r="B128" s="16">
        <f>K3</f>
        <v>0.84899999999999998</v>
      </c>
      <c r="C128" s="16">
        <f>F3</f>
        <v>7.3621999999999996</v>
      </c>
      <c r="D128" s="16">
        <f t="shared" ref="D128:D134" si="0">C128*B128*$G$126</f>
        <v>54754.448327999991</v>
      </c>
    </row>
    <row r="129" spans="1:6" x14ac:dyDescent="0.2">
      <c r="A129" s="36" t="s">
        <v>196</v>
      </c>
      <c r="B129" s="16">
        <f>K5</f>
        <v>0.61799999999999999</v>
      </c>
      <c r="C129" s="16">
        <f>F5</f>
        <v>2.165</v>
      </c>
      <c r="D129" s="16">
        <f t="shared" si="0"/>
        <v>11720.617200000001</v>
      </c>
    </row>
    <row r="130" spans="1:6" x14ac:dyDescent="0.2">
      <c r="A130" s="36" t="s">
        <v>198</v>
      </c>
      <c r="B130" s="16">
        <f>K7</f>
        <v>0.194966</v>
      </c>
      <c r="C130" s="22">
        <f>F7</f>
        <v>18.920999999999999</v>
      </c>
      <c r="D130" s="16">
        <f t="shared" si="0"/>
        <v>32315.216769359999</v>
      </c>
      <c r="F130" s="24" t="s">
        <v>353</v>
      </c>
    </row>
    <row r="131" spans="1:6" x14ac:dyDescent="0.2">
      <c r="A131" s="36" t="s">
        <v>202</v>
      </c>
      <c r="B131" s="16">
        <f>K11</f>
        <v>0.250917</v>
      </c>
      <c r="C131" s="22">
        <f>F11</f>
        <v>38.033000000000001</v>
      </c>
      <c r="D131" s="16">
        <f t="shared" si="0"/>
        <v>83597.786046360008</v>
      </c>
    </row>
    <row r="132" spans="1:6" x14ac:dyDescent="0.2">
      <c r="A132" s="36" t="s">
        <v>203</v>
      </c>
      <c r="B132" s="16">
        <f>K12</f>
        <v>0</v>
      </c>
      <c r="C132" s="22">
        <f>F12</f>
        <v>0</v>
      </c>
      <c r="D132" s="16">
        <f t="shared" si="0"/>
        <v>0</v>
      </c>
    </row>
    <row r="133" spans="1:6" x14ac:dyDescent="0.2">
      <c r="A133" s="36" t="s">
        <v>205</v>
      </c>
      <c r="B133" s="16">
        <f>K14</f>
        <v>0.80534099999999997</v>
      </c>
      <c r="C133" s="22">
        <f>F14</f>
        <v>1.16716</v>
      </c>
      <c r="D133" s="16">
        <f t="shared" si="0"/>
        <v>8234.0653816655995</v>
      </c>
    </row>
    <row r="134" spans="1:6" x14ac:dyDescent="0.2">
      <c r="A134" s="36" t="s">
        <v>200</v>
      </c>
      <c r="B134" s="16">
        <f>K9</f>
        <v>0.43940299999999999</v>
      </c>
      <c r="C134" s="22">
        <f>F9</f>
        <v>5.0999999999999997E-2</v>
      </c>
      <c r="D134" s="16">
        <f t="shared" si="0"/>
        <v>196.30768427999999</v>
      </c>
    </row>
    <row r="135" spans="1:6" x14ac:dyDescent="0.2">
      <c r="A135" s="36"/>
      <c r="B135" s="25" t="s">
        <v>335</v>
      </c>
      <c r="C135" s="19">
        <f>SUM(C128:C134)</f>
        <v>67.699359999999999</v>
      </c>
      <c r="D135" s="19">
        <f>SUM(D128:D134)</f>
        <v>190818.4414096656</v>
      </c>
    </row>
    <row r="136" spans="1:6" x14ac:dyDescent="0.2">
      <c r="A136" s="37" t="s">
        <v>299</v>
      </c>
      <c r="B136" s="26">
        <v>0.85</v>
      </c>
      <c r="C136" s="26">
        <v>2.0957940000000002</v>
      </c>
      <c r="D136" s="26">
        <f>C136*B136*G126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E35" sqref="E35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0</v>
      </c>
      <c r="C2" s="14">
        <v>100000000</v>
      </c>
      <c r="F2" s="3" t="s">
        <v>1</v>
      </c>
      <c r="G2" s="12">
        <f>H2/1000</f>
        <v>0</v>
      </c>
      <c r="H2" s="12">
        <f>B2</f>
        <v>0</v>
      </c>
    </row>
    <row r="3" spans="1:8" x14ac:dyDescent="0.2">
      <c r="A3" s="3" t="s">
        <v>2</v>
      </c>
      <c r="B3" s="14">
        <v>74469.331451000005</v>
      </c>
      <c r="C3" s="14">
        <v>100000000</v>
      </c>
      <c r="F3" s="16" t="s">
        <v>2</v>
      </c>
      <c r="G3" s="12">
        <f t="shared" ref="G3:G18" si="0">H3/1000</f>
        <v>74.469331451000002</v>
      </c>
      <c r="H3" s="12">
        <f>B3</f>
        <v>74469.331451000005</v>
      </c>
    </row>
    <row r="4" spans="1:8" x14ac:dyDescent="0.2">
      <c r="A4" s="3" t="s">
        <v>3</v>
      </c>
      <c r="B4" s="14">
        <v>154003.813632</v>
      </c>
      <c r="C4" s="14">
        <v>100000000</v>
      </c>
      <c r="F4" s="16" t="s">
        <v>3</v>
      </c>
      <c r="G4" s="12">
        <f t="shared" si="0"/>
        <v>154.003813632</v>
      </c>
      <c r="H4" s="12">
        <f t="shared" ref="H4:H8" si="1">B4</f>
        <v>154003.813632</v>
      </c>
    </row>
    <row r="5" spans="1:8" x14ac:dyDescent="0.2">
      <c r="A5" s="3" t="s">
        <v>312</v>
      </c>
      <c r="B5" s="14">
        <v>0</v>
      </c>
      <c r="C5" s="14">
        <v>10000</v>
      </c>
      <c r="F5" s="16" t="s">
        <v>312</v>
      </c>
      <c r="G5" s="12">
        <f t="shared" si="0"/>
        <v>0</v>
      </c>
      <c r="H5" s="12">
        <f t="shared" si="1"/>
        <v>0</v>
      </c>
    </row>
    <row r="6" spans="1:8" x14ac:dyDescent="0.2">
      <c r="A6" s="3" t="s">
        <v>313</v>
      </c>
      <c r="B6" s="14">
        <v>0</v>
      </c>
      <c r="C6" s="14">
        <v>10000</v>
      </c>
      <c r="F6" s="16" t="s">
        <v>313</v>
      </c>
      <c r="G6" s="12">
        <f t="shared" si="0"/>
        <v>0</v>
      </c>
      <c r="H6" s="12">
        <f t="shared" si="1"/>
        <v>0</v>
      </c>
    </row>
    <row r="7" spans="1:8" x14ac:dyDescent="0.2">
      <c r="A7" s="3" t="s">
        <v>4</v>
      </c>
      <c r="B7" s="14">
        <v>39642.231591000003</v>
      </c>
      <c r="C7" s="14">
        <v>100000000</v>
      </c>
      <c r="F7" s="16" t="s">
        <v>4</v>
      </c>
      <c r="G7" s="12">
        <f t="shared" si="0"/>
        <v>39.642231591000005</v>
      </c>
      <c r="H7" s="12">
        <f t="shared" si="1"/>
        <v>39642.231591000003</v>
      </c>
    </row>
    <row r="8" spans="1:8" x14ac:dyDescent="0.2">
      <c r="A8" s="3" t="s">
        <v>5</v>
      </c>
      <c r="B8" s="14">
        <v>220745.373616</v>
      </c>
      <c r="C8" s="14">
        <v>100000000</v>
      </c>
      <c r="F8" s="16" t="s">
        <v>5</v>
      </c>
      <c r="G8" s="12">
        <f t="shared" si="0"/>
        <v>220.74537361599999</v>
      </c>
      <c r="H8" s="12">
        <f t="shared" si="1"/>
        <v>220745.373616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81.89846</v>
      </c>
      <c r="H9" s="12">
        <f>B11</f>
        <v>81898.460000000006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11.134903645</v>
      </c>
      <c r="H10" s="12">
        <f t="shared" ref="H10:H13" si="2">B12</f>
        <v>11134.903645</v>
      </c>
    </row>
    <row r="11" spans="1:8" x14ac:dyDescent="0.2">
      <c r="A11" s="3" t="s">
        <v>7</v>
      </c>
      <c r="B11" s="14">
        <v>81898.460000000006</v>
      </c>
      <c r="C11" s="14">
        <v>81898.460000000006</v>
      </c>
      <c r="F11" s="16" t="s">
        <v>9</v>
      </c>
      <c r="G11" s="12">
        <f t="shared" si="0"/>
        <v>33.990418286000001</v>
      </c>
      <c r="H11" s="12">
        <f t="shared" si="2"/>
        <v>33990.418286</v>
      </c>
    </row>
    <row r="12" spans="1:8" x14ac:dyDescent="0.2">
      <c r="A12" s="3" t="s">
        <v>8</v>
      </c>
      <c r="B12" s="14">
        <v>11134.903645</v>
      </c>
      <c r="C12" s="14">
        <v>158702.98000000001</v>
      </c>
      <c r="F12" s="16" t="s">
        <v>10</v>
      </c>
      <c r="G12" s="12">
        <f t="shared" si="0"/>
        <v>147.98484749600001</v>
      </c>
      <c r="H12" s="12">
        <f t="shared" si="2"/>
        <v>147984.847496</v>
      </c>
    </row>
    <row r="13" spans="1:8" x14ac:dyDescent="0.2">
      <c r="A13" s="3" t="s">
        <v>9</v>
      </c>
      <c r="B13" s="14">
        <v>33990.418286</v>
      </c>
      <c r="C13" s="14">
        <v>100000000</v>
      </c>
      <c r="F13" s="16" t="s">
        <v>11</v>
      </c>
      <c r="G13" s="12">
        <f t="shared" si="0"/>
        <v>38.204550000000005</v>
      </c>
      <c r="H13" s="12">
        <f t="shared" si="2"/>
        <v>38204.550000000003</v>
      </c>
    </row>
    <row r="14" spans="1:8" x14ac:dyDescent="0.2">
      <c r="A14" s="3" t="s">
        <v>10</v>
      </c>
      <c r="B14" s="14">
        <v>147984.847496</v>
      </c>
      <c r="C14" s="14">
        <v>100000000</v>
      </c>
      <c r="F14" s="16" t="s">
        <v>13</v>
      </c>
      <c r="G14" s="12">
        <f t="shared" si="0"/>
        <v>83.597709226999996</v>
      </c>
      <c r="H14" s="3">
        <f>B19</f>
        <v>83597.709226999999</v>
      </c>
    </row>
    <row r="15" spans="1:8" x14ac:dyDescent="0.2">
      <c r="A15" s="3" t="s">
        <v>11</v>
      </c>
      <c r="B15" s="14">
        <v>38204.550000000003</v>
      </c>
      <c r="C15" s="14">
        <v>38204.550000000003</v>
      </c>
      <c r="F15" s="16" t="s">
        <v>14</v>
      </c>
      <c r="G15" s="12">
        <f t="shared" si="0"/>
        <v>83.369171199999997</v>
      </c>
      <c r="H15" s="16">
        <f t="shared" ref="H15:H17" si="3">B20</f>
        <v>83369.171199999997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28.059578843000001</v>
      </c>
      <c r="H16" s="16">
        <f t="shared" si="3"/>
        <v>28059.578842999999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13.507085105</v>
      </c>
      <c r="H17" s="16">
        <f t="shared" si="3"/>
        <v>13507.085105</v>
      </c>
    </row>
    <row r="18" spans="1:8" x14ac:dyDescent="0.2">
      <c r="A18" s="3" t="s">
        <v>316</v>
      </c>
      <c r="B18" s="14">
        <v>53409.402741999998</v>
      </c>
      <c r="C18" s="14">
        <v>100000000</v>
      </c>
      <c r="F18" s="16" t="s">
        <v>357</v>
      </c>
      <c r="G18" s="12">
        <f t="shared" si="0"/>
        <v>21.667506380999999</v>
      </c>
      <c r="H18" s="12">
        <f>B28</f>
        <v>21667.506380999999</v>
      </c>
    </row>
    <row r="19" spans="1:8" x14ac:dyDescent="0.2">
      <c r="A19" s="3" t="s">
        <v>13</v>
      </c>
      <c r="B19" s="14">
        <v>83597.709226999999</v>
      </c>
      <c r="C19" s="14">
        <v>100000000</v>
      </c>
    </row>
    <row r="20" spans="1:8" x14ac:dyDescent="0.2">
      <c r="A20" s="3" t="s">
        <v>14</v>
      </c>
      <c r="B20" s="14">
        <v>83369.171199999997</v>
      </c>
      <c r="C20" s="14">
        <v>100000000</v>
      </c>
    </row>
    <row r="21" spans="1:8" x14ac:dyDescent="0.2">
      <c r="A21" s="3" t="s">
        <v>15</v>
      </c>
      <c r="B21" s="14">
        <v>28059.578842999999</v>
      </c>
      <c r="C21" s="14">
        <v>100000000</v>
      </c>
    </row>
    <row r="22" spans="1:8" x14ac:dyDescent="0.2">
      <c r="A22" s="3" t="s">
        <v>16</v>
      </c>
      <c r="B22" s="14">
        <v>13507.085105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21667.506380999999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6"/>
  <sheetViews>
    <sheetView topLeftCell="A52" workbookViewId="0">
      <selection activeCell="E60" sqref="E60:E66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2" width="11.5" style="1"/>
    <col min="13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382</v>
      </c>
      <c r="F1" s="8" t="s">
        <v>335</v>
      </c>
      <c r="G1" s="1" t="s">
        <v>404</v>
      </c>
    </row>
    <row r="2" spans="1:14" x14ac:dyDescent="0.2">
      <c r="A2" s="3" t="s">
        <v>194</v>
      </c>
      <c r="B2" s="14">
        <v>905.91731400000003</v>
      </c>
      <c r="C2" s="14">
        <v>757.79850499999998</v>
      </c>
      <c r="D2" s="14">
        <v>0</v>
      </c>
      <c r="E2" s="1">
        <f>SUM(B2:D2)</f>
        <v>1663.715819</v>
      </c>
      <c r="F2" s="1">
        <f>SUM(B2:D146)</f>
        <v>151639.76669399996</v>
      </c>
      <c r="G2" s="33">
        <f>F2/1000</f>
        <v>151.63976669399997</v>
      </c>
    </row>
    <row r="3" spans="1:14" x14ac:dyDescent="0.2">
      <c r="A3" s="3" t="s">
        <v>195</v>
      </c>
      <c r="B3" s="14">
        <v>1016.6524920000001</v>
      </c>
      <c r="C3" s="14">
        <v>538.36326199999996</v>
      </c>
      <c r="D3" s="14">
        <v>0</v>
      </c>
      <c r="E3" s="15">
        <f t="shared" ref="E3:E66" si="0">SUM(B3:D3)</f>
        <v>1555.015754</v>
      </c>
    </row>
    <row r="4" spans="1:14" x14ac:dyDescent="0.2">
      <c r="A4" s="3" t="s">
        <v>196</v>
      </c>
      <c r="B4" s="14">
        <v>201.239082</v>
      </c>
      <c r="C4" s="14">
        <v>64.307332000000002</v>
      </c>
      <c r="D4" s="14">
        <v>0</v>
      </c>
      <c r="E4" s="15">
        <f t="shared" si="0"/>
        <v>265.54641400000003</v>
      </c>
    </row>
    <row r="5" spans="1:14" x14ac:dyDescent="0.2">
      <c r="A5" s="3" t="s">
        <v>197</v>
      </c>
      <c r="B5" s="14">
        <v>0</v>
      </c>
      <c r="C5" s="14">
        <v>0</v>
      </c>
      <c r="D5" s="14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4">
        <v>794.47774600000002</v>
      </c>
      <c r="C6" s="14">
        <v>204.63061500000001</v>
      </c>
      <c r="D6" s="14">
        <v>0</v>
      </c>
      <c r="E6" s="15">
        <f t="shared" si="0"/>
        <v>999.10836100000006</v>
      </c>
      <c r="F6" s="3">
        <f>SUM(B2:B146)</f>
        <v>81297.167992999981</v>
      </c>
      <c r="G6" s="3">
        <f>SUM(C2:C146)</f>
        <v>36510.718485999998</v>
      </c>
      <c r="H6" s="3">
        <f>SUM(D2:D146)</f>
        <v>33831.880214999997</v>
      </c>
      <c r="I6" s="3">
        <f>H6+G6+F6</f>
        <v>151639.76669399999</v>
      </c>
    </row>
    <row r="7" spans="1:14" x14ac:dyDescent="0.2">
      <c r="A7" s="3" t="s">
        <v>199</v>
      </c>
      <c r="B7" s="14">
        <v>112.046351</v>
      </c>
      <c r="C7" s="14">
        <v>139.23962499999999</v>
      </c>
      <c r="D7" s="14">
        <v>0</v>
      </c>
      <c r="E7" s="15">
        <f t="shared" si="0"/>
        <v>251.28597600000001</v>
      </c>
      <c r="F7" s="9"/>
      <c r="G7" s="9"/>
      <c r="H7" s="9"/>
      <c r="I7" s="9"/>
    </row>
    <row r="8" spans="1:14" x14ac:dyDescent="0.2">
      <c r="A8" s="3" t="s">
        <v>200</v>
      </c>
      <c r="B8" s="14">
        <v>1.8908510000000001</v>
      </c>
      <c r="C8" s="14">
        <v>3.2130000000000001</v>
      </c>
      <c r="D8" s="14">
        <v>0</v>
      </c>
      <c r="E8" s="15">
        <f t="shared" si="0"/>
        <v>5.1038510000000006</v>
      </c>
      <c r="F8" s="9"/>
      <c r="G8" s="9"/>
      <c r="H8" s="9"/>
      <c r="I8" s="9"/>
    </row>
    <row r="9" spans="1:14" x14ac:dyDescent="0.2">
      <c r="A9" s="3" t="s">
        <v>201</v>
      </c>
      <c r="B9" s="14">
        <v>0.63895299999999999</v>
      </c>
      <c r="C9" s="14">
        <v>0.24115500000000001</v>
      </c>
      <c r="D9" s="14">
        <v>0</v>
      </c>
      <c r="E9" s="15">
        <f t="shared" si="0"/>
        <v>0.880108</v>
      </c>
      <c r="F9" s="9"/>
      <c r="G9" s="9"/>
      <c r="H9" s="9"/>
      <c r="I9" s="9"/>
    </row>
    <row r="10" spans="1:14" x14ac:dyDescent="0.2">
      <c r="A10" s="3" t="s">
        <v>202</v>
      </c>
      <c r="B10" s="14">
        <v>1647.009777</v>
      </c>
      <c r="C10" s="14">
        <v>109.91537</v>
      </c>
      <c r="D10" s="14">
        <v>0</v>
      </c>
      <c r="E10" s="15">
        <f t="shared" si="0"/>
        <v>1756.9251469999999</v>
      </c>
      <c r="F10" s="9"/>
      <c r="G10" s="9"/>
      <c r="H10" s="9"/>
      <c r="I10" s="9"/>
    </row>
    <row r="11" spans="1:14" x14ac:dyDescent="0.2">
      <c r="A11" s="3" t="s">
        <v>203</v>
      </c>
      <c r="B11" s="14">
        <v>0</v>
      </c>
      <c r="C11" s="14">
        <v>0</v>
      </c>
      <c r="D11" s="14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4">
        <v>2283.253925</v>
      </c>
      <c r="C12" s="14">
        <v>341.49976900000001</v>
      </c>
      <c r="D12" s="14">
        <v>0</v>
      </c>
      <c r="E12" s="15">
        <f t="shared" si="0"/>
        <v>2624.753694</v>
      </c>
      <c r="F12" s="9"/>
      <c r="G12" s="9"/>
      <c r="H12" s="9"/>
      <c r="I12" s="9"/>
    </row>
    <row r="13" spans="1:14" x14ac:dyDescent="0.2">
      <c r="A13" s="3" t="s">
        <v>205</v>
      </c>
      <c r="B13" s="14">
        <v>196.82642100000001</v>
      </c>
      <c r="C13" s="14">
        <v>58.877150999999998</v>
      </c>
      <c r="D13" s="14">
        <v>0</v>
      </c>
      <c r="E13" s="15">
        <f t="shared" si="0"/>
        <v>255.70357200000001</v>
      </c>
      <c r="F13" s="9"/>
      <c r="G13" s="9"/>
      <c r="H13" s="9"/>
      <c r="I13" s="9"/>
    </row>
    <row r="14" spans="1:14" x14ac:dyDescent="0.2">
      <c r="A14" s="3" t="s">
        <v>206</v>
      </c>
      <c r="B14" s="14">
        <v>0</v>
      </c>
      <c r="C14" s="14">
        <v>0</v>
      </c>
      <c r="D14" s="14">
        <v>0</v>
      </c>
      <c r="E14" s="15">
        <f t="shared" si="0"/>
        <v>0</v>
      </c>
      <c r="F14" s="9"/>
      <c r="G14" s="9"/>
      <c r="H14" s="9"/>
      <c r="I14" s="9"/>
      <c r="J14" s="1" t="s">
        <v>384</v>
      </c>
    </row>
    <row r="15" spans="1:14" x14ac:dyDescent="0.2">
      <c r="A15" s="3" t="s">
        <v>207</v>
      </c>
      <c r="B15" s="14">
        <v>0</v>
      </c>
      <c r="C15" s="14">
        <v>0</v>
      </c>
      <c r="D15" s="14">
        <v>0</v>
      </c>
      <c r="E15" s="15">
        <f t="shared" si="0"/>
        <v>0</v>
      </c>
      <c r="J15" s="56" t="s">
        <v>381</v>
      </c>
      <c r="K15" s="16" t="s">
        <v>380</v>
      </c>
      <c r="L15" s="1">
        <f>E121+E120+E122+E125+E126+E131+E132+E146</f>
        <v>32052.432374999997</v>
      </c>
      <c r="M15" s="16" t="s">
        <v>380</v>
      </c>
      <c r="N15" s="33">
        <f>L15/$L$29</f>
        <v>0.21137220845030641</v>
      </c>
    </row>
    <row r="16" spans="1:14" x14ac:dyDescent="0.2">
      <c r="A16" s="3" t="s">
        <v>208</v>
      </c>
      <c r="B16" s="14">
        <v>0</v>
      </c>
      <c r="C16" s="14">
        <v>0</v>
      </c>
      <c r="D16" s="14">
        <v>0</v>
      </c>
      <c r="E16" s="15">
        <f t="shared" si="0"/>
        <v>0</v>
      </c>
      <c r="J16" s="57"/>
      <c r="K16" s="16" t="s">
        <v>379</v>
      </c>
      <c r="L16" s="1">
        <f>E123+E124+E129+E130+E133</f>
        <v>1779.44784</v>
      </c>
      <c r="M16" s="16" t="s">
        <v>379</v>
      </c>
      <c r="N16" s="33">
        <f t="shared" ref="N16:N27" si="1">L16/$L$29</f>
        <v>1.1734704416888347E-2</v>
      </c>
    </row>
    <row r="17" spans="1:27" x14ac:dyDescent="0.2">
      <c r="A17" s="3" t="s">
        <v>209</v>
      </c>
      <c r="B17" s="14">
        <v>3.3023999999999998E-2</v>
      </c>
      <c r="C17" s="14">
        <v>1.2474000000000001E-2</v>
      </c>
      <c r="D17" s="14">
        <v>0</v>
      </c>
      <c r="E17" s="15">
        <f t="shared" si="0"/>
        <v>4.5497999999999997E-2</v>
      </c>
      <c r="J17" s="15"/>
      <c r="K17" s="16" t="s">
        <v>378</v>
      </c>
      <c r="L17" s="1">
        <f>E77+E98+E101+E99+E97+E95+E93+E92+E91+E85+E82</f>
        <v>5522.3271770000001</v>
      </c>
      <c r="M17" s="16" t="s">
        <v>378</v>
      </c>
      <c r="N17" s="33">
        <f t="shared" si="1"/>
        <v>3.6417407500657313E-2</v>
      </c>
    </row>
    <row r="18" spans="1:27" x14ac:dyDescent="0.2">
      <c r="A18" s="3" t="s">
        <v>210</v>
      </c>
      <c r="B18" s="14">
        <v>0</v>
      </c>
      <c r="C18" s="14">
        <v>0</v>
      </c>
      <c r="D18" s="14">
        <v>0</v>
      </c>
      <c r="E18" s="15">
        <f t="shared" si="0"/>
        <v>0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4">
        <v>354.75244099999998</v>
      </c>
      <c r="C19" s="14">
        <v>483.45873999999998</v>
      </c>
      <c r="D19" s="14">
        <v>0</v>
      </c>
      <c r="E19" s="15">
        <f t="shared" si="0"/>
        <v>838.2111809999999</v>
      </c>
      <c r="J19" s="15"/>
      <c r="K19" s="16" t="s">
        <v>376</v>
      </c>
      <c r="L19" s="1">
        <f>SUM(E102:E106,E116,E111,E108)</f>
        <v>13429.691879999998</v>
      </c>
      <c r="M19" s="16" t="s">
        <v>376</v>
      </c>
      <c r="N19" s="33">
        <f t="shared" si="1"/>
        <v>8.8563126762785882E-2</v>
      </c>
    </row>
    <row r="20" spans="1:27" x14ac:dyDescent="0.2">
      <c r="A20" s="3" t="s">
        <v>212</v>
      </c>
      <c r="B20" s="14">
        <v>0</v>
      </c>
      <c r="C20" s="14">
        <v>0</v>
      </c>
      <c r="D20" s="14">
        <v>0</v>
      </c>
      <c r="E20" s="15">
        <f t="shared" si="0"/>
        <v>0</v>
      </c>
      <c r="J20" s="15"/>
      <c r="K20" s="16" t="s">
        <v>370</v>
      </c>
      <c r="L20" s="1">
        <f>SUM(E51:E59)</f>
        <v>6001.351314999999</v>
      </c>
      <c r="M20" s="16" t="s">
        <v>370</v>
      </c>
      <c r="N20" s="33">
        <f t="shared" si="1"/>
        <v>3.9576368691666274E-2</v>
      </c>
    </row>
    <row r="21" spans="1:27" x14ac:dyDescent="0.2">
      <c r="A21" s="3" t="s">
        <v>213</v>
      </c>
      <c r="B21" s="14">
        <v>135.14379400000001</v>
      </c>
      <c r="C21" s="14">
        <v>106.464412</v>
      </c>
      <c r="D21" s="14">
        <v>0</v>
      </c>
      <c r="E21" s="15">
        <f t="shared" si="0"/>
        <v>241.608206</v>
      </c>
      <c r="H21" s="1">
        <f>F2-L29</f>
        <v>0</v>
      </c>
      <c r="J21" s="15"/>
      <c r="K21" s="16" t="s">
        <v>369</v>
      </c>
      <c r="L21" s="1">
        <f>SUM(E60:E67)</f>
        <v>64861.708355999996</v>
      </c>
      <c r="M21" s="16" t="s">
        <v>369</v>
      </c>
      <c r="N21" s="33">
        <f t="shared" si="1"/>
        <v>0.4277354797497615</v>
      </c>
      <c r="Z21" s="1" t="s">
        <v>385</v>
      </c>
      <c r="AA21" s="1" t="s">
        <v>386</v>
      </c>
    </row>
    <row r="22" spans="1:27" x14ac:dyDescent="0.2">
      <c r="A22" s="3" t="s">
        <v>214</v>
      </c>
      <c r="B22" s="14">
        <v>19.670331999999998</v>
      </c>
      <c r="C22" s="14">
        <v>5.8750260000000001</v>
      </c>
      <c r="D22" s="14">
        <v>0</v>
      </c>
      <c r="E22" s="15">
        <f t="shared" si="0"/>
        <v>25.545358</v>
      </c>
      <c r="J22" s="15"/>
      <c r="K22" s="16" t="s">
        <v>371</v>
      </c>
      <c r="L22" s="1">
        <f>SUM(E68:E73)</f>
        <v>12077.963247</v>
      </c>
      <c r="M22" s="16" t="s">
        <v>371</v>
      </c>
      <c r="N22" s="33">
        <f t="shared" si="1"/>
        <v>7.9649049258777943E-2</v>
      </c>
      <c r="Y22" s="16" t="s">
        <v>380</v>
      </c>
      <c r="Z22" s="33">
        <f>N15</f>
        <v>0.21137220845030641</v>
      </c>
      <c r="AA22" s="33">
        <f t="shared" ref="AA22:AA32" si="2">AB40</f>
        <v>0.70285417378494508</v>
      </c>
    </row>
    <row r="23" spans="1:27" x14ac:dyDescent="0.2">
      <c r="A23" s="3" t="s">
        <v>215</v>
      </c>
      <c r="B23" s="14">
        <v>8.9922070000000005</v>
      </c>
      <c r="C23" s="14">
        <v>2.6810529999999999</v>
      </c>
      <c r="D23" s="14">
        <v>0</v>
      </c>
      <c r="E23" s="15">
        <f t="shared" si="0"/>
        <v>11.673260000000001</v>
      </c>
      <c r="J23" s="15"/>
      <c r="K23" s="16" t="s">
        <v>372</v>
      </c>
      <c r="L23" s="1">
        <f>SUM(E38:E48)</f>
        <v>3842.6367130000003</v>
      </c>
      <c r="M23" s="16" t="s">
        <v>372</v>
      </c>
      <c r="N23" s="33">
        <f t="shared" si="1"/>
        <v>2.5340560703672223E-2</v>
      </c>
      <c r="Y23" s="16" t="s">
        <v>379</v>
      </c>
      <c r="Z23" s="33">
        <f t="shared" ref="Z23:Z34" si="3">N16</f>
        <v>1.1734704416888347E-2</v>
      </c>
      <c r="AA23" s="33">
        <f t="shared" si="2"/>
        <v>5.2658884171904237E-2</v>
      </c>
    </row>
    <row r="24" spans="1:27" x14ac:dyDescent="0.2">
      <c r="A24" s="3" t="s">
        <v>216</v>
      </c>
      <c r="B24" s="14">
        <v>0</v>
      </c>
      <c r="C24" s="14">
        <v>0</v>
      </c>
      <c r="D24" s="14">
        <v>0</v>
      </c>
      <c r="E24" s="15">
        <f t="shared" si="0"/>
        <v>0</v>
      </c>
      <c r="J24" s="15"/>
      <c r="K24" s="16" t="s">
        <v>373</v>
      </c>
      <c r="L24" s="1">
        <f>SUM(E28:E37)</f>
        <v>216.77145100000001</v>
      </c>
      <c r="M24" s="16" t="s">
        <v>373</v>
      </c>
      <c r="N24" s="33">
        <f t="shared" si="1"/>
        <v>1.4295158567305889E-3</v>
      </c>
      <c r="Y24" s="16" t="s">
        <v>378</v>
      </c>
      <c r="Z24" s="33">
        <f t="shared" si="3"/>
        <v>3.6417407500657313E-2</v>
      </c>
      <c r="AA24" s="33">
        <f t="shared" si="2"/>
        <v>2.4393936389367232E-3</v>
      </c>
    </row>
    <row r="25" spans="1:27" x14ac:dyDescent="0.2">
      <c r="A25" s="3" t="s">
        <v>217</v>
      </c>
      <c r="B25" s="14">
        <v>8.0929859999999998</v>
      </c>
      <c r="C25" s="14">
        <v>2.4129480000000001</v>
      </c>
      <c r="D25" s="14">
        <v>0</v>
      </c>
      <c r="E25" s="15">
        <f t="shared" si="0"/>
        <v>10.505934</v>
      </c>
      <c r="J25" s="15"/>
      <c r="K25" s="16" t="s">
        <v>374</v>
      </c>
      <c r="L25" s="1">
        <f>SUM(E19:E27)</f>
        <v>1150.8904590000002</v>
      </c>
      <c r="M25" s="16" t="s">
        <v>374</v>
      </c>
      <c r="N25" s="33">
        <f t="shared" si="1"/>
        <v>7.5896348569463876E-3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4">
        <v>17.984413</v>
      </c>
      <c r="C26" s="14">
        <v>5.362107</v>
      </c>
      <c r="D26" s="14">
        <v>0</v>
      </c>
      <c r="E26" s="15">
        <f t="shared" si="0"/>
        <v>23.346519999999998</v>
      </c>
      <c r="J26" s="15"/>
      <c r="K26" s="16" t="s">
        <v>383</v>
      </c>
      <c r="L26" s="1">
        <f>SUM(E49:E50)</f>
        <v>1326.4616870000002</v>
      </c>
      <c r="M26" s="16" t="s">
        <v>383</v>
      </c>
      <c r="N26" s="33">
        <f t="shared" si="1"/>
        <v>8.7474527026721212E-3</v>
      </c>
      <c r="Y26" s="16" t="s">
        <v>376</v>
      </c>
      <c r="Z26" s="33">
        <f t="shared" si="3"/>
        <v>8.8563126762785882E-2</v>
      </c>
      <c r="AA26" s="33">
        <f t="shared" si="2"/>
        <v>0</v>
      </c>
    </row>
    <row r="27" spans="1:27" x14ac:dyDescent="0.2">
      <c r="A27" s="3" t="s">
        <v>219</v>
      </c>
      <c r="B27" s="14">
        <v>0</v>
      </c>
      <c r="C27" s="14">
        <v>0</v>
      </c>
      <c r="D27" s="14">
        <v>0</v>
      </c>
      <c r="E27" s="15">
        <f t="shared" si="0"/>
        <v>0</v>
      </c>
      <c r="K27" s="16" t="s">
        <v>375</v>
      </c>
      <c r="L27" s="1">
        <f>SUM(E2:E18)</f>
        <v>9378.0841940000009</v>
      </c>
      <c r="M27" s="16" t="s">
        <v>375</v>
      </c>
      <c r="N27" s="33">
        <f t="shared" si="1"/>
        <v>6.1844491049134989E-2</v>
      </c>
      <c r="Y27" s="16" t="s">
        <v>370</v>
      </c>
      <c r="Z27" s="33">
        <f t="shared" si="3"/>
        <v>3.9576368691666274E-2</v>
      </c>
      <c r="AA27" s="33">
        <f t="shared" si="2"/>
        <v>0</v>
      </c>
    </row>
    <row r="28" spans="1:27" x14ac:dyDescent="0.2">
      <c r="A28" s="3" t="s">
        <v>220</v>
      </c>
      <c r="B28" s="14">
        <v>0</v>
      </c>
      <c r="C28" s="14">
        <v>0</v>
      </c>
      <c r="D28" s="14">
        <v>0</v>
      </c>
      <c r="E28" s="15">
        <f t="shared" si="0"/>
        <v>0</v>
      </c>
      <c r="Y28" s="16" t="s">
        <v>369</v>
      </c>
      <c r="Z28" s="33">
        <f t="shared" si="3"/>
        <v>0.4277354797497615</v>
      </c>
      <c r="AA28" s="33">
        <f t="shared" si="2"/>
        <v>0.22111566873075181</v>
      </c>
    </row>
    <row r="29" spans="1:27" x14ac:dyDescent="0.2">
      <c r="A29" s="3" t="s">
        <v>221</v>
      </c>
      <c r="B29" s="14">
        <v>0</v>
      </c>
      <c r="C29" s="14">
        <v>0</v>
      </c>
      <c r="D29" s="14">
        <v>0</v>
      </c>
      <c r="E29" s="15">
        <f t="shared" si="0"/>
        <v>0</v>
      </c>
      <c r="K29" s="1" t="s">
        <v>336</v>
      </c>
      <c r="L29" s="1">
        <f>SUM(L15:L27)</f>
        <v>151639.76669399999</v>
      </c>
      <c r="Y29" s="16" t="s">
        <v>371</v>
      </c>
      <c r="Z29" s="33">
        <f t="shared" si="3"/>
        <v>7.9649049258777943E-2</v>
      </c>
      <c r="AA29" s="33">
        <f t="shared" si="2"/>
        <v>0</v>
      </c>
    </row>
    <row r="30" spans="1:27" x14ac:dyDescent="0.2">
      <c r="A30" s="3" t="s">
        <v>222</v>
      </c>
      <c r="B30" s="14">
        <v>0</v>
      </c>
      <c r="C30" s="14">
        <v>0</v>
      </c>
      <c r="D30" s="14">
        <v>0</v>
      </c>
      <c r="E30" s="15">
        <f t="shared" si="0"/>
        <v>0</v>
      </c>
      <c r="Y30" s="16" t="s">
        <v>372</v>
      </c>
      <c r="Z30" s="33">
        <f t="shared" si="3"/>
        <v>2.5340560703672223E-2</v>
      </c>
      <c r="AA30" s="33">
        <f t="shared" si="2"/>
        <v>1.3275720511712055E-3</v>
      </c>
    </row>
    <row r="31" spans="1:27" x14ac:dyDescent="0.2">
      <c r="A31" s="3" t="s">
        <v>223</v>
      </c>
      <c r="B31" s="14">
        <v>0</v>
      </c>
      <c r="C31" s="14">
        <v>0</v>
      </c>
      <c r="D31" s="14">
        <v>0</v>
      </c>
      <c r="E31" s="15">
        <f t="shared" si="0"/>
        <v>0</v>
      </c>
      <c r="J31" s="1">
        <v>1000</v>
      </c>
      <c r="Y31" s="16" t="s">
        <v>373</v>
      </c>
      <c r="Z31" s="33">
        <f t="shared" si="3"/>
        <v>1.4295158567305889E-3</v>
      </c>
      <c r="AA31" s="33">
        <f t="shared" si="2"/>
        <v>2.5925087302518658E-4</v>
      </c>
    </row>
    <row r="32" spans="1:27" x14ac:dyDescent="0.2">
      <c r="A32" s="3" t="s">
        <v>224</v>
      </c>
      <c r="B32" s="14">
        <v>0</v>
      </c>
      <c r="C32" s="14">
        <v>0</v>
      </c>
      <c r="D32" s="14">
        <v>0</v>
      </c>
      <c r="E32" s="15">
        <f t="shared" si="0"/>
        <v>0</v>
      </c>
      <c r="Y32" s="16" t="s">
        <v>374</v>
      </c>
      <c r="Z32" s="33">
        <f t="shared" si="3"/>
        <v>7.5896348569463876E-3</v>
      </c>
      <c r="AA32" s="33">
        <f t="shared" si="2"/>
        <v>1.331574720602731E-3</v>
      </c>
    </row>
    <row r="33" spans="1:28" x14ac:dyDescent="0.2">
      <c r="A33" s="3" t="s">
        <v>225</v>
      </c>
      <c r="B33" s="14">
        <v>0</v>
      </c>
      <c r="C33" s="14">
        <v>0</v>
      </c>
      <c r="D33" s="14">
        <v>0</v>
      </c>
      <c r="E33" s="15">
        <f t="shared" si="0"/>
        <v>0</v>
      </c>
      <c r="K33" s="16" t="s">
        <v>380</v>
      </c>
      <c r="L33" s="1">
        <f>L15/$J$31</f>
        <v>32.052432374999995</v>
      </c>
      <c r="Y33" s="16" t="s">
        <v>383</v>
      </c>
      <c r="Z33" s="33">
        <f t="shared" si="3"/>
        <v>8.7474527026721212E-3</v>
      </c>
      <c r="AA33" s="33">
        <v>0</v>
      </c>
    </row>
    <row r="34" spans="1:28" x14ac:dyDescent="0.2">
      <c r="A34" s="3" t="s">
        <v>226</v>
      </c>
      <c r="B34" s="14">
        <v>0</v>
      </c>
      <c r="C34" s="14">
        <v>0</v>
      </c>
      <c r="D34" s="14">
        <v>0</v>
      </c>
      <c r="E34" s="15">
        <f t="shared" si="0"/>
        <v>0</v>
      </c>
      <c r="K34" s="16" t="s">
        <v>379</v>
      </c>
      <c r="L34" s="15">
        <f t="shared" ref="L34:L47" si="4">L16/$J$31</f>
        <v>1.77944784</v>
      </c>
      <c r="Y34" s="16" t="s">
        <v>375</v>
      </c>
      <c r="Z34" s="33">
        <f t="shared" si="3"/>
        <v>6.1844491049134989E-2</v>
      </c>
      <c r="AA34" s="33">
        <f>AB51</f>
        <v>1.8013482028663118E-2</v>
      </c>
    </row>
    <row r="35" spans="1:28" x14ac:dyDescent="0.2">
      <c r="A35" s="3" t="s">
        <v>227</v>
      </c>
      <c r="B35" s="14">
        <v>0</v>
      </c>
      <c r="C35" s="14">
        <v>0</v>
      </c>
      <c r="D35" s="14">
        <v>0</v>
      </c>
      <c r="E35" s="15">
        <f t="shared" si="0"/>
        <v>0</v>
      </c>
      <c r="K35" s="16" t="s">
        <v>378</v>
      </c>
      <c r="L35" s="15">
        <f t="shared" si="4"/>
        <v>5.5223271770000002</v>
      </c>
    </row>
    <row r="36" spans="1:28" x14ac:dyDescent="0.2">
      <c r="A36" s="3" t="s">
        <v>228</v>
      </c>
      <c r="B36" s="14">
        <v>113.30057600000001</v>
      </c>
      <c r="C36" s="14">
        <v>103.47087500000001</v>
      </c>
      <c r="D36" s="14">
        <v>0</v>
      </c>
      <c r="E36" s="15">
        <f t="shared" si="0"/>
        <v>216.77145100000001</v>
      </c>
      <c r="K36" s="16" t="s">
        <v>377</v>
      </c>
      <c r="L36" s="15">
        <f t="shared" si="4"/>
        <v>0</v>
      </c>
    </row>
    <row r="37" spans="1:28" x14ac:dyDescent="0.2">
      <c r="A37" s="3" t="s">
        <v>229</v>
      </c>
      <c r="B37" s="14">
        <v>0</v>
      </c>
      <c r="C37" s="14">
        <v>0</v>
      </c>
      <c r="D37" s="14">
        <v>0</v>
      </c>
      <c r="E37" s="15">
        <f t="shared" si="0"/>
        <v>0</v>
      </c>
      <c r="K37" s="16" t="s">
        <v>376</v>
      </c>
      <c r="L37" s="15">
        <f t="shared" si="4"/>
        <v>13.429691879999998</v>
      </c>
    </row>
    <row r="38" spans="1:28" x14ac:dyDescent="0.2">
      <c r="A38" s="3" t="s">
        <v>230</v>
      </c>
      <c r="B38" s="14">
        <v>862.38742500000001</v>
      </c>
      <c r="C38" s="14">
        <v>578.23888299999999</v>
      </c>
      <c r="D38" s="14">
        <v>0</v>
      </c>
      <c r="E38" s="15">
        <f t="shared" si="0"/>
        <v>1440.6263079999999</v>
      </c>
      <c r="K38" s="16" t="s">
        <v>370</v>
      </c>
      <c r="L38" s="15">
        <f t="shared" si="4"/>
        <v>6.0013513149999991</v>
      </c>
    </row>
    <row r="39" spans="1:28" x14ac:dyDescent="0.2">
      <c r="A39" s="3" t="s">
        <v>231</v>
      </c>
      <c r="B39" s="14">
        <v>0</v>
      </c>
      <c r="C39" s="14">
        <v>0</v>
      </c>
      <c r="D39" s="14">
        <v>0</v>
      </c>
      <c r="E39" s="15">
        <f t="shared" si="0"/>
        <v>0</v>
      </c>
      <c r="K39" s="16" t="s">
        <v>369</v>
      </c>
      <c r="L39" s="15">
        <f t="shared" si="4"/>
        <v>64.861708355999994</v>
      </c>
      <c r="AA39" s="1" t="s">
        <v>386</v>
      </c>
    </row>
    <row r="40" spans="1:28" x14ac:dyDescent="0.2">
      <c r="A40" s="3" t="s">
        <v>232</v>
      </c>
      <c r="B40" s="14">
        <v>0</v>
      </c>
      <c r="C40" s="14">
        <v>0</v>
      </c>
      <c r="D40" s="14">
        <v>0</v>
      </c>
      <c r="E40" s="15">
        <f t="shared" si="0"/>
        <v>0</v>
      </c>
      <c r="K40" s="16" t="s">
        <v>371</v>
      </c>
      <c r="L40" s="15">
        <f t="shared" si="4"/>
        <v>12.077963247</v>
      </c>
      <c r="AA40" s="43" t="s">
        <v>380</v>
      </c>
      <c r="AB40" s="12">
        <f>'CO2'!O32</f>
        <v>0.70285417378494508</v>
      </c>
    </row>
    <row r="41" spans="1:28" x14ac:dyDescent="0.2">
      <c r="A41" s="3" t="s">
        <v>233</v>
      </c>
      <c r="B41" s="14">
        <v>0</v>
      </c>
      <c r="C41" s="14">
        <v>0</v>
      </c>
      <c r="D41" s="14">
        <v>0</v>
      </c>
      <c r="E41" s="15">
        <f t="shared" si="0"/>
        <v>0</v>
      </c>
      <c r="K41" s="16" t="s">
        <v>372</v>
      </c>
      <c r="L41" s="15">
        <f t="shared" si="4"/>
        <v>3.8426367130000005</v>
      </c>
      <c r="AA41" s="43" t="s">
        <v>379</v>
      </c>
      <c r="AB41" s="12">
        <f>'CO2'!O33</f>
        <v>5.2658884171904237E-2</v>
      </c>
    </row>
    <row r="42" spans="1:28" x14ac:dyDescent="0.2">
      <c r="A42" s="3" t="s">
        <v>234</v>
      </c>
      <c r="B42" s="14">
        <v>0</v>
      </c>
      <c r="C42" s="14">
        <v>0</v>
      </c>
      <c r="D42" s="14">
        <v>0</v>
      </c>
      <c r="E42" s="15">
        <f t="shared" si="0"/>
        <v>0</v>
      </c>
      <c r="K42" s="16" t="s">
        <v>373</v>
      </c>
      <c r="L42" s="15">
        <f t="shared" si="4"/>
        <v>0.216771451</v>
      </c>
      <c r="AA42" s="43" t="s">
        <v>378</v>
      </c>
      <c r="AB42" s="12">
        <f>'CO2'!O34</f>
        <v>2.4393936389367232E-3</v>
      </c>
    </row>
    <row r="43" spans="1:28" x14ac:dyDescent="0.2">
      <c r="A43" s="3" t="s">
        <v>235</v>
      </c>
      <c r="B43" s="14">
        <v>0</v>
      </c>
      <c r="C43" s="14">
        <v>0</v>
      </c>
      <c r="D43" s="14">
        <v>0</v>
      </c>
      <c r="E43" s="15">
        <f t="shared" si="0"/>
        <v>0</v>
      </c>
      <c r="K43" s="16" t="s">
        <v>374</v>
      </c>
      <c r="L43" s="15">
        <f t="shared" si="4"/>
        <v>1.1508904590000002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4">
        <v>331.31770499999999</v>
      </c>
      <c r="C44" s="14">
        <v>148.20421899999999</v>
      </c>
      <c r="D44" s="14">
        <v>0</v>
      </c>
      <c r="E44" s="15">
        <f t="shared" si="0"/>
        <v>479.52192400000001</v>
      </c>
      <c r="K44" s="16" t="s">
        <v>383</v>
      </c>
      <c r="L44" s="15">
        <f t="shared" si="4"/>
        <v>1.3264616870000001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4">
        <v>559.42845499999999</v>
      </c>
      <c r="C45" s="14">
        <v>291.817407</v>
      </c>
      <c r="D45" s="14">
        <v>0</v>
      </c>
      <c r="E45" s="15">
        <f t="shared" si="0"/>
        <v>851.24586199999999</v>
      </c>
      <c r="K45" s="16" t="s">
        <v>375</v>
      </c>
      <c r="L45" s="15">
        <f t="shared" si="4"/>
        <v>9.3780841940000013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4">
        <v>164.86689000000001</v>
      </c>
      <c r="C46" s="14">
        <v>147.41817399999999</v>
      </c>
      <c r="D46" s="14">
        <v>0</v>
      </c>
      <c r="E46" s="15">
        <f t="shared" si="0"/>
        <v>312.28506400000003</v>
      </c>
      <c r="K46" s="15"/>
      <c r="L46" s="15">
        <f t="shared" si="4"/>
        <v>0</v>
      </c>
      <c r="AA46" s="43" t="s">
        <v>369</v>
      </c>
      <c r="AB46" s="12">
        <f>'CO2'!O38</f>
        <v>0.22111566873075181</v>
      </c>
    </row>
    <row r="47" spans="1:28" x14ac:dyDescent="0.2">
      <c r="A47" s="3" t="s">
        <v>239</v>
      </c>
      <c r="B47" s="14">
        <v>636.08376599999997</v>
      </c>
      <c r="C47" s="14">
        <v>122.873789</v>
      </c>
      <c r="D47" s="14">
        <v>0</v>
      </c>
      <c r="E47" s="15">
        <f t="shared" si="0"/>
        <v>758.95755499999996</v>
      </c>
      <c r="K47" s="15" t="s">
        <v>336</v>
      </c>
      <c r="L47" s="15">
        <f t="shared" si="4"/>
        <v>151.639766694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4">
        <v>0</v>
      </c>
      <c r="C48" s="14">
        <v>0</v>
      </c>
      <c r="D48" s="14">
        <v>0</v>
      </c>
      <c r="E48" s="15">
        <f t="shared" si="0"/>
        <v>0</v>
      </c>
      <c r="AA48" s="43" t="s">
        <v>372</v>
      </c>
      <c r="AB48" s="12">
        <f>'CO2'!O40</f>
        <v>1.3275720511712055E-3</v>
      </c>
    </row>
    <row r="49" spans="1:28" x14ac:dyDescent="0.2">
      <c r="A49" s="3" t="s">
        <v>241</v>
      </c>
      <c r="B49" s="14">
        <v>838.82824200000005</v>
      </c>
      <c r="C49" s="14">
        <v>450.26417600000002</v>
      </c>
      <c r="D49" s="14">
        <v>0</v>
      </c>
      <c r="E49" s="15">
        <f t="shared" si="0"/>
        <v>1289.0924180000002</v>
      </c>
      <c r="AA49" s="43" t="s">
        <v>373</v>
      </c>
      <c r="AB49" s="12">
        <f>'CO2'!O41</f>
        <v>2.5925087302518658E-4</v>
      </c>
    </row>
    <row r="50" spans="1:28" x14ac:dyDescent="0.2">
      <c r="A50" s="3" t="s">
        <v>242</v>
      </c>
      <c r="B50" s="14">
        <v>22.154657</v>
      </c>
      <c r="C50" s="14">
        <v>15.214612000000001</v>
      </c>
      <c r="D50" s="14">
        <v>0</v>
      </c>
      <c r="E50" s="15">
        <f t="shared" si="0"/>
        <v>37.369269000000003</v>
      </c>
      <c r="AA50" s="43" t="s">
        <v>374</v>
      </c>
      <c r="AB50" s="12">
        <f>'CO2'!O42</f>
        <v>1.331574720602731E-3</v>
      </c>
    </row>
    <row r="51" spans="1:28" x14ac:dyDescent="0.2">
      <c r="A51" s="3" t="s">
        <v>243</v>
      </c>
      <c r="B51" s="14">
        <v>591.27675699999998</v>
      </c>
      <c r="C51" s="14">
        <v>284.000136</v>
      </c>
      <c r="D51" s="14">
        <v>0</v>
      </c>
      <c r="E51" s="15">
        <f t="shared" si="0"/>
        <v>875.27689299999997</v>
      </c>
      <c r="J51" s="15" t="s">
        <v>385</v>
      </c>
      <c r="K51" s="15" t="s">
        <v>441</v>
      </c>
      <c r="L51" s="15">
        <f>SUM(E6:E18,E77)/1000</f>
        <v>10.534007561000001</v>
      </c>
      <c r="AA51" s="43" t="s">
        <v>375</v>
      </c>
      <c r="AB51" s="12">
        <f>'CO2'!O43</f>
        <v>1.8013482028663118E-2</v>
      </c>
    </row>
    <row r="52" spans="1:28" x14ac:dyDescent="0.2">
      <c r="A52" s="3" t="s">
        <v>244</v>
      </c>
      <c r="B52" s="14">
        <v>530.28601700000002</v>
      </c>
      <c r="C52" s="14">
        <v>353.786494</v>
      </c>
      <c r="D52" s="14">
        <v>0</v>
      </c>
      <c r="E52" s="15">
        <f t="shared" si="0"/>
        <v>884.07251100000008</v>
      </c>
      <c r="J52" s="15"/>
      <c r="K52" s="15" t="s">
        <v>442</v>
      </c>
      <c r="L52" s="15">
        <f>SUM(E2:E5)/1000</f>
        <v>3.484277987</v>
      </c>
    </row>
    <row r="53" spans="1:28" x14ac:dyDescent="0.2">
      <c r="A53" s="3" t="s">
        <v>245</v>
      </c>
      <c r="B53" s="14">
        <v>0</v>
      </c>
      <c r="C53" s="14">
        <v>0</v>
      </c>
      <c r="D53" s="14">
        <v>0</v>
      </c>
      <c r="E53" s="15">
        <f t="shared" si="0"/>
        <v>0</v>
      </c>
      <c r="J53" s="15"/>
      <c r="K53" s="15" t="s">
        <v>443</v>
      </c>
      <c r="L53" s="15">
        <f>SUM(E19:E50)/1000</f>
        <v>6.53676031</v>
      </c>
    </row>
    <row r="54" spans="1:28" x14ac:dyDescent="0.2">
      <c r="A54" s="3" t="s">
        <v>246</v>
      </c>
      <c r="B54" s="14">
        <v>200.10793100000001</v>
      </c>
      <c r="C54" s="14">
        <v>133.50433699999999</v>
      </c>
      <c r="D54" s="14">
        <v>0</v>
      </c>
      <c r="E54" s="15">
        <f t="shared" si="0"/>
        <v>333.61226799999997</v>
      </c>
      <c r="J54" s="15"/>
      <c r="K54" s="15" t="s">
        <v>444</v>
      </c>
      <c r="L54" s="15">
        <f>SUM(E51:E59)/1000</f>
        <v>6.0013513149999991</v>
      </c>
    </row>
    <row r="55" spans="1:28" x14ac:dyDescent="0.2">
      <c r="A55" s="3" t="s">
        <v>247</v>
      </c>
      <c r="B55" s="14">
        <v>17.054652999999998</v>
      </c>
      <c r="C55" s="14">
        <v>6.8269260000000003</v>
      </c>
      <c r="D55" s="14">
        <v>0</v>
      </c>
      <c r="E55" s="15">
        <f t="shared" si="0"/>
        <v>23.881578999999999</v>
      </c>
      <c r="J55" s="15"/>
      <c r="K55" s="15" t="s">
        <v>445</v>
      </c>
      <c r="L55" s="15">
        <f>SUM(E60:E67)/1000</f>
        <v>64.861708355999994</v>
      </c>
    </row>
    <row r="56" spans="1:28" x14ac:dyDescent="0.2">
      <c r="A56" s="3" t="s">
        <v>248</v>
      </c>
      <c r="B56" s="14">
        <v>1186.6626799999999</v>
      </c>
      <c r="C56" s="14">
        <v>1281.2036230000001</v>
      </c>
      <c r="D56" s="14">
        <v>0</v>
      </c>
      <c r="E56" s="15">
        <f t="shared" si="0"/>
        <v>2467.8663029999998</v>
      </c>
      <c r="J56" s="15"/>
      <c r="K56" s="15" t="s">
        <v>446</v>
      </c>
      <c r="L56" s="15">
        <f>SUM(E68:E73)/1000</f>
        <v>12.077963247</v>
      </c>
    </row>
    <row r="57" spans="1:28" s="15" customFormat="1" x14ac:dyDescent="0.2">
      <c r="A57" s="16" t="s">
        <v>358</v>
      </c>
      <c r="B57" s="14">
        <v>5.8014619999999999</v>
      </c>
      <c r="C57" s="14">
        <v>8.6777820000000006</v>
      </c>
      <c r="D57" s="14">
        <v>0</v>
      </c>
      <c r="E57" s="15">
        <f t="shared" si="0"/>
        <v>14.479244000000001</v>
      </c>
      <c r="K57" s="15" t="s">
        <v>447</v>
      </c>
      <c r="L57" s="15">
        <f>SUM(E79:E119)/1000</f>
        <v>14.311817703000001</v>
      </c>
    </row>
    <row r="58" spans="1:28" s="15" customFormat="1" x14ac:dyDescent="0.2">
      <c r="A58" s="16" t="s">
        <v>359</v>
      </c>
      <c r="B58" s="14">
        <v>2.9007309999999999</v>
      </c>
      <c r="C58" s="14">
        <v>4.3388910000000003</v>
      </c>
      <c r="D58" s="14">
        <v>0</v>
      </c>
      <c r="E58" s="15">
        <f t="shared" si="0"/>
        <v>7.2396220000000007</v>
      </c>
      <c r="K58" s="15" t="s">
        <v>448</v>
      </c>
      <c r="L58" s="15">
        <f>SUM(E121:E122,E125:E126,E131,E132,E120,E146)/1000</f>
        <v>32.052432374999995</v>
      </c>
    </row>
    <row r="59" spans="1:28" s="15" customFormat="1" x14ac:dyDescent="0.2">
      <c r="A59" s="16" t="s">
        <v>360</v>
      </c>
      <c r="B59" s="14">
        <v>695.27036799999996</v>
      </c>
      <c r="C59" s="14">
        <v>699.65252699999996</v>
      </c>
      <c r="D59" s="14">
        <v>0</v>
      </c>
      <c r="E59" s="15">
        <f t="shared" si="0"/>
        <v>1394.9228949999999</v>
      </c>
      <c r="K59" s="15" t="s">
        <v>449</v>
      </c>
      <c r="L59" s="15">
        <f>SUM(E129:E130,E133,E123:E124)/1000</f>
        <v>1.77944784</v>
      </c>
    </row>
    <row r="60" spans="1:28" x14ac:dyDescent="0.2">
      <c r="A60" s="3" t="s">
        <v>249</v>
      </c>
      <c r="B60" s="14">
        <v>16887.489995</v>
      </c>
      <c r="C60" s="14">
        <v>5112.7528629999997</v>
      </c>
      <c r="D60" s="14">
        <v>0</v>
      </c>
      <c r="E60" s="15">
        <f t="shared" si="0"/>
        <v>22000.242857999998</v>
      </c>
      <c r="J60" s="15"/>
      <c r="K60" s="15"/>
      <c r="L60" s="15"/>
    </row>
    <row r="61" spans="1:28" x14ac:dyDescent="0.2">
      <c r="A61" s="3" t="s">
        <v>250</v>
      </c>
      <c r="B61" s="14">
        <v>10947.345641</v>
      </c>
      <c r="C61" s="14">
        <v>3417.1217809999998</v>
      </c>
      <c r="D61" s="14">
        <v>0</v>
      </c>
      <c r="E61" s="15">
        <f t="shared" si="0"/>
        <v>14364.467422</v>
      </c>
      <c r="J61" s="15"/>
      <c r="K61" s="15"/>
      <c r="L61" s="15">
        <f>SUM(L51:L59)</f>
        <v>151.639766694</v>
      </c>
    </row>
    <row r="62" spans="1:28" s="15" customFormat="1" x14ac:dyDescent="0.2">
      <c r="A62" s="16" t="s">
        <v>361</v>
      </c>
      <c r="B62" s="14">
        <v>11088.358807000001</v>
      </c>
      <c r="C62" s="14">
        <v>13634.505171999999</v>
      </c>
      <c r="D62" s="14">
        <v>0</v>
      </c>
      <c r="E62" s="15">
        <f t="shared" si="0"/>
        <v>24722.863979000002</v>
      </c>
    </row>
    <row r="63" spans="1:28" x14ac:dyDescent="0.2">
      <c r="A63" s="3" t="s">
        <v>251</v>
      </c>
      <c r="B63" s="14">
        <v>1169.5977150000001</v>
      </c>
      <c r="C63" s="14">
        <v>447.61547200000001</v>
      </c>
      <c r="D63" s="14">
        <v>0</v>
      </c>
      <c r="E63" s="15">
        <f t="shared" si="0"/>
        <v>1617.2131870000001</v>
      </c>
    </row>
    <row r="64" spans="1:28" x14ac:dyDescent="0.2">
      <c r="A64" s="3" t="s">
        <v>252</v>
      </c>
      <c r="B64" s="14">
        <v>0</v>
      </c>
      <c r="C64" s="14">
        <v>0</v>
      </c>
      <c r="D64" s="14">
        <v>0</v>
      </c>
      <c r="E64" s="15">
        <f t="shared" si="0"/>
        <v>0</v>
      </c>
    </row>
    <row r="65" spans="1:5" x14ac:dyDescent="0.2">
      <c r="A65" s="3" t="s">
        <v>253</v>
      </c>
      <c r="B65" s="14">
        <v>0</v>
      </c>
      <c r="C65" s="14">
        <v>0</v>
      </c>
      <c r="D65" s="14">
        <v>0</v>
      </c>
      <c r="E65" s="15">
        <f t="shared" si="0"/>
        <v>0</v>
      </c>
    </row>
    <row r="66" spans="1:5" x14ac:dyDescent="0.2">
      <c r="A66" s="3" t="s">
        <v>254</v>
      </c>
      <c r="B66" s="14">
        <v>1847</v>
      </c>
      <c r="C66" s="14">
        <v>260.08871199999999</v>
      </c>
      <c r="D66" s="14">
        <v>0</v>
      </c>
      <c r="E66" s="15">
        <f t="shared" si="0"/>
        <v>2107.0887119999998</v>
      </c>
    </row>
    <row r="67" spans="1:5" x14ac:dyDescent="0.2">
      <c r="A67" s="3" t="s">
        <v>255</v>
      </c>
      <c r="B67" s="14">
        <v>47.144368</v>
      </c>
      <c r="C67" s="14">
        <v>2.6878299999999999</v>
      </c>
      <c r="D67" s="14">
        <v>0</v>
      </c>
      <c r="E67" s="15">
        <f t="shared" ref="E67:E130" si="5">SUM(B67:D67)</f>
        <v>49.832197999999998</v>
      </c>
    </row>
    <row r="68" spans="1:5" x14ac:dyDescent="0.2">
      <c r="A68" s="3" t="s">
        <v>256</v>
      </c>
      <c r="B68" s="14">
        <v>32.808844999999998</v>
      </c>
      <c r="C68" s="14">
        <v>19.630087</v>
      </c>
      <c r="D68" s="14">
        <v>0</v>
      </c>
      <c r="E68" s="15">
        <f t="shared" si="5"/>
        <v>52.438931999999994</v>
      </c>
    </row>
    <row r="69" spans="1:5" x14ac:dyDescent="0.2">
      <c r="A69" s="3" t="s">
        <v>257</v>
      </c>
      <c r="B69" s="14">
        <v>118.344145</v>
      </c>
      <c r="C69" s="14">
        <v>177.01825700000001</v>
      </c>
      <c r="D69" s="14">
        <v>0</v>
      </c>
      <c r="E69" s="15">
        <f t="shared" si="5"/>
        <v>295.36240199999997</v>
      </c>
    </row>
    <row r="70" spans="1:5" x14ac:dyDescent="0.2">
      <c r="A70" s="3" t="s">
        <v>258</v>
      </c>
      <c r="B70" s="14">
        <v>6.2286390000000003</v>
      </c>
      <c r="C70" s="14">
        <v>9.3167500000000008</v>
      </c>
      <c r="D70" s="14">
        <v>0</v>
      </c>
      <c r="E70" s="15">
        <f t="shared" si="5"/>
        <v>15.545389</v>
      </c>
    </row>
    <row r="71" spans="1:5" x14ac:dyDescent="0.2">
      <c r="A71" s="3" t="s">
        <v>259</v>
      </c>
      <c r="B71" s="14">
        <v>6713.4919129999998</v>
      </c>
      <c r="C71" s="14">
        <v>4478.9843449999998</v>
      </c>
      <c r="D71" s="14">
        <v>0</v>
      </c>
      <c r="E71" s="15">
        <f t="shared" si="5"/>
        <v>11192.476257999999</v>
      </c>
    </row>
    <row r="72" spans="1:5" x14ac:dyDescent="0.2">
      <c r="A72" s="3" t="s">
        <v>260</v>
      </c>
      <c r="B72" s="14">
        <v>38.09581</v>
      </c>
      <c r="C72" s="14">
        <v>15.249637999999999</v>
      </c>
      <c r="D72" s="14">
        <v>0</v>
      </c>
      <c r="E72" s="15">
        <f t="shared" si="5"/>
        <v>53.345447999999998</v>
      </c>
    </row>
    <row r="73" spans="1:5" x14ac:dyDescent="0.2">
      <c r="A73" s="3" t="s">
        <v>261</v>
      </c>
      <c r="B73" s="14">
        <v>281.19337899999999</v>
      </c>
      <c r="C73" s="14">
        <v>187.601439</v>
      </c>
      <c r="D73" s="14">
        <v>0</v>
      </c>
      <c r="E73" s="15">
        <f t="shared" si="5"/>
        <v>468.79481799999996</v>
      </c>
    </row>
    <row r="74" spans="1:5" x14ac:dyDescent="0.2">
      <c r="A74" s="3" t="s">
        <v>262</v>
      </c>
      <c r="B74" s="14">
        <v>0</v>
      </c>
      <c r="C74" s="14">
        <v>0</v>
      </c>
      <c r="D74" s="14">
        <v>0</v>
      </c>
      <c r="E74" s="15">
        <f t="shared" si="5"/>
        <v>0</v>
      </c>
    </row>
    <row r="75" spans="1:5" x14ac:dyDescent="0.2">
      <c r="A75" s="3" t="s">
        <v>263</v>
      </c>
      <c r="B75" s="14">
        <v>0</v>
      </c>
      <c r="C75" s="14">
        <v>0</v>
      </c>
      <c r="D75" s="14">
        <v>0</v>
      </c>
      <c r="E75" s="15">
        <f t="shared" si="5"/>
        <v>0</v>
      </c>
    </row>
    <row r="76" spans="1:5" x14ac:dyDescent="0.2">
      <c r="A76" s="3" t="s">
        <v>264</v>
      </c>
      <c r="B76" s="14">
        <v>0</v>
      </c>
      <c r="C76" s="14">
        <v>0</v>
      </c>
      <c r="D76" s="14">
        <v>0</v>
      </c>
      <c r="E76" s="15">
        <f t="shared" si="5"/>
        <v>0</v>
      </c>
    </row>
    <row r="77" spans="1:5" x14ac:dyDescent="0.2">
      <c r="A77" s="3" t="s">
        <v>265</v>
      </c>
      <c r="B77" s="14">
        <v>4640.2013539999998</v>
      </c>
      <c r="C77" s="14">
        <v>0</v>
      </c>
      <c r="D77" s="14">
        <v>0</v>
      </c>
      <c r="E77" s="15">
        <f t="shared" si="5"/>
        <v>4640.2013539999998</v>
      </c>
    </row>
    <row r="78" spans="1:5" x14ac:dyDescent="0.2">
      <c r="A78" s="3" t="s">
        <v>266</v>
      </c>
      <c r="B78" s="14">
        <v>0</v>
      </c>
      <c r="C78" s="14">
        <v>0</v>
      </c>
      <c r="D78" s="14">
        <v>0</v>
      </c>
      <c r="E78" s="15">
        <f t="shared" si="5"/>
        <v>0</v>
      </c>
    </row>
    <row r="79" spans="1:5" x14ac:dyDescent="0.2">
      <c r="A79" s="3" t="s">
        <v>267</v>
      </c>
      <c r="B79" s="14">
        <v>0</v>
      </c>
      <c r="C79" s="14">
        <v>0</v>
      </c>
      <c r="D79" s="14">
        <v>0</v>
      </c>
      <c r="E79" s="15">
        <f t="shared" si="5"/>
        <v>0</v>
      </c>
    </row>
    <row r="80" spans="1:5" x14ac:dyDescent="0.2">
      <c r="A80" s="3" t="s">
        <v>268</v>
      </c>
      <c r="B80" s="14">
        <v>0</v>
      </c>
      <c r="C80" s="14">
        <v>0</v>
      </c>
      <c r="D80" s="14">
        <v>0</v>
      </c>
      <c r="E80" s="15">
        <f t="shared" si="5"/>
        <v>0</v>
      </c>
    </row>
    <row r="81" spans="1:5" x14ac:dyDescent="0.2">
      <c r="A81" s="3" t="s">
        <v>269</v>
      </c>
      <c r="B81" s="14">
        <v>0</v>
      </c>
      <c r="C81" s="14">
        <v>0</v>
      </c>
      <c r="D81" s="14">
        <v>0</v>
      </c>
      <c r="E81" s="15">
        <f t="shared" si="5"/>
        <v>0</v>
      </c>
    </row>
    <row r="82" spans="1:5" x14ac:dyDescent="0.2">
      <c r="A82" s="3" t="s">
        <v>270</v>
      </c>
      <c r="B82" s="14">
        <v>38.426437999999997</v>
      </c>
      <c r="C82" s="14">
        <v>5.5732660000000003</v>
      </c>
      <c r="D82" s="14">
        <v>0</v>
      </c>
      <c r="E82" s="15">
        <f t="shared" si="5"/>
        <v>43.999703999999994</v>
      </c>
    </row>
    <row r="83" spans="1:5" x14ac:dyDescent="0.2">
      <c r="A83" s="3" t="s">
        <v>271</v>
      </c>
      <c r="B83" s="14">
        <v>0</v>
      </c>
      <c r="C83" s="14">
        <v>0</v>
      </c>
      <c r="D83" s="14">
        <v>0</v>
      </c>
      <c r="E83" s="15">
        <f t="shared" si="5"/>
        <v>0</v>
      </c>
    </row>
    <row r="84" spans="1:5" x14ac:dyDescent="0.2">
      <c r="A84" s="3" t="s">
        <v>272</v>
      </c>
      <c r="B84" s="14">
        <v>0</v>
      </c>
      <c r="C84" s="14">
        <v>0</v>
      </c>
      <c r="D84" s="14">
        <v>0</v>
      </c>
      <c r="E84" s="15">
        <f t="shared" si="5"/>
        <v>0</v>
      </c>
    </row>
    <row r="85" spans="1:5" x14ac:dyDescent="0.2">
      <c r="A85" s="3" t="s">
        <v>273</v>
      </c>
      <c r="B85" s="14">
        <v>92.203659999999999</v>
      </c>
      <c r="C85" s="14">
        <v>10.613467</v>
      </c>
      <c r="D85" s="14">
        <v>0</v>
      </c>
      <c r="E85" s="15">
        <f t="shared" si="5"/>
        <v>102.817127</v>
      </c>
    </row>
    <row r="86" spans="1:5" x14ac:dyDescent="0.2">
      <c r="A86" s="3" t="s">
        <v>274</v>
      </c>
      <c r="B86" s="14">
        <v>0</v>
      </c>
      <c r="C86" s="14">
        <v>0</v>
      </c>
      <c r="D86" s="14">
        <v>0</v>
      </c>
      <c r="E86" s="15">
        <f t="shared" si="5"/>
        <v>0</v>
      </c>
    </row>
    <row r="87" spans="1:5" x14ac:dyDescent="0.2">
      <c r="A87" s="3" t="s">
        <v>275</v>
      </c>
      <c r="B87" s="14">
        <v>0</v>
      </c>
      <c r="C87" s="14">
        <v>0</v>
      </c>
      <c r="D87" s="14">
        <v>0</v>
      </c>
      <c r="E87" s="15">
        <f t="shared" si="5"/>
        <v>0</v>
      </c>
    </row>
    <row r="88" spans="1:5" x14ac:dyDescent="0.2">
      <c r="A88" s="3" t="s">
        <v>276</v>
      </c>
      <c r="B88" s="14">
        <v>0</v>
      </c>
      <c r="C88" s="14">
        <v>0</v>
      </c>
      <c r="D88" s="14">
        <v>0</v>
      </c>
      <c r="E88" s="15">
        <f t="shared" si="5"/>
        <v>0</v>
      </c>
    </row>
    <row r="89" spans="1:5" x14ac:dyDescent="0.2">
      <c r="A89" s="3" t="s">
        <v>277</v>
      </c>
      <c r="B89" s="14">
        <v>0</v>
      </c>
      <c r="C89" s="14">
        <v>0</v>
      </c>
      <c r="D89" s="14">
        <v>0</v>
      </c>
      <c r="E89" s="15">
        <f t="shared" si="5"/>
        <v>0</v>
      </c>
    </row>
    <row r="90" spans="1:5" x14ac:dyDescent="0.2">
      <c r="A90" s="3" t="s">
        <v>278</v>
      </c>
      <c r="B90" s="14">
        <v>0</v>
      </c>
      <c r="C90" s="14">
        <v>0</v>
      </c>
      <c r="D90" s="14">
        <v>0</v>
      </c>
      <c r="E90" s="15">
        <f t="shared" si="5"/>
        <v>0</v>
      </c>
    </row>
    <row r="91" spans="1:5" x14ac:dyDescent="0.2">
      <c r="A91" s="3" t="s">
        <v>279</v>
      </c>
      <c r="B91" s="14">
        <v>34.957754999999999</v>
      </c>
      <c r="C91" s="14">
        <v>5.0701780000000003</v>
      </c>
      <c r="D91" s="14">
        <v>0</v>
      </c>
      <c r="E91" s="15">
        <f t="shared" si="5"/>
        <v>40.027932999999997</v>
      </c>
    </row>
    <row r="92" spans="1:5" x14ac:dyDescent="0.2">
      <c r="A92" s="3" t="s">
        <v>280</v>
      </c>
      <c r="B92" s="14">
        <v>25.459903000000001</v>
      </c>
      <c r="C92" s="14">
        <v>3.6926350000000001</v>
      </c>
      <c r="D92" s="14">
        <v>0</v>
      </c>
      <c r="E92" s="15">
        <f t="shared" si="5"/>
        <v>29.152538</v>
      </c>
    </row>
    <row r="93" spans="1:5" x14ac:dyDescent="0.2">
      <c r="A93" s="3" t="s">
        <v>281</v>
      </c>
      <c r="B93" s="14">
        <v>20.134502999999999</v>
      </c>
      <c r="C93" s="14">
        <v>2.9202539999999999</v>
      </c>
      <c r="D93" s="14">
        <v>0</v>
      </c>
      <c r="E93" s="15">
        <f t="shared" si="5"/>
        <v>23.054756999999999</v>
      </c>
    </row>
    <row r="94" spans="1:5" x14ac:dyDescent="0.2">
      <c r="A94" s="3" t="s">
        <v>282</v>
      </c>
      <c r="B94" s="14">
        <v>0</v>
      </c>
      <c r="C94" s="14">
        <v>0</v>
      </c>
      <c r="D94" s="14">
        <v>0</v>
      </c>
      <c r="E94" s="15">
        <f t="shared" si="5"/>
        <v>0</v>
      </c>
    </row>
    <row r="95" spans="1:5" x14ac:dyDescent="0.2">
      <c r="A95" s="3" t="s">
        <v>283</v>
      </c>
      <c r="B95" s="14">
        <v>4.5389999999999996E-3</v>
      </c>
      <c r="C95" s="14">
        <v>3.7800000000000003E-4</v>
      </c>
      <c r="D95" s="14">
        <v>0</v>
      </c>
      <c r="E95" s="15">
        <f t="shared" si="5"/>
        <v>4.9169999999999995E-3</v>
      </c>
    </row>
    <row r="96" spans="1:5" x14ac:dyDescent="0.2">
      <c r="A96" s="3" t="s">
        <v>284</v>
      </c>
      <c r="B96" s="14">
        <v>0</v>
      </c>
      <c r="C96" s="14">
        <v>0</v>
      </c>
      <c r="D96" s="14">
        <v>0</v>
      </c>
      <c r="E96" s="15">
        <f t="shared" si="5"/>
        <v>0</v>
      </c>
    </row>
    <row r="97" spans="1:5" x14ac:dyDescent="0.2">
      <c r="A97" s="3" t="s">
        <v>285</v>
      </c>
      <c r="B97" s="14">
        <v>5.8799999999999998E-4</v>
      </c>
      <c r="C97" s="14">
        <v>6.3100000000000005E-4</v>
      </c>
      <c r="D97" s="14">
        <v>0</v>
      </c>
      <c r="E97" s="15">
        <f t="shared" si="5"/>
        <v>1.219E-3</v>
      </c>
    </row>
    <row r="98" spans="1:5" x14ac:dyDescent="0.2">
      <c r="A98" s="3" t="s">
        <v>286</v>
      </c>
      <c r="B98" s="14">
        <v>21.632726999999999</v>
      </c>
      <c r="C98" s="14">
        <v>4.4813919999999996</v>
      </c>
      <c r="D98" s="14">
        <v>0</v>
      </c>
      <c r="E98" s="15">
        <f t="shared" si="5"/>
        <v>26.114118999999999</v>
      </c>
    </row>
    <row r="99" spans="1:5" x14ac:dyDescent="0.2">
      <c r="A99" s="3" t="s">
        <v>287</v>
      </c>
      <c r="B99" s="14">
        <v>1.0025269999999999</v>
      </c>
      <c r="C99" s="14">
        <v>0.207622</v>
      </c>
      <c r="D99" s="14">
        <v>0</v>
      </c>
      <c r="E99" s="15">
        <f t="shared" si="5"/>
        <v>1.2101489999999999</v>
      </c>
    </row>
    <row r="100" spans="1:5" x14ac:dyDescent="0.2">
      <c r="A100" s="3" t="s">
        <v>288</v>
      </c>
      <c r="B100" s="14">
        <v>0</v>
      </c>
      <c r="C100" s="14">
        <v>0</v>
      </c>
      <c r="D100" s="14">
        <v>0</v>
      </c>
      <c r="E100" s="15">
        <f t="shared" si="5"/>
        <v>0</v>
      </c>
    </row>
    <row r="101" spans="1:5" x14ac:dyDescent="0.2">
      <c r="A101" s="3" t="s">
        <v>289</v>
      </c>
      <c r="B101" s="14">
        <v>510.55661500000002</v>
      </c>
      <c r="C101" s="14">
        <v>105.186745</v>
      </c>
      <c r="D101" s="14">
        <v>0</v>
      </c>
      <c r="E101" s="15">
        <f t="shared" si="5"/>
        <v>615.74336000000005</v>
      </c>
    </row>
    <row r="102" spans="1:5" x14ac:dyDescent="0.2">
      <c r="A102" s="3" t="s">
        <v>290</v>
      </c>
      <c r="B102" s="14">
        <v>3320</v>
      </c>
      <c r="C102" s="14">
        <v>0</v>
      </c>
      <c r="D102" s="14">
        <v>0</v>
      </c>
      <c r="E102" s="15">
        <f t="shared" si="5"/>
        <v>3320</v>
      </c>
    </row>
    <row r="103" spans="1:5" x14ac:dyDescent="0.2">
      <c r="A103" s="3" t="s">
        <v>291</v>
      </c>
      <c r="B103" s="14">
        <v>38.043303999999999</v>
      </c>
      <c r="C103" s="14">
        <v>0</v>
      </c>
      <c r="D103" s="14">
        <v>0</v>
      </c>
      <c r="E103" s="15">
        <f t="shared" si="5"/>
        <v>38.043303999999999</v>
      </c>
    </row>
    <row r="104" spans="1:5" x14ac:dyDescent="0.2">
      <c r="A104" s="3" t="s">
        <v>292</v>
      </c>
      <c r="B104" s="14">
        <v>5156.9581040000003</v>
      </c>
      <c r="C104" s="14">
        <v>0</v>
      </c>
      <c r="D104" s="14">
        <v>0</v>
      </c>
      <c r="E104" s="15">
        <f t="shared" si="5"/>
        <v>5156.9581040000003</v>
      </c>
    </row>
    <row r="105" spans="1:5" x14ac:dyDescent="0.2">
      <c r="A105" s="3" t="s">
        <v>293</v>
      </c>
      <c r="B105" s="14">
        <v>3373.0961050000001</v>
      </c>
      <c r="C105" s="14">
        <v>971.99524599999995</v>
      </c>
      <c r="D105" s="14">
        <v>0</v>
      </c>
      <c r="E105" s="15">
        <f t="shared" si="5"/>
        <v>4345.091351</v>
      </c>
    </row>
    <row r="106" spans="1:5" x14ac:dyDescent="0.2">
      <c r="A106" s="3" t="s">
        <v>294</v>
      </c>
      <c r="B106" s="14">
        <v>120.37859899999999</v>
      </c>
      <c r="C106" s="14">
        <v>28.481763999999998</v>
      </c>
      <c r="D106" s="14">
        <v>0</v>
      </c>
      <c r="E106" s="15">
        <f t="shared" si="5"/>
        <v>148.86036300000001</v>
      </c>
    </row>
    <row r="107" spans="1:5" x14ac:dyDescent="0.2">
      <c r="A107" s="3" t="s">
        <v>295</v>
      </c>
      <c r="B107" s="14">
        <v>0</v>
      </c>
      <c r="C107" s="14">
        <v>0</v>
      </c>
      <c r="D107" s="14">
        <v>0</v>
      </c>
      <c r="E107" s="15">
        <f t="shared" si="5"/>
        <v>0</v>
      </c>
    </row>
    <row r="108" spans="1:5" x14ac:dyDescent="0.2">
      <c r="A108" s="3" t="s">
        <v>296</v>
      </c>
      <c r="B108" s="14">
        <v>2.5294249999999998</v>
      </c>
      <c r="C108" s="14">
        <v>4.9570360000000004</v>
      </c>
      <c r="D108" s="14">
        <v>0</v>
      </c>
      <c r="E108" s="15">
        <f t="shared" si="5"/>
        <v>7.4864610000000003</v>
      </c>
    </row>
    <row r="109" spans="1:5" x14ac:dyDescent="0.2">
      <c r="A109" s="3" t="s">
        <v>297</v>
      </c>
      <c r="B109" s="14">
        <v>0</v>
      </c>
      <c r="C109" s="14">
        <v>0</v>
      </c>
      <c r="D109" s="14">
        <v>0</v>
      </c>
      <c r="E109" s="15">
        <f t="shared" si="5"/>
        <v>0</v>
      </c>
    </row>
    <row r="110" spans="1:5" x14ac:dyDescent="0.2">
      <c r="A110" s="3" t="s">
        <v>298</v>
      </c>
      <c r="B110" s="14">
        <v>0</v>
      </c>
      <c r="C110" s="14">
        <v>0</v>
      </c>
      <c r="D110" s="14">
        <v>0</v>
      </c>
      <c r="E110" s="15">
        <f t="shared" si="5"/>
        <v>0</v>
      </c>
    </row>
    <row r="111" spans="1:5" x14ac:dyDescent="0.2">
      <c r="A111" s="3" t="s">
        <v>299</v>
      </c>
      <c r="B111" s="14">
        <v>127.00456200000001</v>
      </c>
      <c r="C111" s="14">
        <v>131.56600800000001</v>
      </c>
      <c r="D111" s="14">
        <v>0</v>
      </c>
      <c r="E111" s="15">
        <f t="shared" si="5"/>
        <v>258.57057000000003</v>
      </c>
    </row>
    <row r="112" spans="1:5" x14ac:dyDescent="0.2">
      <c r="A112" s="3" t="s">
        <v>300</v>
      </c>
      <c r="B112" s="14">
        <v>0</v>
      </c>
      <c r="C112" s="14">
        <v>0</v>
      </c>
      <c r="D112" s="14">
        <v>0</v>
      </c>
      <c r="E112" s="15">
        <f t="shared" si="5"/>
        <v>0</v>
      </c>
    </row>
    <row r="113" spans="1:5" x14ac:dyDescent="0.2">
      <c r="A113" s="3" t="s">
        <v>301</v>
      </c>
      <c r="B113" s="14">
        <v>0</v>
      </c>
      <c r="C113" s="14">
        <v>0</v>
      </c>
      <c r="D113" s="14">
        <v>0</v>
      </c>
      <c r="E113" s="15">
        <f t="shared" si="5"/>
        <v>0</v>
      </c>
    </row>
    <row r="114" spans="1:5" x14ac:dyDescent="0.2">
      <c r="A114" s="3" t="s">
        <v>302</v>
      </c>
      <c r="B114" s="14">
        <v>0</v>
      </c>
      <c r="C114" s="14">
        <v>0</v>
      </c>
      <c r="D114" s="14">
        <v>0</v>
      </c>
      <c r="E114" s="15">
        <f t="shared" si="5"/>
        <v>0</v>
      </c>
    </row>
    <row r="115" spans="1:5" x14ac:dyDescent="0.2">
      <c r="A115" s="3" t="s">
        <v>303</v>
      </c>
      <c r="B115" s="14">
        <v>0</v>
      </c>
      <c r="C115" s="14">
        <v>0</v>
      </c>
      <c r="D115" s="14">
        <v>0</v>
      </c>
      <c r="E115" s="15">
        <f>SUM(B115:D115)</f>
        <v>0</v>
      </c>
    </row>
    <row r="116" spans="1:5" x14ac:dyDescent="0.2">
      <c r="A116" s="3" t="s">
        <v>304</v>
      </c>
      <c r="B116" s="14">
        <v>135.12760399999999</v>
      </c>
      <c r="C116" s="14">
        <v>19.554123000000001</v>
      </c>
      <c r="D116" s="14">
        <v>0</v>
      </c>
      <c r="E116" s="15">
        <f t="shared" si="5"/>
        <v>154.681727</v>
      </c>
    </row>
    <row r="117" spans="1:5" x14ac:dyDescent="0.2">
      <c r="A117" s="3" t="s">
        <v>305</v>
      </c>
      <c r="B117" s="14">
        <v>0</v>
      </c>
      <c r="C117" s="14">
        <v>0</v>
      </c>
      <c r="D117" s="14">
        <v>0</v>
      </c>
      <c r="E117" s="15">
        <f t="shared" si="5"/>
        <v>0</v>
      </c>
    </row>
    <row r="118" spans="1:5" x14ac:dyDescent="0.2">
      <c r="A118" s="3" t="s">
        <v>306</v>
      </c>
      <c r="B118" s="14">
        <v>0</v>
      </c>
      <c r="C118" s="14">
        <v>0</v>
      </c>
      <c r="D118" s="14">
        <v>0</v>
      </c>
      <c r="E118" s="15">
        <f t="shared" si="5"/>
        <v>0</v>
      </c>
    </row>
    <row r="119" spans="1:5" x14ac:dyDescent="0.2">
      <c r="A119" s="3" t="s">
        <v>307</v>
      </c>
      <c r="B119" s="14">
        <v>0</v>
      </c>
      <c r="C119" s="14">
        <v>0</v>
      </c>
      <c r="D119" s="14">
        <v>0</v>
      </c>
      <c r="E119" s="15">
        <f t="shared" si="5"/>
        <v>0</v>
      </c>
    </row>
    <row r="120" spans="1:5" x14ac:dyDescent="0.2">
      <c r="A120" s="3" t="s">
        <v>1</v>
      </c>
      <c r="B120" s="14">
        <v>0</v>
      </c>
      <c r="C120" s="14">
        <v>0</v>
      </c>
      <c r="D120" s="14">
        <v>0</v>
      </c>
      <c r="E120" s="15">
        <f t="shared" si="5"/>
        <v>0</v>
      </c>
    </row>
    <row r="121" spans="1:5" x14ac:dyDescent="0.2">
      <c r="A121" s="3" t="s">
        <v>2</v>
      </c>
      <c r="B121" s="14">
        <v>0</v>
      </c>
      <c r="C121" s="14">
        <v>0</v>
      </c>
      <c r="D121" s="14">
        <v>6133.7442309999997</v>
      </c>
      <c r="E121" s="15">
        <f t="shared" si="5"/>
        <v>6133.7442309999997</v>
      </c>
    </row>
    <row r="122" spans="1:5" x14ac:dyDescent="0.2">
      <c r="A122" s="3" t="s">
        <v>3</v>
      </c>
      <c r="B122" s="14">
        <v>0</v>
      </c>
      <c r="C122" s="14">
        <v>0</v>
      </c>
      <c r="D122" s="14">
        <v>12280.847465000001</v>
      </c>
      <c r="E122" s="15">
        <f t="shared" si="5"/>
        <v>12280.847465000001</v>
      </c>
    </row>
    <row r="123" spans="1:5" x14ac:dyDescent="0.2">
      <c r="A123" s="3" t="s">
        <v>312</v>
      </c>
      <c r="B123" s="14">
        <v>0</v>
      </c>
      <c r="C123" s="14">
        <v>0</v>
      </c>
      <c r="D123" s="14">
        <v>0</v>
      </c>
      <c r="E123" s="15">
        <f t="shared" si="5"/>
        <v>0</v>
      </c>
    </row>
    <row r="124" spans="1:5" x14ac:dyDescent="0.2">
      <c r="A124" s="3" t="s">
        <v>313</v>
      </c>
      <c r="B124" s="14">
        <v>0</v>
      </c>
      <c r="C124" s="14">
        <v>0</v>
      </c>
      <c r="D124" s="14">
        <v>0</v>
      </c>
      <c r="E124" s="15">
        <f t="shared" si="5"/>
        <v>0</v>
      </c>
    </row>
    <row r="125" spans="1:5" x14ac:dyDescent="0.2">
      <c r="A125" s="3" t="s">
        <v>4</v>
      </c>
      <c r="B125" s="14">
        <v>0</v>
      </c>
      <c r="C125" s="14">
        <v>0</v>
      </c>
      <c r="D125" s="14">
        <v>2249.3108050000001</v>
      </c>
      <c r="E125" s="15">
        <f t="shared" si="5"/>
        <v>2249.3108050000001</v>
      </c>
    </row>
    <row r="126" spans="1:5" x14ac:dyDescent="0.2">
      <c r="A126" s="3" t="s">
        <v>5</v>
      </c>
      <c r="B126" s="14">
        <v>0</v>
      </c>
      <c r="C126" s="14">
        <v>0</v>
      </c>
      <c r="D126" s="14">
        <v>9150.8047659999993</v>
      </c>
      <c r="E126" s="15">
        <f t="shared" si="5"/>
        <v>9150.8047659999993</v>
      </c>
    </row>
    <row r="127" spans="1:5" x14ac:dyDescent="0.2">
      <c r="A127" s="3" t="s">
        <v>6</v>
      </c>
      <c r="B127" s="14">
        <v>0</v>
      </c>
      <c r="C127" s="14">
        <v>0</v>
      </c>
      <c r="D127" s="14">
        <v>0</v>
      </c>
      <c r="E127" s="15">
        <f t="shared" si="5"/>
        <v>0</v>
      </c>
    </row>
    <row r="128" spans="1:5" x14ac:dyDescent="0.2">
      <c r="A128" s="3" t="s">
        <v>314</v>
      </c>
      <c r="B128" s="14">
        <v>0</v>
      </c>
      <c r="C128" s="14">
        <v>0</v>
      </c>
      <c r="D128" s="14">
        <v>0</v>
      </c>
      <c r="E128" s="15">
        <f t="shared" si="5"/>
        <v>0</v>
      </c>
    </row>
    <row r="129" spans="1:5" x14ac:dyDescent="0.2">
      <c r="A129" s="3" t="s">
        <v>7</v>
      </c>
      <c r="B129" s="14">
        <v>0</v>
      </c>
      <c r="C129" s="14">
        <v>0</v>
      </c>
      <c r="D129" s="14">
        <v>1432.2386309999999</v>
      </c>
      <c r="E129" s="15">
        <f t="shared" si="5"/>
        <v>1432.2386309999999</v>
      </c>
    </row>
    <row r="130" spans="1:5" x14ac:dyDescent="0.2">
      <c r="A130" s="3" t="s">
        <v>8</v>
      </c>
      <c r="B130" s="14">
        <v>0</v>
      </c>
      <c r="C130" s="14">
        <v>0</v>
      </c>
      <c r="D130" s="14">
        <v>73.196624999999997</v>
      </c>
      <c r="E130" s="15">
        <f t="shared" si="5"/>
        <v>73.196624999999997</v>
      </c>
    </row>
    <row r="131" spans="1:5" x14ac:dyDescent="0.2">
      <c r="A131" s="3" t="s">
        <v>9</v>
      </c>
      <c r="B131" s="14">
        <v>0</v>
      </c>
      <c r="C131" s="14">
        <v>0</v>
      </c>
      <c r="D131" s="14">
        <v>599.67095800000004</v>
      </c>
      <c r="E131" s="15">
        <f t="shared" ref="E131:E146" si="6">SUM(B131:D131)</f>
        <v>599.67095800000004</v>
      </c>
    </row>
    <row r="132" spans="1:5" x14ac:dyDescent="0.2">
      <c r="A132" s="3" t="s">
        <v>10</v>
      </c>
      <c r="B132" s="14">
        <v>0</v>
      </c>
      <c r="C132" s="14">
        <v>0</v>
      </c>
      <c r="D132" s="14">
        <v>573.65674999999999</v>
      </c>
      <c r="E132" s="15">
        <f t="shared" si="6"/>
        <v>573.65674999999999</v>
      </c>
    </row>
    <row r="133" spans="1:5" x14ac:dyDescent="0.2">
      <c r="A133" s="3" t="s">
        <v>11</v>
      </c>
      <c r="B133" s="14">
        <v>0</v>
      </c>
      <c r="C133" s="14">
        <v>0</v>
      </c>
      <c r="D133" s="14">
        <v>274.012584</v>
      </c>
      <c r="E133" s="15">
        <f t="shared" si="6"/>
        <v>274.012584</v>
      </c>
    </row>
    <row r="134" spans="1:5" x14ac:dyDescent="0.2">
      <c r="A134" s="3" t="s">
        <v>12</v>
      </c>
      <c r="B134" s="14">
        <v>0</v>
      </c>
      <c r="C134" s="14">
        <v>0</v>
      </c>
      <c r="D134" s="14">
        <v>0</v>
      </c>
      <c r="E134" s="15">
        <f t="shared" si="6"/>
        <v>0</v>
      </c>
    </row>
    <row r="135" spans="1:5" x14ac:dyDescent="0.2">
      <c r="A135" s="3" t="s">
        <v>315</v>
      </c>
      <c r="B135" s="14">
        <v>0</v>
      </c>
      <c r="C135" s="14">
        <v>0</v>
      </c>
      <c r="D135" s="14">
        <v>0</v>
      </c>
      <c r="E135" s="15">
        <f t="shared" si="6"/>
        <v>0</v>
      </c>
    </row>
    <row r="136" spans="1:5" x14ac:dyDescent="0.2">
      <c r="A136" s="3" t="s">
        <v>316</v>
      </c>
      <c r="B136" s="14">
        <v>0</v>
      </c>
      <c r="C136" s="14">
        <v>0</v>
      </c>
      <c r="D136" s="14">
        <v>0</v>
      </c>
      <c r="E136" s="15">
        <f t="shared" si="6"/>
        <v>0</v>
      </c>
    </row>
    <row r="137" spans="1:5" x14ac:dyDescent="0.2">
      <c r="A137" s="3" t="s">
        <v>13</v>
      </c>
      <c r="B137" s="14">
        <v>0</v>
      </c>
      <c r="C137" s="14">
        <v>0</v>
      </c>
      <c r="D137" s="14">
        <v>0</v>
      </c>
      <c r="E137" s="15">
        <f t="shared" si="6"/>
        <v>0</v>
      </c>
    </row>
    <row r="138" spans="1:5" x14ac:dyDescent="0.2">
      <c r="A138" s="3" t="s">
        <v>14</v>
      </c>
      <c r="B138" s="14">
        <v>0</v>
      </c>
      <c r="C138" s="14">
        <v>0</v>
      </c>
      <c r="D138" s="14">
        <v>0</v>
      </c>
      <c r="E138" s="15">
        <f t="shared" si="6"/>
        <v>0</v>
      </c>
    </row>
    <row r="139" spans="1:5" x14ac:dyDescent="0.2">
      <c r="A139" s="3" t="s">
        <v>15</v>
      </c>
      <c r="B139" s="14">
        <v>0</v>
      </c>
      <c r="C139" s="14">
        <v>0</v>
      </c>
      <c r="D139" s="14">
        <v>0</v>
      </c>
      <c r="E139" s="15">
        <f t="shared" si="6"/>
        <v>0</v>
      </c>
    </row>
    <row r="140" spans="1:5" x14ac:dyDescent="0.2">
      <c r="A140" s="3" t="s">
        <v>16</v>
      </c>
      <c r="B140" s="14">
        <v>0</v>
      </c>
      <c r="C140" s="14">
        <v>0</v>
      </c>
      <c r="D140" s="14">
        <v>0</v>
      </c>
      <c r="E140" s="15">
        <f t="shared" si="6"/>
        <v>0</v>
      </c>
    </row>
    <row r="141" spans="1:5" x14ac:dyDescent="0.2">
      <c r="A141" s="3" t="s">
        <v>17</v>
      </c>
      <c r="B141" s="14">
        <v>0</v>
      </c>
      <c r="C141" s="14">
        <v>0</v>
      </c>
      <c r="D141" s="14">
        <v>0</v>
      </c>
      <c r="E141" s="15">
        <f t="shared" si="6"/>
        <v>0</v>
      </c>
    </row>
    <row r="142" spans="1:5" x14ac:dyDescent="0.2">
      <c r="A142" s="3" t="s">
        <v>18</v>
      </c>
      <c r="B142" s="14">
        <v>0</v>
      </c>
      <c r="C142" s="14">
        <v>0</v>
      </c>
      <c r="D142" s="14">
        <v>0</v>
      </c>
      <c r="E142" s="15">
        <f t="shared" si="6"/>
        <v>0</v>
      </c>
    </row>
    <row r="143" spans="1:5" x14ac:dyDescent="0.2">
      <c r="A143" s="3" t="s">
        <v>19</v>
      </c>
      <c r="B143" s="14">
        <v>0</v>
      </c>
      <c r="C143" s="14">
        <v>0</v>
      </c>
      <c r="D143" s="14">
        <v>0</v>
      </c>
      <c r="E143" s="15">
        <f t="shared" si="6"/>
        <v>0</v>
      </c>
    </row>
    <row r="144" spans="1:5" x14ac:dyDescent="0.2">
      <c r="A144" s="3" t="s">
        <v>20</v>
      </c>
      <c r="B144" s="14">
        <v>0</v>
      </c>
      <c r="C144" s="14">
        <v>0</v>
      </c>
      <c r="D144" s="14">
        <v>0</v>
      </c>
      <c r="E144" s="15">
        <f t="shared" si="6"/>
        <v>0</v>
      </c>
    </row>
    <row r="145" spans="1:5" x14ac:dyDescent="0.2">
      <c r="A145" s="16" t="s">
        <v>21</v>
      </c>
      <c r="B145" s="14">
        <v>0</v>
      </c>
      <c r="C145" s="14">
        <v>0</v>
      </c>
      <c r="D145" s="14">
        <v>0</v>
      </c>
      <c r="E145" s="15">
        <f t="shared" si="6"/>
        <v>0</v>
      </c>
    </row>
    <row r="146" spans="1:5" x14ac:dyDescent="0.2">
      <c r="A146" s="16" t="s">
        <v>357</v>
      </c>
      <c r="B146" s="14">
        <v>0</v>
      </c>
      <c r="C146" s="14">
        <v>0</v>
      </c>
      <c r="D146" s="14">
        <v>1064.3974000000001</v>
      </c>
      <c r="E146" s="15">
        <f t="shared" si="6"/>
        <v>1064.3974000000001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topLeftCell="A96" workbookViewId="0">
      <selection activeCell="H4" sqref="H4:I19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86.859235999999996</v>
      </c>
      <c r="C2" s="16">
        <v>0</v>
      </c>
    </row>
    <row r="3" spans="1:10" x14ac:dyDescent="0.2">
      <c r="A3" s="3" t="s">
        <v>195</v>
      </c>
      <c r="B3" s="16">
        <v>200.59649300000001</v>
      </c>
      <c r="C3" s="16">
        <v>0</v>
      </c>
      <c r="E3" s="4" t="s">
        <v>317</v>
      </c>
      <c r="F3" s="3">
        <f>SUM(B:B)</f>
        <v>46448.441657999996</v>
      </c>
      <c r="G3" s="1" t="s">
        <v>337</v>
      </c>
    </row>
    <row r="4" spans="1:10" x14ac:dyDescent="0.2">
      <c r="A4" s="3" t="s">
        <v>196</v>
      </c>
      <c r="B4" s="16">
        <v>20.511828999999999</v>
      </c>
      <c r="C4" s="16">
        <v>0</v>
      </c>
      <c r="E4" s="4" t="s">
        <v>318</v>
      </c>
      <c r="F4" s="3">
        <f>SUM(C:C)</f>
        <v>142514.40343999999</v>
      </c>
      <c r="G4" s="1" t="s">
        <v>337</v>
      </c>
      <c r="H4" s="4" t="s">
        <v>318</v>
      </c>
      <c r="I4" s="12">
        <f>SUM(I5:I19)</f>
        <v>142514.40343999999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188962.84509799999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1575.3094799999999</v>
      </c>
      <c r="C6" s="16">
        <v>0</v>
      </c>
      <c r="H6" s="3" t="s">
        <v>2</v>
      </c>
      <c r="I6" s="12">
        <f t="shared" ref="I6:I18" si="0">C121</f>
        <v>18617.332900000001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41581.029699999999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0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0</v>
      </c>
    </row>
    <row r="10" spans="1:10" x14ac:dyDescent="0.2">
      <c r="A10" s="3" t="s">
        <v>202</v>
      </c>
      <c r="B10" s="16">
        <v>789.628468</v>
      </c>
      <c r="C10" s="16">
        <v>0</v>
      </c>
      <c r="H10" s="3" t="s">
        <v>4</v>
      </c>
      <c r="I10" s="12">
        <f t="shared" si="0"/>
        <v>11099.8248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44149.074699999997</v>
      </c>
    </row>
    <row r="12" spans="1:10" x14ac:dyDescent="0.2">
      <c r="A12" s="3" t="s">
        <v>204</v>
      </c>
      <c r="B12" s="16">
        <v>688.17688099999998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36.847825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11556.742200000001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0</v>
      </c>
      <c r="C18" s="16">
        <v>0</v>
      </c>
      <c r="H18" s="3" t="s">
        <v>11</v>
      </c>
      <c r="I18" s="12">
        <f t="shared" si="0"/>
        <v>9933.1830000000009</v>
      </c>
    </row>
    <row r="19" spans="1:15" x14ac:dyDescent="0.2">
      <c r="A19" s="3" t="s">
        <v>211</v>
      </c>
      <c r="B19" s="16">
        <v>213.88944499999999</v>
      </c>
      <c r="C19" s="16">
        <v>0</v>
      </c>
      <c r="H19" s="16" t="s">
        <v>357</v>
      </c>
      <c r="I19" s="12">
        <f>C146</f>
        <v>5577.2161400000005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24.782242</v>
      </c>
      <c r="C21" s="16">
        <v>0</v>
      </c>
    </row>
    <row r="22" spans="1:15" x14ac:dyDescent="0.2">
      <c r="A22" s="3" t="s">
        <v>214</v>
      </c>
      <c r="B22" s="16">
        <v>3.6085410000000002</v>
      </c>
      <c r="C22" s="16">
        <v>0</v>
      </c>
      <c r="H22" s="4" t="s">
        <v>317</v>
      </c>
      <c r="I22" s="12">
        <f>SUM(I23:I51)</f>
        <v>46118.211098000007</v>
      </c>
      <c r="J22" s="15" t="s">
        <v>337</v>
      </c>
    </row>
    <row r="23" spans="1:15" x14ac:dyDescent="0.2">
      <c r="A23" s="3" t="s">
        <v>215</v>
      </c>
      <c r="B23" s="16">
        <v>1.9765090000000001</v>
      </c>
      <c r="C23" s="16">
        <v>0</v>
      </c>
      <c r="H23" s="16" t="str">
        <f t="shared" ref="H23:I25" si="1">A2</f>
        <v>NUCLEAR</v>
      </c>
      <c r="I23" s="12">
        <f t="shared" si="1"/>
        <v>86.859235999999996</v>
      </c>
    </row>
    <row r="24" spans="1:15" x14ac:dyDescent="0.2">
      <c r="A24" s="3" t="s">
        <v>216</v>
      </c>
      <c r="B24" s="16">
        <v>0</v>
      </c>
      <c r="C24" s="16">
        <v>0</v>
      </c>
      <c r="H24" s="16" t="str">
        <f t="shared" si="1"/>
        <v>CCGT</v>
      </c>
      <c r="I24" s="12">
        <f t="shared" si="1"/>
        <v>200.59649300000001</v>
      </c>
    </row>
    <row r="25" spans="1:15" x14ac:dyDescent="0.2">
      <c r="A25" s="3" t="s">
        <v>217</v>
      </c>
      <c r="B25" s="16">
        <v>2.9686659999999998</v>
      </c>
      <c r="C25" s="16">
        <v>0</v>
      </c>
      <c r="H25" s="16" t="str">
        <f t="shared" si="1"/>
        <v>COAL_US</v>
      </c>
      <c r="I25" s="12">
        <f t="shared" si="1"/>
        <v>20.511828999999999</v>
      </c>
    </row>
    <row r="26" spans="1:15" x14ac:dyDescent="0.2">
      <c r="A26" s="3" t="s">
        <v>218</v>
      </c>
      <c r="B26" s="16">
        <v>3.9530180000000001</v>
      </c>
      <c r="C26" s="16">
        <v>0</v>
      </c>
      <c r="H26" s="16" t="str">
        <f>A6</f>
        <v>PV</v>
      </c>
      <c r="I26" s="12">
        <f>B6</f>
        <v>1575.3094799999999</v>
      </c>
    </row>
    <row r="27" spans="1:15" x14ac:dyDescent="0.2">
      <c r="A27" s="3" t="s">
        <v>219</v>
      </c>
      <c r="B27" s="16">
        <v>0</v>
      </c>
      <c r="C27" s="16">
        <v>0</v>
      </c>
      <c r="H27" s="16" t="str">
        <f>A10</f>
        <v>WIND_ONSHORE</v>
      </c>
      <c r="I27" s="12">
        <f>B10</f>
        <v>789.628468</v>
      </c>
    </row>
    <row r="28" spans="1:15" x14ac:dyDescent="0.2">
      <c r="A28" s="3" t="s">
        <v>220</v>
      </c>
      <c r="B28" s="16">
        <v>0</v>
      </c>
      <c r="C28" s="16">
        <v>0</v>
      </c>
      <c r="H28" s="16" t="str">
        <f>A12</f>
        <v>HYDRO_DAM</v>
      </c>
      <c r="I28" s="12">
        <f>B12</f>
        <v>688.17688099999998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36.847825</v>
      </c>
    </row>
    <row r="30" spans="1:15" x14ac:dyDescent="0.2">
      <c r="A30" s="3" t="s">
        <v>222</v>
      </c>
      <c r="B30" s="16">
        <v>0</v>
      </c>
      <c r="C30" s="16">
        <v>0</v>
      </c>
      <c r="H30" s="16" t="str">
        <f>A18</f>
        <v>GEOTHERMAL</v>
      </c>
      <c r="I30" s="12">
        <f>B18</f>
        <v>0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213.88944499999999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24.782242</v>
      </c>
      <c r="K32" s="56" t="s">
        <v>381</v>
      </c>
      <c r="L32" s="16" t="s">
        <v>380</v>
      </c>
      <c r="M32" s="13">
        <f>SUM(I6+I7+I5+I10+I11+I16+I17+I19)</f>
        <v>132581.22044</v>
      </c>
      <c r="N32" s="43" t="s">
        <v>380</v>
      </c>
      <c r="O32" s="12">
        <f>(M32/$M$45)</f>
        <v>0.70285417378494508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3.6085410000000002</v>
      </c>
      <c r="K33" s="57"/>
      <c r="L33" s="16" t="s">
        <v>379</v>
      </c>
      <c r="M33" s="13">
        <f>I8+I9+I14+I18+I15</f>
        <v>9933.1830000000009</v>
      </c>
      <c r="N33" s="43" t="s">
        <v>379</v>
      </c>
      <c r="O33" s="12">
        <f t="shared" ref="O33:O43" si="2">(M33/$M$45)</f>
        <v>5.2658884171904237E-2</v>
      </c>
    </row>
    <row r="34" spans="1:15" x14ac:dyDescent="0.2">
      <c r="A34" s="3" t="s">
        <v>226</v>
      </c>
      <c r="B34" s="16">
        <v>0</v>
      </c>
      <c r="C34" s="16">
        <v>0</v>
      </c>
      <c r="H34" s="16" t="str">
        <f>A23</f>
        <v>IND_BOILER_WOOD</v>
      </c>
      <c r="I34" s="12">
        <f t="shared" ref="I34:I38" si="3">B23</f>
        <v>1.9765090000000001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2.4393936389367232E-3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48.903170000000003</v>
      </c>
      <c r="C36" s="16">
        <v>0</v>
      </c>
      <c r="H36" s="16" t="str">
        <f>A25</f>
        <v>IND_BOILER_COAL</v>
      </c>
      <c r="I36" s="12">
        <f t="shared" si="3"/>
        <v>2.9686659999999998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3.9530180000000001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251.63056</v>
      </c>
      <c r="C38" s="16">
        <v>0</v>
      </c>
      <c r="H38" s="16" t="str">
        <f>A27</f>
        <v>IND_DIRECT_ELEC</v>
      </c>
      <c r="I38" s="12">
        <f t="shared" si="3"/>
        <v>0</v>
      </c>
      <c r="L38" s="16" t="s">
        <v>369</v>
      </c>
      <c r="M38" s="36">
        <f>SUM(I46:I50)</f>
        <v>41709.626708000003</v>
      </c>
      <c r="N38" s="43" t="s">
        <v>369</v>
      </c>
      <c r="O38" s="12">
        <f t="shared" si="2"/>
        <v>0.22111566873075181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0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48.903170000000003</v>
      </c>
      <c r="L40" s="16" t="s">
        <v>372</v>
      </c>
      <c r="M40" s="36">
        <f>SUM(I41:I45)</f>
        <v>250.42338699999999</v>
      </c>
      <c r="N40" s="43" t="s">
        <v>372</v>
      </c>
      <c r="O40" s="12">
        <f t="shared" si="2"/>
        <v>1.3275720511712055E-3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38.650497999999999</v>
      </c>
      <c r="L41" s="16" t="s">
        <v>373</v>
      </c>
      <c r="M41" s="36">
        <f>I40+I39</f>
        <v>48.903170000000003</v>
      </c>
      <c r="N41" s="43" t="s">
        <v>373</v>
      </c>
      <c r="O41" s="12">
        <f t="shared" si="2"/>
        <v>2.5925087302518658E-4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22.373076000000001</v>
      </c>
      <c r="L42" s="16" t="s">
        <v>374</v>
      </c>
      <c r="M42" s="36">
        <f>SUM(I31:I38)</f>
        <v>251.17842100000001</v>
      </c>
      <c r="N42" s="43" t="s">
        <v>374</v>
      </c>
      <c r="O42" s="12">
        <f t="shared" si="2"/>
        <v>1.331574720602731E-3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21.414819999999999</v>
      </c>
      <c r="L43" s="16" t="s">
        <v>375</v>
      </c>
      <c r="M43" s="36">
        <f>I23+I24+I25+I26+I27+I28+I29+I30</f>
        <v>3397.9302119999998</v>
      </c>
      <c r="N43" s="43" t="s">
        <v>375</v>
      </c>
      <c r="O43" s="12">
        <f t="shared" si="2"/>
        <v>1.8013482028663118E-2</v>
      </c>
    </row>
    <row r="44" spans="1:15" x14ac:dyDescent="0.2">
      <c r="A44" s="3" t="s">
        <v>236</v>
      </c>
      <c r="B44" s="16">
        <v>38.650497999999999</v>
      </c>
      <c r="C44" s="16">
        <v>0</v>
      </c>
      <c r="H44" s="16" t="str">
        <f>A47</f>
        <v>DEC_SOLAR</v>
      </c>
      <c r="I44" s="12">
        <f t="shared" si="4"/>
        <v>167.984993</v>
      </c>
      <c r="M44" s="33"/>
    </row>
    <row r="45" spans="1:15" x14ac:dyDescent="0.2">
      <c r="A45" s="3" t="s">
        <v>237</v>
      </c>
      <c r="B45" s="16">
        <v>22.373076000000001</v>
      </c>
      <c r="C45" s="16">
        <v>0</v>
      </c>
      <c r="H45" s="16" t="str">
        <f>A48</f>
        <v>DEC_DIRECT_ELEC</v>
      </c>
      <c r="I45" s="12">
        <f t="shared" si="4"/>
        <v>0</v>
      </c>
      <c r="L45" s="1" t="s">
        <v>336</v>
      </c>
      <c r="M45" s="33">
        <f>SUM(M32:M43)</f>
        <v>188632.61453799999</v>
      </c>
    </row>
    <row r="46" spans="1:15" x14ac:dyDescent="0.2">
      <c r="A46" s="3" t="s">
        <v>238</v>
      </c>
      <c r="B46" s="16">
        <v>21.414819999999999</v>
      </c>
      <c r="C46" s="16">
        <v>0</v>
      </c>
      <c r="H46" s="16" t="str">
        <f>A60</f>
        <v>CAR_GASOLINE</v>
      </c>
      <c r="I46" s="12">
        <f>B60</f>
        <v>12673.0085</v>
      </c>
    </row>
    <row r="47" spans="1:15" x14ac:dyDescent="0.2">
      <c r="A47" s="3" t="s">
        <v>239</v>
      </c>
      <c r="B47" s="16">
        <v>167.984993</v>
      </c>
      <c r="C47" s="16">
        <v>0</v>
      </c>
      <c r="H47" s="16" t="str">
        <f t="shared" ref="H47:H49" si="5">A61</f>
        <v>CAR_DIESEL</v>
      </c>
      <c r="I47" s="12">
        <f t="shared" ref="I47:I49" si="6">B61</f>
        <v>8040.3573900000001</v>
      </c>
    </row>
    <row r="48" spans="1:15" x14ac:dyDescent="0.2">
      <c r="A48" s="3" t="s">
        <v>240</v>
      </c>
      <c r="B48" s="16">
        <v>0</v>
      </c>
      <c r="C48" s="16">
        <v>0</v>
      </c>
      <c r="H48" s="16" t="str">
        <f t="shared" si="5"/>
        <v>MOTORCYCLE</v>
      </c>
      <c r="I48" s="12">
        <f t="shared" si="6"/>
        <v>18679.263500000001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859.12994800000001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1457.8673699999999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12673.0085</v>
      </c>
      <c r="C60" s="16">
        <v>0</v>
      </c>
    </row>
    <row r="61" spans="1:9" x14ac:dyDescent="0.2">
      <c r="A61" s="3" t="s">
        <v>250</v>
      </c>
      <c r="B61" s="16">
        <v>8040.3573900000001</v>
      </c>
      <c r="C61" s="16">
        <v>0</v>
      </c>
    </row>
    <row r="62" spans="1:9" s="15" customFormat="1" x14ac:dyDescent="0.2">
      <c r="A62" s="16" t="s">
        <v>361</v>
      </c>
      <c r="B62" s="16">
        <v>18679.263500000001</v>
      </c>
      <c r="C62" s="16">
        <v>0</v>
      </c>
    </row>
    <row r="63" spans="1:9" x14ac:dyDescent="0.2">
      <c r="A63" s="3" t="s">
        <v>251</v>
      </c>
      <c r="B63" s="16">
        <v>859.12994800000001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1457.8673699999999</v>
      </c>
      <c r="C66" s="16">
        <v>0</v>
      </c>
    </row>
    <row r="67" spans="1:3" x14ac:dyDescent="0.2">
      <c r="A67" s="3" t="s">
        <v>255</v>
      </c>
      <c r="B67" s="16">
        <v>78.599999999999994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18617.332900000001</v>
      </c>
    </row>
    <row r="122" spans="1:3" x14ac:dyDescent="0.2">
      <c r="A122" s="3" t="s">
        <v>3</v>
      </c>
      <c r="B122" s="16">
        <v>0</v>
      </c>
      <c r="C122" s="16">
        <v>41581.029699999999</v>
      </c>
    </row>
    <row r="123" spans="1:3" x14ac:dyDescent="0.2">
      <c r="A123" s="3" t="s">
        <v>312</v>
      </c>
      <c r="B123" s="16">
        <v>0</v>
      </c>
      <c r="C123" s="16">
        <v>0</v>
      </c>
    </row>
    <row r="124" spans="1:3" x14ac:dyDescent="0.2">
      <c r="A124" s="3" t="s">
        <v>313</v>
      </c>
      <c r="B124" s="16">
        <v>0</v>
      </c>
      <c r="C124" s="16">
        <v>0</v>
      </c>
    </row>
    <row r="125" spans="1:3" x14ac:dyDescent="0.2">
      <c r="A125" s="3" t="s">
        <v>4</v>
      </c>
      <c r="B125" s="16">
        <v>0</v>
      </c>
      <c r="C125" s="16">
        <v>11099.8248</v>
      </c>
    </row>
    <row r="126" spans="1:3" x14ac:dyDescent="0.2">
      <c r="A126" s="3" t="s">
        <v>5</v>
      </c>
      <c r="B126" s="16">
        <v>0</v>
      </c>
      <c r="C126" s="16">
        <v>44149.074699999997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11556.742200000001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9933.1830000000009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5577.2161400000005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2021-08-19T08:39:51Z</dcterms:modified>
</cp:coreProperties>
</file>