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G:\Mi unidad\BTMC\Plantillas 2026\"/>
    </mc:Choice>
  </mc:AlternateContent>
  <xr:revisionPtr revIDLastSave="0" documentId="8_{BB47C1B5-F96A-42E2-B44D-0475A340FB53}" xr6:coauthVersionLast="47" xr6:coauthVersionMax="47" xr10:uidLastSave="{00000000-0000-0000-0000-000000000000}"/>
  <bookViews>
    <workbookView xWindow="-108" yWindow="-108" windowWidth="23256" windowHeight="12456" activeTab="4" xr2:uid="{00000000-000D-0000-FFFF-FFFF00000000}"/>
  </bookViews>
  <sheets>
    <sheet name="INFORMACIÓN" sheetId="23" r:id="rId1"/>
    <sheet name="Redondeo" sheetId="29" state="hidden" r:id="rId2"/>
    <sheet name="INCERTIDUMBRE" sheetId="21" r:id="rId3"/>
    <sheet name="MEDIDA" sheetId="20" r:id="rId4"/>
    <sheet name="CERTIFICADO " sheetId="32" r:id="rId5"/>
    <sheet name="Hoja1" sheetId="33" r:id="rId6"/>
  </sheets>
  <externalReferences>
    <externalReference r:id="rId7"/>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98" i="32" l="1"/>
  <c r="L299" i="32"/>
  <c r="L300" i="32" s="1"/>
  <c r="O300" i="32" s="1"/>
  <c r="L278" i="32"/>
  <c r="O278" i="32" s="1"/>
  <c r="L277" i="32"/>
  <c r="O277" i="32" s="1"/>
  <c r="Q199" i="32"/>
  <c r="N199" i="32"/>
  <c r="O299" i="32" l="1"/>
  <c r="L279" i="32"/>
  <c r="N200" i="32"/>
  <c r="O279" i="32" l="1"/>
  <c r="L280" i="32"/>
  <c r="O280" i="32" s="1"/>
  <c r="N201" i="32"/>
  <c r="N202" i="32" s="1"/>
  <c r="N203" i="32" s="1"/>
  <c r="N204" i="32" s="1"/>
  <c r="N205" i="32" s="1"/>
  <c r="N206" i="32" s="1"/>
  <c r="N207" i="32" s="1"/>
  <c r="N208" i="32" s="1"/>
  <c r="N209" i="32" s="1"/>
  <c r="N210" i="32" s="1"/>
  <c r="N211" i="32" s="1"/>
  <c r="N212" i="32" s="1"/>
  <c r="N213" i="32" s="1"/>
  <c r="N214" i="32" s="1"/>
  <c r="N215" i="32" s="1"/>
  <c r="N216" i="32" s="1"/>
  <c r="N217" i="32" s="1"/>
  <c r="N218" i="32" s="1"/>
  <c r="N219" i="32" s="1"/>
  <c r="L281" i="32" l="1"/>
  <c r="O281" i="32" s="1"/>
  <c r="L282" i="32" l="1"/>
  <c r="O282" i="32" s="1"/>
  <c r="L283" i="32" l="1"/>
  <c r="O283" i="32" s="1"/>
  <c r="L284" i="32" l="1"/>
  <c r="O284" i="32" s="1"/>
  <c r="L285" i="32" l="1"/>
  <c r="O285" i="32" s="1"/>
  <c r="L286" i="32" l="1"/>
  <c r="O286" i="32" s="1"/>
  <c r="L287" i="32" l="1"/>
  <c r="O287" i="32" s="1"/>
  <c r="L288" i="32" l="1"/>
  <c r="O288" i="32" s="1"/>
  <c r="L289" i="32" l="1"/>
  <c r="O289" i="32" s="1"/>
  <c r="L290" i="32" l="1"/>
  <c r="O290" i="32" s="1"/>
  <c r="L291" i="32" l="1"/>
  <c r="O291" i="32" s="1"/>
  <c r="L292" i="32" l="1"/>
  <c r="O292" i="32" s="1"/>
  <c r="L293" i="32" l="1"/>
  <c r="O293" i="32" s="1"/>
  <c r="L294" i="32" l="1"/>
  <c r="O294" i="32" s="1"/>
  <c r="L295" i="32" l="1"/>
  <c r="O295" i="32" s="1"/>
  <c r="L296" i="32" l="1"/>
  <c r="O296" i="32" s="1"/>
  <c r="L297" i="32" l="1"/>
  <c r="O297" i="32" s="1"/>
  <c r="L298" i="32" l="1"/>
  <c r="O298" i="32" l="1"/>
  <c r="G333" i="32" s="1"/>
  <c r="G332" i="32"/>
  <c r="N220" i="32" l="1"/>
  <c r="N221" i="32" s="1"/>
  <c r="N198" i="32"/>
  <c r="G258" i="32" l="1"/>
  <c r="F167" i="32"/>
  <c r="I12" i="33"/>
  <c r="I11" i="33"/>
  <c r="I10" i="33"/>
  <c r="I9" i="33"/>
  <c r="I8" i="33"/>
  <c r="I7" i="33"/>
  <c r="H167" i="32" l="1"/>
  <c r="H169" i="32" l="1"/>
  <c r="H170" i="32"/>
  <c r="H171" i="32"/>
  <c r="H172" i="32"/>
  <c r="H173" i="32"/>
  <c r="H174" i="32"/>
  <c r="H175" i="32"/>
  <c r="H176" i="32"/>
  <c r="F168" i="32"/>
  <c r="H168" i="32"/>
  <c r="E277" i="32" l="1"/>
  <c r="I199" i="32"/>
  <c r="I200" i="32" s="1"/>
  <c r="I201" i="32" s="1"/>
  <c r="I202" i="32" s="1"/>
  <c r="I203" i="32" s="1"/>
  <c r="I204" i="32" s="1"/>
  <c r="I205" i="32" s="1"/>
  <c r="I206" i="32" s="1"/>
  <c r="I207" i="32" s="1"/>
  <c r="I208" i="32" s="1"/>
  <c r="I209" i="32" s="1"/>
  <c r="I210" i="32" s="1"/>
  <c r="I211" i="32" s="1"/>
  <c r="I212" i="32" s="1"/>
  <c r="I213" i="32" s="1"/>
  <c r="I214" i="32" s="1"/>
  <c r="I215" i="32" s="1"/>
  <c r="I216" i="32" s="1"/>
  <c r="I217" i="32" s="1"/>
  <c r="I218" i="32" s="1"/>
  <c r="I219" i="32" s="1"/>
  <c r="I220" i="32" s="1"/>
  <c r="I221" i="32" s="1"/>
  <c r="G277" i="32" s="1"/>
  <c r="G278" i="32" s="1"/>
  <c r="G279" i="32" s="1"/>
  <c r="G280" i="32" s="1"/>
  <c r="G281" i="32" s="1"/>
  <c r="G282" i="32" s="1"/>
  <c r="G283" i="32" s="1"/>
  <c r="G284" i="32" s="1"/>
  <c r="G285" i="32" s="1"/>
  <c r="G286" i="32" s="1"/>
  <c r="G287" i="32" s="1"/>
  <c r="G288" i="32" s="1"/>
  <c r="G289" i="32" s="1"/>
  <c r="G290" i="32" s="1"/>
  <c r="G291" i="32" s="1"/>
  <c r="G292" i="32" s="1"/>
  <c r="G293" i="32" s="1"/>
  <c r="G294" i="32" s="1"/>
  <c r="G295" i="32" s="1"/>
  <c r="G296" i="32" s="1"/>
  <c r="G297" i="32" s="1"/>
  <c r="G298" i="32" s="1"/>
  <c r="G299" i="32" s="1"/>
  <c r="G300" i="32" s="1"/>
  <c r="G198" i="32"/>
  <c r="F169" i="32"/>
  <c r="F170" i="32" l="1"/>
  <c r="F171" i="32" s="1"/>
  <c r="F172" i="32" s="1"/>
  <c r="F173" i="32" s="1"/>
  <c r="F174" i="32" s="1"/>
  <c r="F175" i="32" s="1"/>
  <c r="F176" i="32" s="1"/>
  <c r="N46" i="32"/>
  <c r="K46" i="32"/>
  <c r="I46" i="32"/>
  <c r="F46" i="32"/>
  <c r="M31" i="32"/>
  <c r="I18" i="32"/>
  <c r="I19" i="32"/>
  <c r="I20" i="32"/>
  <c r="I21" i="32"/>
  <c r="I17" i="32"/>
  <c r="I12" i="32"/>
  <c r="I11" i="32"/>
  <c r="I10" i="32"/>
  <c r="I9" i="32"/>
  <c r="I8" i="32"/>
  <c r="I7" i="32"/>
  <c r="I6" i="32"/>
  <c r="I5" i="32"/>
  <c r="R1" i="32"/>
  <c r="B10" i="23"/>
  <c r="M32" i="32" s="1"/>
  <c r="B9" i="23"/>
  <c r="I13" i="32" s="1"/>
  <c r="G199" i="32" l="1"/>
  <c r="G200" i="32" s="1"/>
  <c r="G201" i="32" s="1"/>
  <c r="G202" i="32" s="1"/>
  <c r="G203" i="32" s="1"/>
  <c r="G204" i="32" s="1"/>
  <c r="G205" i="32" s="1"/>
  <c r="G206" i="32" s="1"/>
  <c r="G207" i="32" s="1"/>
  <c r="G208" i="32" s="1"/>
  <c r="G209" i="32" s="1"/>
  <c r="G210" i="32" s="1"/>
  <c r="G211" i="32" s="1"/>
  <c r="G212" i="32" s="1"/>
  <c r="G213" i="32" s="1"/>
  <c r="G214" i="32" s="1"/>
  <c r="G215" i="32" s="1"/>
  <c r="G216" i="32" s="1"/>
  <c r="G217" i="32" s="1"/>
  <c r="G218" i="32" s="1"/>
  <c r="G219" i="32" s="1"/>
  <c r="G220" i="32" s="1"/>
  <c r="G221" i="32" s="1"/>
  <c r="E278" i="32"/>
  <c r="E279" i="32" s="1"/>
  <c r="E280" i="32" s="1"/>
  <c r="E281" i="32" s="1"/>
  <c r="E282" i="32" s="1"/>
  <c r="E283" i="32" s="1"/>
  <c r="E284" i="32" s="1"/>
  <c r="E285" i="32" s="1"/>
  <c r="E286" i="32" s="1"/>
  <c r="E287" i="32" s="1"/>
  <c r="E288" i="32" s="1"/>
  <c r="E289" i="32" s="1"/>
  <c r="E290" i="32" s="1"/>
  <c r="E291" i="32" s="1"/>
  <c r="E292" i="32" s="1"/>
  <c r="E293" i="32" s="1"/>
  <c r="E294" i="32" s="1"/>
  <c r="E295" i="32" s="1"/>
  <c r="E296" i="32" s="1"/>
  <c r="E297" i="32" s="1"/>
  <c r="E298" i="32" s="1"/>
  <c r="E299" i="32" s="1"/>
  <c r="E300" i="32" s="1"/>
  <c r="I278" i="32"/>
  <c r="I279" i="32"/>
  <c r="I280" i="32"/>
  <c r="I281" i="32"/>
  <c r="I282" i="32"/>
  <c r="I283" i="32"/>
  <c r="I284" i="32"/>
  <c r="I285" i="32"/>
  <c r="I286" i="32"/>
  <c r="I287" i="32"/>
  <c r="I288" i="32"/>
  <c r="I289" i="32"/>
  <c r="I290" i="32"/>
  <c r="I291" i="32"/>
  <c r="I292" i="32"/>
  <c r="I293" i="32"/>
  <c r="I294" i="32"/>
  <c r="I295" i="32"/>
  <c r="I296" i="32"/>
  <c r="I297" i="32"/>
  <c r="I298" i="32"/>
  <c r="I299" i="32"/>
  <c r="I300" i="32"/>
  <c r="I277" i="32"/>
  <c r="K199" i="32"/>
  <c r="K200" i="32"/>
  <c r="K201" i="32"/>
  <c r="K202" i="32"/>
  <c r="K203" i="32"/>
  <c r="K204" i="32"/>
  <c r="K205" i="32"/>
  <c r="K206" i="32"/>
  <c r="K207" i="32"/>
  <c r="K208" i="32"/>
  <c r="K209" i="32"/>
  <c r="K210" i="32"/>
  <c r="K211" i="32"/>
  <c r="K212" i="32"/>
  <c r="K213" i="32"/>
  <c r="K214" i="32"/>
  <c r="K215" i="32"/>
  <c r="K216" i="32"/>
  <c r="K217" i="32"/>
  <c r="K218" i="32"/>
  <c r="K219" i="32"/>
  <c r="K220" i="32"/>
  <c r="K221" i="32"/>
  <c r="K198" i="32"/>
  <c r="I179" i="32" l="1"/>
  <c r="F179" i="32"/>
  <c r="J168" i="32"/>
  <c r="J169" i="32"/>
  <c r="J170" i="32"/>
  <c r="J171" i="32"/>
  <c r="J172" i="32"/>
  <c r="J173" i="32"/>
  <c r="J174" i="32"/>
  <c r="J175" i="32"/>
  <c r="J176" i="32"/>
  <c r="J167" i="32"/>
  <c r="L179" i="32" l="1"/>
  <c r="G257" i="32" s="1"/>
  <c r="G331" i="32" s="1"/>
  <c r="R38" i="32" l="1"/>
  <c r="G6" i="21"/>
  <c r="G7" i="21"/>
  <c r="G8" i="21"/>
  <c r="G9" i="21"/>
  <c r="G10" i="21"/>
  <c r="G11" i="21"/>
  <c r="G5" i="21"/>
  <c r="E6" i="21"/>
  <c r="E7" i="21"/>
  <c r="E8" i="21"/>
  <c r="E9" i="21"/>
  <c r="E10" i="21"/>
  <c r="E11" i="21"/>
  <c r="E5" i="21"/>
  <c r="D6" i="21"/>
  <c r="D7" i="21"/>
  <c r="D8" i="21"/>
  <c r="D9" i="21"/>
  <c r="D10" i="21"/>
  <c r="D11" i="21"/>
  <c r="D5" i="21"/>
  <c r="O38" i="32"/>
  <c r="O74" i="32"/>
  <c r="O112" i="32" s="1"/>
  <c r="O152" i="32" s="1"/>
  <c r="O188" i="32" s="1"/>
  <c r="O231" i="32" s="1"/>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I5" i="21"/>
  <c r="B5" i="21"/>
  <c r="N3" i="21"/>
  <c r="B7" i="21"/>
  <c r="B8" i="21"/>
  <c r="B9" i="21"/>
  <c r="B10" i="21"/>
  <c r="B11" i="21"/>
  <c r="B6" i="21"/>
  <c r="E12" i="21"/>
  <c r="F12" i="21"/>
  <c r="G12" i="21"/>
  <c r="H12" i="21"/>
  <c r="D12" i="21"/>
  <c r="F164" i="29"/>
  <c r="G163" i="29"/>
  <c r="H163" i="29"/>
  <c r="E166" i="29"/>
  <c r="I166" i="29"/>
  <c r="I406" i="29"/>
  <c r="J406" i="29"/>
  <c r="F364" i="29"/>
  <c r="G363" i="29"/>
  <c r="H363" i="29"/>
  <c r="E366" i="29"/>
  <c r="G403" i="29"/>
  <c r="H403" i="29"/>
  <c r="E406" i="29"/>
  <c r="F404" i="29"/>
  <c r="J166" i="29"/>
  <c r="H166" i="29"/>
  <c r="E167" i="29"/>
  <c r="E168" i="29"/>
  <c r="F166" i="29"/>
  <c r="F444" i="29"/>
  <c r="G443" i="29"/>
  <c r="H443" i="29"/>
  <c r="J366" i="29"/>
  <c r="D324" i="29"/>
  <c r="G329" i="29"/>
  <c r="I326" i="29"/>
  <c r="E332" i="29"/>
  <c r="F332" i="29"/>
  <c r="G332" i="29"/>
  <c r="L326" i="29"/>
  <c r="E323" i="29"/>
  <c r="F323" i="29"/>
  <c r="L327" i="29"/>
  <c r="H5" i="21"/>
  <c r="C5" i="21"/>
  <c r="H406" i="29"/>
  <c r="F406" i="29"/>
  <c r="E407" i="29"/>
  <c r="E408" i="29"/>
  <c r="F169" i="29"/>
  <c r="F167" i="29"/>
  <c r="M166" i="29"/>
  <c r="C172" i="29"/>
  <c r="J163" i="29"/>
  <c r="F366" i="29"/>
  <c r="E367" i="29"/>
  <c r="E368" i="29"/>
  <c r="H326" i="29"/>
  <c r="J326" i="29"/>
  <c r="F324" i="29"/>
  <c r="G323" i="29"/>
  <c r="H323" i="29"/>
  <c r="E326" i="29"/>
  <c r="J5" i="21"/>
  <c r="K5" i="21" s="1"/>
  <c r="L5" i="21" s="1"/>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I334" i="29"/>
  <c r="J334" i="29"/>
  <c r="E335" i="29"/>
  <c r="E336" i="29"/>
  <c r="M334" i="29"/>
  <c r="C340" i="29"/>
  <c r="F334"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F337" i="29"/>
  <c r="F335" i="29"/>
  <c r="G345" i="29"/>
  <c r="E342" i="29"/>
  <c r="E348" i="29"/>
  <c r="F348" i="29"/>
  <c r="G348" i="29"/>
  <c r="L342" i="29"/>
  <c r="L343" i="29"/>
  <c r="G342" i="29"/>
  <c r="H345" i="29"/>
  <c r="H422" i="29"/>
  <c r="J422" i="29"/>
  <c r="H190" i="29"/>
  <c r="D364" i="29"/>
  <c r="C388" i="29"/>
  <c r="F385" i="29"/>
  <c r="F383" i="29"/>
  <c r="F423" i="29"/>
  <c r="F425" i="29"/>
  <c r="D404" i="29"/>
  <c r="C428" i="29"/>
  <c r="E191" i="29"/>
  <c r="E192" i="29"/>
  <c r="M190" i="29"/>
  <c r="C196" i="29"/>
  <c r="F190" i="29"/>
  <c r="H382" i="29"/>
  <c r="J382" i="29"/>
  <c r="F342" i="29"/>
  <c r="E343" i="29"/>
  <c r="E344" i="29"/>
  <c r="M342" i="29"/>
  <c r="C348" i="29"/>
  <c r="I342" i="29"/>
  <c r="J34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H342" i="29"/>
  <c r="L350" i="29"/>
  <c r="E350" i="29"/>
  <c r="G350" i="29"/>
  <c r="H353" i="29"/>
  <c r="G353" i="29"/>
  <c r="L351" i="29"/>
  <c r="E356" i="29"/>
  <c r="F356" i="29"/>
  <c r="G356" i="29"/>
  <c r="F345" i="29"/>
  <c r="F343" i="29"/>
  <c r="F430" i="29"/>
  <c r="E431" i="29"/>
  <c r="E432" i="29"/>
  <c r="M430" i="29"/>
  <c r="C436" i="29"/>
  <c r="H390" i="29"/>
  <c r="H201" i="29"/>
  <c r="I198" i="29"/>
  <c r="F198" i="29"/>
  <c r="E391" i="29"/>
  <c r="E392" i="29"/>
  <c r="M390" i="29"/>
  <c r="C396" i="29"/>
  <c r="F390" i="29"/>
  <c r="I430" i="29"/>
  <c r="J430" i="29"/>
  <c r="I350" i="29"/>
  <c r="J350" i="29"/>
  <c r="E351" i="29"/>
  <c r="E352" i="29"/>
  <c r="M350" i="29"/>
  <c r="C356" i="29"/>
  <c r="F350"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350" i="29"/>
  <c r="F353" i="29"/>
  <c r="F351" i="29"/>
  <c r="G358" i="29"/>
  <c r="L359" i="29"/>
  <c r="G361" i="29"/>
  <c r="L358" i="29"/>
  <c r="E358" i="29"/>
  <c r="E359" i="29"/>
  <c r="E360" i="29"/>
  <c r="M358" i="29"/>
  <c r="H441" i="29"/>
  <c r="F438" i="29"/>
  <c r="M438" i="29"/>
  <c r="F398" i="29"/>
  <c r="H401" i="29"/>
  <c r="I398" i="29"/>
  <c r="I438" i="29"/>
  <c r="J438" i="29"/>
  <c r="H361" i="29"/>
  <c r="I358" i="29"/>
  <c r="F358" i="29"/>
  <c r="J398" i="29"/>
  <c r="H398" i="29"/>
  <c r="F401" i="29"/>
  <c r="F399" i="29"/>
  <c r="F441" i="29"/>
  <c r="F439" i="29"/>
  <c r="H438" i="29"/>
  <c r="J358" i="29"/>
  <c r="H358" i="29"/>
  <c r="F359" i="29"/>
  <c r="F361" i="29"/>
  <c r="O269" i="32" l="1"/>
  <c r="O308" i="32" s="1"/>
  <c r="M5" i="21"/>
  <c r="C3" i="29" s="1"/>
  <c r="R74" i="32"/>
  <c r="R112" i="32" s="1"/>
  <c r="R152" i="32" s="1"/>
  <c r="R188" i="32" s="1"/>
  <c r="R231" i="32" s="1"/>
  <c r="R308" i="32" s="1"/>
  <c r="I11" i="21"/>
  <c r="I10" i="21"/>
  <c r="I9" i="21"/>
  <c r="I8" i="21"/>
  <c r="I7" i="21"/>
  <c r="I6" i="21"/>
  <c r="R269" i="32" l="1"/>
  <c r="E11" i="29"/>
  <c r="F11" i="29" s="1"/>
  <c r="G11" i="29" s="1"/>
  <c r="L5" i="29"/>
  <c r="E2" i="29"/>
  <c r="F2" i="29" s="1"/>
  <c r="D3" i="29"/>
  <c r="N5" i="21" s="1"/>
  <c r="G8" i="29"/>
  <c r="L6" i="29"/>
  <c r="G5" i="29"/>
  <c r="H8" i="29" s="1"/>
  <c r="C6" i="21"/>
  <c r="H6" i="21"/>
  <c r="J6" i="21" s="1"/>
  <c r="H11" i="21"/>
  <c r="J11" i="21" s="1"/>
  <c r="C11" i="21"/>
  <c r="H10" i="21"/>
  <c r="J10" i="21" s="1"/>
  <c r="K10" i="21" s="1"/>
  <c r="L10" i="21" s="1"/>
  <c r="C10" i="21"/>
  <c r="H9" i="21"/>
  <c r="J9" i="21" s="1"/>
  <c r="C9" i="21"/>
  <c r="H8" i="21"/>
  <c r="J8" i="21" s="1"/>
  <c r="C8" i="21"/>
  <c r="C7" i="21"/>
  <c r="H7" i="21"/>
  <c r="J7" i="21" s="1"/>
  <c r="K7" i="21" s="1"/>
  <c r="L7" i="21" s="1"/>
  <c r="I5" i="29" l="1"/>
  <c r="J5" i="29" s="1"/>
  <c r="F3" i="29"/>
  <c r="G2" i="29"/>
  <c r="H2" i="29" s="1"/>
  <c r="E5" i="29" s="1"/>
  <c r="H5" i="29"/>
  <c r="K11" i="21"/>
  <c r="L11" i="21" s="1"/>
  <c r="M10" i="21"/>
  <c r="K9" i="21"/>
  <c r="L9" i="21" s="1"/>
  <c r="K8" i="21"/>
  <c r="L8" i="21" s="1"/>
  <c r="M7" i="21"/>
  <c r="K6" i="21"/>
  <c r="L6" i="21" s="1"/>
  <c r="F5" i="29" l="1"/>
  <c r="E6" i="29"/>
  <c r="E7" i="29" s="1"/>
  <c r="M11" i="21"/>
  <c r="C244" i="29"/>
  <c r="M9" i="21"/>
  <c r="M8" i="21"/>
  <c r="C83" i="29"/>
  <c r="M6" i="21"/>
  <c r="M5" i="29" l="1"/>
  <c r="C11" i="29" s="1"/>
  <c r="J2" i="29"/>
  <c r="F8" i="29"/>
  <c r="F6" i="29"/>
  <c r="C284" i="29"/>
  <c r="E252" i="29"/>
  <c r="F252" i="29" s="1"/>
  <c r="G252" i="29" s="1"/>
  <c r="L247" i="29"/>
  <c r="G249" i="29"/>
  <c r="E243" i="29"/>
  <c r="F243" i="29" s="1"/>
  <c r="L246" i="29"/>
  <c r="G246" i="29"/>
  <c r="H249" i="29" s="1"/>
  <c r="C204" i="29"/>
  <c r="C124" i="29"/>
  <c r="G85" i="29"/>
  <c r="H88" i="29" s="1"/>
  <c r="L86" i="29"/>
  <c r="E91" i="29"/>
  <c r="F91" i="29" s="1"/>
  <c r="G91" i="29" s="1"/>
  <c r="G88" i="29"/>
  <c r="L85" i="29"/>
  <c r="E82" i="29"/>
  <c r="F82" i="29" s="1"/>
  <c r="C43" i="29"/>
  <c r="L14" i="29" l="1"/>
  <c r="G16" i="29"/>
  <c r="L13" i="29"/>
  <c r="G13" i="29"/>
  <c r="H16" i="29" s="1"/>
  <c r="E13" i="29"/>
  <c r="E19" i="29"/>
  <c r="F19" i="29" s="1"/>
  <c r="G19" i="29" s="1"/>
  <c r="G289" i="29"/>
  <c r="E292" i="29"/>
  <c r="F292" i="29" s="1"/>
  <c r="G292" i="29" s="1"/>
  <c r="E283" i="29"/>
  <c r="F283" i="29" s="1"/>
  <c r="L286" i="29"/>
  <c r="G286" i="29"/>
  <c r="H289" i="29" s="1"/>
  <c r="L287" i="29"/>
  <c r="I246" i="29"/>
  <c r="J246" i="29" s="1"/>
  <c r="F244" i="29"/>
  <c r="G243" i="29"/>
  <c r="H243" i="29" s="1"/>
  <c r="E246" i="29" s="1"/>
  <c r="G209" i="29"/>
  <c r="E212" i="29"/>
  <c r="F212" i="29" s="1"/>
  <c r="G212" i="29" s="1"/>
  <c r="L207" i="29"/>
  <c r="E203" i="29"/>
  <c r="F203" i="29" s="1"/>
  <c r="L206" i="29"/>
  <c r="G206" i="29"/>
  <c r="H209" i="29" s="1"/>
  <c r="G129" i="29"/>
  <c r="G126" i="29"/>
  <c r="H129" i="29" s="1"/>
  <c r="E132" i="29"/>
  <c r="F132" i="29" s="1"/>
  <c r="G132" i="29" s="1"/>
  <c r="E123" i="29"/>
  <c r="F123" i="29" s="1"/>
  <c r="L127" i="29"/>
  <c r="L126" i="29"/>
  <c r="I85" i="29"/>
  <c r="J85" i="29" s="1"/>
  <c r="G82" i="29"/>
  <c r="H82" i="29" s="1"/>
  <c r="E85" i="29" s="1"/>
  <c r="F83" i="29"/>
  <c r="E42" i="29"/>
  <c r="F42" i="29" s="1"/>
  <c r="E51" i="29"/>
  <c r="F51" i="29" s="1"/>
  <c r="G51" i="29" s="1"/>
  <c r="L46" i="29"/>
  <c r="L45" i="29"/>
  <c r="G45" i="29"/>
  <c r="H48" i="29" s="1"/>
  <c r="G48" i="29"/>
  <c r="F13" i="29" l="1"/>
  <c r="E14" i="29"/>
  <c r="E15" i="29" s="1"/>
  <c r="M13" i="29" s="1"/>
  <c r="C19" i="29" s="1"/>
  <c r="I13" i="29"/>
  <c r="J13" i="29" s="1"/>
  <c r="I45" i="29"/>
  <c r="J45" i="29" s="1"/>
  <c r="G283" i="29"/>
  <c r="H283" i="29" s="1"/>
  <c r="E286" i="29" s="1"/>
  <c r="F284" i="29"/>
  <c r="I286" i="29"/>
  <c r="H246" i="29"/>
  <c r="E247" i="29"/>
  <c r="E248" i="29" s="1"/>
  <c r="F246" i="29"/>
  <c r="F204" i="29"/>
  <c r="G203" i="29"/>
  <c r="H203" i="29" s="1"/>
  <c r="E206" i="29" s="1"/>
  <c r="I206" i="29"/>
  <c r="J206" i="29" s="1"/>
  <c r="G123" i="29"/>
  <c r="H123" i="29" s="1"/>
  <c r="E126" i="29" s="1"/>
  <c r="F124" i="29"/>
  <c r="I126" i="29"/>
  <c r="J126" i="29" s="1"/>
  <c r="H85" i="29"/>
  <c r="F85" i="29"/>
  <c r="E86" i="29"/>
  <c r="E87" i="29" s="1"/>
  <c r="F43" i="29"/>
  <c r="G42" i="29"/>
  <c r="H42" i="29" s="1"/>
  <c r="E45" i="29" s="1"/>
  <c r="G24" i="29" l="1"/>
  <c r="L22" i="29"/>
  <c r="E21" i="29"/>
  <c r="L21" i="29"/>
  <c r="E27" i="29"/>
  <c r="F27" i="29" s="1"/>
  <c r="G27" i="29" s="1"/>
  <c r="G21" i="29"/>
  <c r="H24" i="29" s="1"/>
  <c r="F16" i="29"/>
  <c r="F14" i="29"/>
  <c r="H13" i="29"/>
  <c r="H45" i="29"/>
  <c r="J286" i="29"/>
  <c r="H286" i="29"/>
  <c r="E287" i="29"/>
  <c r="E288" i="29" s="1"/>
  <c r="F286" i="29"/>
  <c r="F249" i="29"/>
  <c r="M246" i="29" s="1"/>
  <c r="C252" i="29" s="1"/>
  <c r="F247" i="29"/>
  <c r="H206" i="29"/>
  <c r="F206" i="29"/>
  <c r="E207" i="29"/>
  <c r="E208" i="29" s="1"/>
  <c r="H126" i="29"/>
  <c r="F126" i="29"/>
  <c r="E127" i="29"/>
  <c r="E128" i="29" s="1"/>
  <c r="F86" i="29"/>
  <c r="F88" i="29"/>
  <c r="M85" i="29"/>
  <c r="C91" i="29" s="1"/>
  <c r="J82" i="29"/>
  <c r="E46" i="29"/>
  <c r="E47" i="29" s="1"/>
  <c r="F45" i="29"/>
  <c r="E22" i="29" l="1"/>
  <c r="E23" i="29" s="1"/>
  <c r="M21" i="29" s="1"/>
  <c r="C27" i="29" s="1"/>
  <c r="F21" i="29"/>
  <c r="I21" i="29"/>
  <c r="J21" i="29" s="1"/>
  <c r="J243" i="29"/>
  <c r="F289" i="29"/>
  <c r="J283" i="29" s="1"/>
  <c r="F287" i="29"/>
  <c r="G254" i="29"/>
  <c r="H257" i="29" s="1"/>
  <c r="E254" i="29"/>
  <c r="L254" i="29"/>
  <c r="E260" i="29"/>
  <c r="F260" i="29" s="1"/>
  <c r="G260" i="29" s="1"/>
  <c r="L255" i="29"/>
  <c r="G257" i="29"/>
  <c r="F209" i="29"/>
  <c r="M206" i="29" s="1"/>
  <c r="C212" i="29" s="1"/>
  <c r="F207" i="29"/>
  <c r="F129" i="29"/>
  <c r="M126" i="29" s="1"/>
  <c r="C132" i="29" s="1"/>
  <c r="F127" i="29"/>
  <c r="G93" i="29"/>
  <c r="H96" i="29" s="1"/>
  <c r="G96" i="29"/>
  <c r="E99" i="29"/>
  <c r="F99" i="29" s="1"/>
  <c r="G99" i="29" s="1"/>
  <c r="E93" i="29"/>
  <c r="L93" i="29"/>
  <c r="L94" i="29"/>
  <c r="F46" i="29"/>
  <c r="F48" i="29"/>
  <c r="M45" i="29" s="1"/>
  <c r="C51" i="29" s="1"/>
  <c r="H21" i="29" l="1"/>
  <c r="F22" i="29"/>
  <c r="F24" i="29"/>
  <c r="E35" i="29"/>
  <c r="F35" i="29" s="1"/>
  <c r="G35" i="29" s="1"/>
  <c r="E29" i="29"/>
  <c r="L29" i="29"/>
  <c r="G29" i="29"/>
  <c r="H32" i="29" s="1"/>
  <c r="G32" i="29"/>
  <c r="L30" i="29"/>
  <c r="M286" i="29"/>
  <c r="C292" i="29" s="1"/>
  <c r="E294" i="29" s="1"/>
  <c r="J42" i="29"/>
  <c r="I254" i="29"/>
  <c r="J254" i="29" s="1"/>
  <c r="F254" i="29"/>
  <c r="E255" i="29"/>
  <c r="E256" i="29" s="1"/>
  <c r="M254" i="29" s="1"/>
  <c r="C260" i="29" s="1"/>
  <c r="G214" i="29"/>
  <c r="H217" i="29" s="1"/>
  <c r="L215" i="29"/>
  <c r="E214" i="29"/>
  <c r="L214" i="29"/>
  <c r="E220" i="29"/>
  <c r="F220" i="29" s="1"/>
  <c r="G220" i="29" s="1"/>
  <c r="G217" i="29"/>
  <c r="J203" i="29"/>
  <c r="E140" i="29"/>
  <c r="F140" i="29" s="1"/>
  <c r="G140" i="29" s="1"/>
  <c r="G137" i="29"/>
  <c r="E134" i="29"/>
  <c r="L134" i="29"/>
  <c r="G134" i="29"/>
  <c r="H137" i="29" s="1"/>
  <c r="L135" i="29"/>
  <c r="J123" i="29"/>
  <c r="F93" i="29"/>
  <c r="E94" i="29"/>
  <c r="E95" i="29" s="1"/>
  <c r="I93" i="29"/>
  <c r="E53" i="29"/>
  <c r="L53" i="29"/>
  <c r="G56" i="29"/>
  <c r="G53" i="29"/>
  <c r="H56" i="29" s="1"/>
  <c r="E59" i="29"/>
  <c r="F59" i="29" s="1"/>
  <c r="G59" i="29" s="1"/>
  <c r="L54" i="29"/>
  <c r="E30" i="29" l="1"/>
  <c r="E31" i="29" s="1"/>
  <c r="M29" i="29" s="1"/>
  <c r="C35" i="29" s="1"/>
  <c r="F29" i="29"/>
  <c r="I29" i="29"/>
  <c r="J29" i="29" s="1"/>
  <c r="E300" i="29"/>
  <c r="F300" i="29" s="1"/>
  <c r="G300" i="29" s="1"/>
  <c r="G294" i="29"/>
  <c r="H297" i="29" s="1"/>
  <c r="G297" i="29"/>
  <c r="L295" i="29"/>
  <c r="L294" i="29"/>
  <c r="I214" i="29"/>
  <c r="J214" i="29" s="1"/>
  <c r="E295" i="29"/>
  <c r="E296" i="29" s="1"/>
  <c r="F294" i="29"/>
  <c r="H254" i="29"/>
  <c r="E262" i="29"/>
  <c r="L262" i="29"/>
  <c r="G262" i="29"/>
  <c r="H265" i="29" s="1"/>
  <c r="E268" i="29"/>
  <c r="F268" i="29" s="1"/>
  <c r="G268" i="29" s="1"/>
  <c r="L263" i="29"/>
  <c r="G265" i="29"/>
  <c r="F255" i="29"/>
  <c r="F257" i="29"/>
  <c r="E215" i="29"/>
  <c r="E216" i="29" s="1"/>
  <c r="F214" i="29"/>
  <c r="E135" i="29"/>
  <c r="E136" i="29" s="1"/>
  <c r="F134" i="29"/>
  <c r="I134" i="29"/>
  <c r="J134" i="29" s="1"/>
  <c r="J93" i="29"/>
  <c r="H93" i="29"/>
  <c r="F96" i="29"/>
  <c r="M93" i="29" s="1"/>
  <c r="C99" i="29" s="1"/>
  <c r="F94" i="29"/>
  <c r="I53" i="29"/>
  <c r="J53" i="29" s="1"/>
  <c r="E54" i="29"/>
  <c r="E55" i="29" s="1"/>
  <c r="F53" i="29"/>
  <c r="H29" i="29" l="1"/>
  <c r="F30" i="29"/>
  <c r="F32" i="29"/>
  <c r="G37" i="29"/>
  <c r="L37" i="29"/>
  <c r="L38" i="29"/>
  <c r="G40" i="29"/>
  <c r="E37" i="29"/>
  <c r="E38" i="29" s="1"/>
  <c r="E39" i="29" s="1"/>
  <c r="M37" i="29" s="1"/>
  <c r="I294" i="29"/>
  <c r="J294" i="29" s="1"/>
  <c r="H214" i="29"/>
  <c r="F295" i="29"/>
  <c r="F297" i="29"/>
  <c r="M294" i="29" s="1"/>
  <c r="C300" i="29" s="1"/>
  <c r="I262" i="29"/>
  <c r="J262" i="29" s="1"/>
  <c r="E263" i="29"/>
  <c r="E264" i="29" s="1"/>
  <c r="F262" i="29"/>
  <c r="F215" i="29"/>
  <c r="F217" i="29"/>
  <c r="M214" i="29" s="1"/>
  <c r="C220" i="29" s="1"/>
  <c r="H134" i="29"/>
  <c r="F137" i="29"/>
  <c r="M134" i="29" s="1"/>
  <c r="C140" i="29" s="1"/>
  <c r="F135" i="29"/>
  <c r="G104" i="29"/>
  <c r="L101" i="29"/>
  <c r="G101" i="29"/>
  <c r="H104" i="29" s="1"/>
  <c r="L102" i="29"/>
  <c r="E107" i="29"/>
  <c r="F107" i="29" s="1"/>
  <c r="G107" i="29" s="1"/>
  <c r="E101" i="29"/>
  <c r="E102" i="29" s="1"/>
  <c r="E103" i="29" s="1"/>
  <c r="H53" i="29"/>
  <c r="F56" i="29"/>
  <c r="M53" i="29" s="1"/>
  <c r="C59" i="29" s="1"/>
  <c r="F54" i="29"/>
  <c r="F37" i="29" l="1"/>
  <c r="H40" i="29"/>
  <c r="I37" i="29" s="1"/>
  <c r="H294" i="29"/>
  <c r="E222" i="29"/>
  <c r="E223" i="29" s="1"/>
  <c r="E224" i="29" s="1"/>
  <c r="G222" i="29"/>
  <c r="H225" i="29" s="1"/>
  <c r="G225" i="29"/>
  <c r="L222" i="29"/>
  <c r="L223" i="29"/>
  <c r="E228" i="29"/>
  <c r="F228" i="29" s="1"/>
  <c r="G228" i="29" s="1"/>
  <c r="E148" i="29"/>
  <c r="F148" i="29" s="1"/>
  <c r="G148" i="29" s="1"/>
  <c r="G145" i="29"/>
  <c r="G142" i="29"/>
  <c r="H145" i="29" s="1"/>
  <c r="E142" i="29"/>
  <c r="F142" i="29" s="1"/>
  <c r="L142" i="29"/>
  <c r="L143" i="29"/>
  <c r="E61" i="29"/>
  <c r="F61" i="29" s="1"/>
  <c r="E67" i="29"/>
  <c r="F67" i="29" s="1"/>
  <c r="G67" i="29" s="1"/>
  <c r="L61" i="29"/>
  <c r="G61" i="29"/>
  <c r="H64" i="29" s="1"/>
  <c r="L62" i="29"/>
  <c r="G64" i="29"/>
  <c r="M101" i="29"/>
  <c r="C107" i="29" s="1"/>
  <c r="G305" i="29"/>
  <c r="E302" i="29"/>
  <c r="F302" i="29" s="1"/>
  <c r="E308" i="29"/>
  <c r="F308" i="29" s="1"/>
  <c r="G308" i="29" s="1"/>
  <c r="G302" i="29"/>
  <c r="H305" i="29" s="1"/>
  <c r="I302" i="29" s="1"/>
  <c r="L302" i="29"/>
  <c r="L303" i="29"/>
  <c r="F263" i="29"/>
  <c r="F265" i="29"/>
  <c r="M262" i="29" s="1"/>
  <c r="C268" i="29" s="1"/>
  <c r="H262" i="29"/>
  <c r="F101" i="29"/>
  <c r="F102" i="29" s="1"/>
  <c r="I101" i="29"/>
  <c r="J101" i="29" s="1"/>
  <c r="J37" i="29" l="1"/>
  <c r="H37" i="29"/>
  <c r="F222" i="29"/>
  <c r="F38" i="29"/>
  <c r="F40" i="29"/>
  <c r="E143" i="29"/>
  <c r="E144" i="29" s="1"/>
  <c r="I142" i="29"/>
  <c r="J142" i="29" s="1"/>
  <c r="E62" i="29"/>
  <c r="E63" i="29" s="1"/>
  <c r="I61" i="29"/>
  <c r="J61" i="29" s="1"/>
  <c r="I222" i="29"/>
  <c r="J222" i="29" s="1"/>
  <c r="E303" i="29"/>
  <c r="E304" i="29" s="1"/>
  <c r="G270" i="29"/>
  <c r="H273" i="29" s="1"/>
  <c r="L270" i="29"/>
  <c r="E270" i="29"/>
  <c r="F270" i="29" s="1"/>
  <c r="G273" i="29"/>
  <c r="E276" i="29"/>
  <c r="F276" i="29" s="1"/>
  <c r="G276" i="29" s="1"/>
  <c r="L271" i="29"/>
  <c r="F104" i="29"/>
  <c r="J302" i="29"/>
  <c r="H302" i="29"/>
  <c r="F305" i="29"/>
  <c r="F303" i="29"/>
  <c r="F223" i="29"/>
  <c r="F225" i="29"/>
  <c r="M222" i="29" s="1"/>
  <c r="F145" i="29"/>
  <c r="F143" i="29"/>
  <c r="H101" i="29"/>
  <c r="L109" i="29"/>
  <c r="L110" i="29"/>
  <c r="G112" i="29"/>
  <c r="E109" i="29"/>
  <c r="G109" i="29"/>
  <c r="H112" i="29" s="1"/>
  <c r="E115" i="29"/>
  <c r="F115" i="29" s="1"/>
  <c r="G115" i="29" s="1"/>
  <c r="F64" i="29"/>
  <c r="F62" i="29"/>
  <c r="H61" i="29"/>
  <c r="H222" i="29" l="1"/>
  <c r="M142" i="29"/>
  <c r="C148" i="29" s="1"/>
  <c r="G150" i="29" s="1"/>
  <c r="H153" i="29" s="1"/>
  <c r="H142" i="29"/>
  <c r="M61" i="29"/>
  <c r="C67" i="29" s="1"/>
  <c r="E69" i="29" s="1"/>
  <c r="I270" i="29"/>
  <c r="J270" i="29" s="1"/>
  <c r="M302" i="29"/>
  <c r="C308" i="29" s="1"/>
  <c r="G310" i="29" s="1"/>
  <c r="H313" i="29" s="1"/>
  <c r="E271" i="29"/>
  <c r="E272" i="29" s="1"/>
  <c r="M270" i="29" s="1"/>
  <c r="C276" i="29" s="1"/>
  <c r="H270" i="29"/>
  <c r="D244" i="29"/>
  <c r="N10" i="21" s="1"/>
  <c r="F273" i="29"/>
  <c r="F271" i="29"/>
  <c r="C228" i="29"/>
  <c r="L231" i="29" s="1"/>
  <c r="E110" i="29"/>
  <c r="E111" i="29" s="1"/>
  <c r="F109" i="29"/>
  <c r="I109" i="29"/>
  <c r="J109" i="29" s="1"/>
  <c r="E75" i="29" l="1"/>
  <c r="F75" i="29" s="1"/>
  <c r="G75" i="29" s="1"/>
  <c r="G69" i="29"/>
  <c r="H72" i="29" s="1"/>
  <c r="G72" i="29"/>
  <c r="L70" i="29"/>
  <c r="L69" i="29"/>
  <c r="L310" i="29"/>
  <c r="E310" i="29"/>
  <c r="F310" i="29" s="1"/>
  <c r="F313" i="29" s="1"/>
  <c r="E316" i="29"/>
  <c r="F316" i="29" s="1"/>
  <c r="G316" i="29" s="1"/>
  <c r="G313" i="29"/>
  <c r="I310" i="29" s="1"/>
  <c r="J310" i="29" s="1"/>
  <c r="E150" i="29"/>
  <c r="F150" i="29" s="1"/>
  <c r="L151" i="29"/>
  <c r="L150" i="29"/>
  <c r="E156" i="29"/>
  <c r="F156" i="29" s="1"/>
  <c r="G156" i="29" s="1"/>
  <c r="G153" i="29"/>
  <c r="I150" i="29" s="1"/>
  <c r="J150" i="29" s="1"/>
  <c r="L311" i="29"/>
  <c r="E236" i="29"/>
  <c r="F236" i="29" s="1"/>
  <c r="G236" i="29" s="1"/>
  <c r="L230" i="29"/>
  <c r="G233" i="29"/>
  <c r="E230" i="29"/>
  <c r="E231" i="29" s="1"/>
  <c r="E232" i="29" s="1"/>
  <c r="G230" i="29"/>
  <c r="H233" i="29" s="1"/>
  <c r="L279" i="29"/>
  <c r="G281" i="29"/>
  <c r="L278" i="29"/>
  <c r="E278" i="29"/>
  <c r="E279" i="29" s="1"/>
  <c r="E280" i="29" s="1"/>
  <c r="G278" i="29"/>
  <c r="F112" i="29"/>
  <c r="M109" i="29" s="1"/>
  <c r="F110" i="29"/>
  <c r="H109" i="29"/>
  <c r="I69" i="29"/>
  <c r="J69" i="29" s="1"/>
  <c r="F69" i="29"/>
  <c r="E70" i="29"/>
  <c r="E71" i="29" s="1"/>
  <c r="M69" i="29" s="1"/>
  <c r="E151" i="29" l="1"/>
  <c r="E152" i="29" s="1"/>
  <c r="M150" i="29" s="1"/>
  <c r="F311" i="29"/>
  <c r="E311" i="29"/>
  <c r="E312" i="29" s="1"/>
  <c r="M310" i="29" s="1"/>
  <c r="C316" i="29" s="1"/>
  <c r="E318" i="29" s="1"/>
  <c r="E319" i="29" s="1"/>
  <c r="E320" i="29" s="1"/>
  <c r="H310" i="29"/>
  <c r="F230" i="29"/>
  <c r="F233" i="29" s="1"/>
  <c r="M230" i="29" s="1"/>
  <c r="I230" i="29"/>
  <c r="J230" i="29" s="1"/>
  <c r="C115" i="29"/>
  <c r="E117" i="29" s="1"/>
  <c r="E118" i="29" s="1"/>
  <c r="E119" i="29" s="1"/>
  <c r="D83" i="29"/>
  <c r="N7" i="21" s="1"/>
  <c r="C75" i="29"/>
  <c r="L77" i="29" s="1"/>
  <c r="D43" i="29"/>
  <c r="N6" i="21" s="1"/>
  <c r="D284" i="29"/>
  <c r="N11" i="21" s="1"/>
  <c r="H281" i="29"/>
  <c r="I278" i="29" s="1"/>
  <c r="F278" i="29"/>
  <c r="F153" i="29"/>
  <c r="F151" i="29"/>
  <c r="H150" i="29"/>
  <c r="F72" i="29"/>
  <c r="F70" i="29"/>
  <c r="H69" i="29"/>
  <c r="C156" i="29" l="1"/>
  <c r="E158" i="29" s="1"/>
  <c r="E159" i="29" s="1"/>
  <c r="E160" i="29" s="1"/>
  <c r="D124" i="29"/>
  <c r="N8" i="21" s="1"/>
  <c r="G117" i="29"/>
  <c r="H120" i="29" s="1"/>
  <c r="L318" i="29"/>
  <c r="G120" i="29"/>
  <c r="L118" i="29"/>
  <c r="M117" i="29" s="1"/>
  <c r="L117" i="29"/>
  <c r="G80" i="29"/>
  <c r="L78" i="29"/>
  <c r="G77" i="29"/>
  <c r="H80" i="29" s="1"/>
  <c r="E77" i="29"/>
  <c r="E78" i="29" s="1"/>
  <c r="E79" i="29" s="1"/>
  <c r="G321" i="29"/>
  <c r="G318" i="29"/>
  <c r="F318" i="29" s="1"/>
  <c r="L319" i="29"/>
  <c r="H230" i="29"/>
  <c r="F231" i="29"/>
  <c r="C236" i="29"/>
  <c r="D204" i="29"/>
  <c r="N9" i="21" s="1"/>
  <c r="J278" i="29"/>
  <c r="H278" i="29"/>
  <c r="F281" i="29"/>
  <c r="M278" i="29" s="1"/>
  <c r="F279" i="29"/>
  <c r="F117" i="29"/>
  <c r="I77" i="29" l="1"/>
  <c r="J77" i="29" s="1"/>
  <c r="L158" i="29"/>
  <c r="L159" i="29"/>
  <c r="M158" i="29" s="1"/>
  <c r="G158" i="29"/>
  <c r="G161" i="29"/>
  <c r="I117" i="29"/>
  <c r="J117" i="29" s="1"/>
  <c r="M77" i="29"/>
  <c r="H321" i="29"/>
  <c r="I318" i="29" s="1"/>
  <c r="J318" i="29" s="1"/>
  <c r="F77" i="29"/>
  <c r="F78" i="29" s="1"/>
  <c r="L239" i="29"/>
  <c r="E238" i="29"/>
  <c r="E239" i="29" s="1"/>
  <c r="E240" i="29" s="1"/>
  <c r="G241" i="29"/>
  <c r="G238" i="29"/>
  <c r="L238" i="29"/>
  <c r="F319" i="29"/>
  <c r="F321" i="29"/>
  <c r="M318" i="29" s="1"/>
  <c r="F120" i="29"/>
  <c r="F118" i="29"/>
  <c r="H117" i="29" l="1"/>
  <c r="H77" i="29"/>
  <c r="H318" i="29"/>
  <c r="F158" i="29"/>
  <c r="H161" i="29"/>
  <c r="I158" i="29" s="1"/>
  <c r="J158" i="29" s="1"/>
  <c r="F80" i="29"/>
  <c r="M238" i="29"/>
  <c r="F238" i="29"/>
  <c r="H241" i="29"/>
  <c r="I238" i="29" s="1"/>
  <c r="H158" i="29" l="1"/>
  <c r="F161" i="29"/>
  <c r="F159" i="29"/>
  <c r="H238" i="29"/>
  <c r="J238" i="29"/>
  <c r="F239" i="29"/>
  <c r="F241" i="29"/>
</calcChain>
</file>

<file path=xl/sharedStrings.xml><?xml version="1.0" encoding="utf-8"?>
<sst xmlns="http://schemas.openxmlformats.org/spreadsheetml/2006/main" count="961" uniqueCount="203">
  <si>
    <t>Incertidumbre Expandida</t>
  </si>
  <si>
    <t>Factor de cobertura (k)</t>
  </si>
  <si>
    <t>Veff</t>
  </si>
  <si>
    <t>Fecha de emisión:</t>
  </si>
  <si>
    <t>Fecha de calibración:</t>
  </si>
  <si>
    <t>Lugar de calibración:</t>
  </si>
  <si>
    <t>Ciudad:</t>
  </si>
  <si>
    <t>Dirección:</t>
  </si>
  <si>
    <t>Telefono:</t>
  </si>
  <si>
    <t>Nit:</t>
  </si>
  <si>
    <t>k</t>
  </si>
  <si>
    <t>Lectura instrumento</t>
  </si>
  <si>
    <t>δ(Pat)cal</t>
  </si>
  <si>
    <t>δ(Pat)der</t>
  </si>
  <si>
    <t>δ(Inst)res</t>
  </si>
  <si>
    <t>δ(Ins)hist</t>
  </si>
  <si>
    <t>correcciones debidas al Patrón,</t>
  </si>
  <si>
    <t>correcciones debidas al Instrumento</t>
  </si>
  <si>
    <t>u(rep)</t>
  </si>
  <si>
    <t>δ(Pat),int</t>
  </si>
  <si>
    <t>u(comb)</t>
  </si>
  <si>
    <t>±</t>
  </si>
  <si>
    <t>Promedio lecturas patrón</t>
  </si>
  <si>
    <t xml:space="preserve">INDCREDIUMBRE </t>
  </si>
  <si>
    <t>Digital</t>
  </si>
  <si>
    <t>Análogo</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</si>
  <si>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</si>
  <si>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</si>
  <si>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</si>
  <si>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</si>
  <si>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</si>
  <si>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</si>
  <si>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</si>
  <si>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</si>
  <si>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</si>
  <si>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</si>
  <si>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</si>
  <si>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</si>
  <si>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</si>
  <si>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</si>
  <si>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</si>
  <si>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</si>
  <si>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</si>
  <si>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</si>
  <si>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</si>
  <si>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</si>
  <si>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</si>
  <si>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</si>
  <si>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</si>
  <si>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</si>
  <si>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</si>
  <si>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</si>
  <si>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</si>
  <si>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</si>
  <si>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</si>
  <si>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</si>
  <si>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REVISÓ Y AUTORIZÓ:</t>
  </si>
  <si>
    <t>Solicitante:</t>
  </si>
  <si>
    <t>CERTIFICADO</t>
  </si>
  <si>
    <t>SERIE</t>
  </si>
  <si>
    <t>PATRÓN</t>
  </si>
  <si>
    <t>HUMEDAD RELATIVA (%HR)</t>
  </si>
  <si>
    <t>TEMPERATURA AMBIENTE (°C)</t>
  </si>
  <si>
    <t>DIRECTOR DE LABORATORIO</t>
  </si>
  <si>
    <t>ING. JOHAN SEBASTIÁN PÉREZ</t>
  </si>
  <si>
    <t>NÚMERO DE PÁGINAS:</t>
  </si>
  <si>
    <t>FECHA DE EMISIÓN:</t>
  </si>
  <si>
    <t>CIUDAD:</t>
  </si>
  <si>
    <t>DIRECCIÓN:</t>
  </si>
  <si>
    <t>TELÉFONO:</t>
  </si>
  <si>
    <t>NIT:</t>
  </si>
  <si>
    <t>NOMBRE:</t>
  </si>
  <si>
    <t>FECHA DE CALIBRACIÓN:</t>
  </si>
  <si>
    <t>FECHA DE RECEPCIÓN:</t>
  </si>
  <si>
    <t>ESTADO FÍSICO:</t>
  </si>
  <si>
    <t>UBICACIÓN:</t>
  </si>
  <si>
    <t>CÓDIGO INTERNO:</t>
  </si>
  <si>
    <t xml:space="preserve">SERIE: </t>
  </si>
  <si>
    <t>MODELO:</t>
  </si>
  <si>
    <t>MARCA:</t>
  </si>
  <si>
    <t>INSTRUMENTO:</t>
  </si>
  <si>
    <t>CERTIFICADO N°:</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</si>
  <si>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</si>
  <si>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</si>
  <si>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</si>
  <si>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</si>
  <si>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</si>
  <si>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</si>
  <si>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</si>
  <si>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</si>
  <si>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</si>
  <si>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</si>
  <si>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</si>
  <si>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</si>
  <si>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</si>
  <si>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 xml:space="preserve"> INCERTIDUMBRE DE MEDICIÓN</t>
  </si>
  <si>
    <t>PROCEDIMIENTO DE VALIDACIÓN</t>
  </si>
  <si>
    <t xml:space="preserve"> CONDICIONES AMBIENTALES</t>
  </si>
  <si>
    <t xml:space="preserve"> EQUIPO BAJO PRUEBA</t>
  </si>
  <si>
    <t xml:space="preserve"> DATOS DEL CLIENTE</t>
  </si>
  <si>
    <t xml:space="preserve"> TRAZABILIDAD </t>
  </si>
  <si>
    <t>1.  OBJETIVO</t>
  </si>
  <si>
    <t>2.  ALCANCE</t>
  </si>
  <si>
    <t>No tiene</t>
  </si>
  <si>
    <t>PASA</t>
  </si>
  <si>
    <t>FALLA</t>
  </si>
  <si>
    <t>VALIDADO POR:</t>
  </si>
  <si>
    <t>Este protocolo es válido para las neveras de transporte del servicio farmacéutico desde el retiro de los medicamentos del servicio hasta la llegada de estos a los servicios asistenciales y viceversa.</t>
  </si>
  <si>
    <t>3. CONTENIDO</t>
  </si>
  <si>
    <t>3.1  TIPO DE VALIDACIÓN</t>
  </si>
  <si>
    <t>3.2  COMPONENTES PRINCIPALES</t>
  </si>
  <si>
    <t xml:space="preserve"> </t>
  </si>
  <si>
    <t>3.3  CRITERIOS DE ACEPTACIÓN</t>
  </si>
  <si>
    <t>Temperatura del contenedor en el rango de 2 °C a 8 °C.</t>
  </si>
  <si>
    <t>3.4  PLAN DE MUESTREO</t>
  </si>
  <si>
    <t>»  Evaluar detalladamente los resultados de cada una de las pruebas, verificando cómo se comporta la temperatura dentro del contenedor con relación al tiempo y la cantidad de geles.</t>
  </si>
  <si>
    <t>3.5  CRITERIOS DE REVALIDACIÓN</t>
  </si>
  <si>
    <t>Una vez que el proceso se ha validado, cabe prever que permanezca bajo control, siempre y cuando no se realicen cambios en los elementos que lo componen ni se superen los tiempos de transporte validados. Si se producen este tipo de modificaciones, habrá que efectuar la revalidación.</t>
  </si>
  <si>
    <t>4. RESULTADOS</t>
  </si>
  <si>
    <t>4.1 CALIBRACIÓN DEL INDICADOR DE TEMPERATURA</t>
  </si>
  <si>
    <t>Patrón          (°C)</t>
  </si>
  <si>
    <t>Error             (°C)</t>
  </si>
  <si>
    <t>Lectura       (°C)</t>
  </si>
  <si>
    <t>Geles</t>
  </si>
  <si>
    <t>Fecha</t>
  </si>
  <si>
    <t>Hora</t>
  </si>
  <si>
    <t>Temperatura ambiente</t>
  </si>
  <si>
    <t>4.3 GRÁFICA DE TENDENCIA</t>
  </si>
  <si>
    <t>CRITERIO</t>
  </si>
  <si>
    <t>RESULTADO</t>
  </si>
  <si>
    <t>LÍMITE</t>
  </si>
  <si>
    <t>ACEPTACIÓN</t>
  </si>
  <si>
    <t>4.4 CRITERIO DE ACEPTACIÓN</t>
  </si>
  <si>
    <t>5 minutos</t>
  </si>
  <si>
    <t>≤ 10 minutos</t>
  </si>
  <si>
    <t>Tiempo de permanencia en rango de aceptación.</t>
  </si>
  <si>
    <t>Duración para entrar en rango de aceptación.</t>
  </si>
  <si>
    <t xml:space="preserve">≥ 30 minutos </t>
  </si>
  <si>
    <t>Temperatura de carga</t>
  </si>
  <si>
    <t>4.6 GRÁFICA DE TENDENCIA</t>
  </si>
  <si>
    <t>Promedio de temperatura de la carga</t>
  </si>
  <si>
    <t>Medicamento Daptomicina Xellia</t>
  </si>
  <si>
    <t>Medidores de temperatura</t>
  </si>
  <si>
    <t xml:space="preserve">100 minutos </t>
  </si>
  <si>
    <t>Intrumento</t>
  </si>
  <si>
    <t>Marca</t>
  </si>
  <si>
    <t>Modelo</t>
  </si>
  <si>
    <t>Serie</t>
  </si>
  <si>
    <t>Ubicación</t>
  </si>
  <si>
    <t>Inventario</t>
  </si>
  <si>
    <t>Número de Certificado</t>
  </si>
  <si>
    <t>Fecha de Recepción</t>
  </si>
  <si>
    <t>Estado Físico:</t>
  </si>
  <si>
    <t>ING. GABRIEL DURÁN</t>
  </si>
  <si>
    <t>Datalogger de Temperatura 4 Sondas</t>
  </si>
  <si>
    <r>
      <rPr>
        <b/>
        <sz val="11"/>
        <color theme="1"/>
        <rFont val="Calibri"/>
        <family val="2"/>
        <scheme val="minor"/>
      </rPr>
      <t>Nota:</t>
    </r>
    <r>
      <rPr>
        <sz val="11"/>
        <color theme="1"/>
        <rFont val="Calibri"/>
        <family val="2"/>
        <scheme val="minor"/>
      </rPr>
      <t xml:space="preserve"> Los límites de aceptación fueron establecidos por el cliente de acuerdo a sus necesidades y a la operación de las cavas.</t>
    </r>
  </si>
  <si>
    <t>4.7 CRITERIO DE ACEPTACIÓN</t>
  </si>
  <si>
    <t>CALIBRACIÓN</t>
  </si>
  <si>
    <t>NO REGISTRA</t>
  </si>
  <si>
    <t>DESCRIPCIÓN</t>
  </si>
  <si>
    <t>CANTIDAD</t>
  </si>
  <si>
    <t>VALOR UNITARIO</t>
  </si>
  <si>
    <t>VALOR BRUTO</t>
  </si>
  <si>
    <t>TERMÓMETRO DIGITAL CALIBRADO KEX GERMANY RT-803E</t>
  </si>
  <si>
    <t>TERMÓMETRO DE PUNZÓN CALIBRADO TP101</t>
  </si>
  <si>
    <t>Total Bruto</t>
  </si>
  <si>
    <t>Subtotal</t>
  </si>
  <si>
    <t>IVA 19%</t>
  </si>
  <si>
    <t>Total a pagar</t>
  </si>
  <si>
    <t>319239_A     319239_B    319240_A     319240_B  319241_A     319241_B  319241_A     319242_B</t>
  </si>
  <si>
    <t>La validación fue realizada en:</t>
  </si>
  <si>
    <t>En sitio (instalaciones del cliente)</t>
  </si>
  <si>
    <t>La validación se ejecutó mediante el método de comparación directa con patrón de referencia de acuerdo con el procedimiento interno para cavas BTM-P-040.</t>
  </si>
  <si>
    <t>4.2 PRUEBA 1 (2 GELES SIN CARGA)</t>
  </si>
  <si>
    <t>4.5  PRUEBA 2 (2 GELES CON CARGA)</t>
  </si>
  <si>
    <t>*** FIN DEL CERTIFICADO ***</t>
  </si>
  <si>
    <t>Este certificado expresa fielmente el resultado de las mediciones realizadas. No podrá ser reproducido total ni parcialmente, excepto cuando se haya obtenido permiso por escrito de BTM COLOMBIA ZOMAC S.A.S.; en tal caso, deberá reproducirse en su totalidad para garantizar que no sea sacado de contexto.
Los resultados de este certificado corresponden al momento y a las condiciones en que se realizaron las mediciones. BTM COLOMBIA ZOMAC S.A.S. no se responsabiliza por los daños que puedan ser causados por el uso inadecuado de los equipos calibrados.
El usuario es responsable de calibrar sus instrumentos a intervalos apropiados. El laboratorio no se hace responsable de la forma en que la información suministrada por el cliente pueda afectar los resultados de medición.</t>
  </si>
  <si>
    <t>El laboratorio de metrología BTM COLOMBIA ZOMAC S.A.S. registra las condiciones ambientales (humedad y temperatura), tomando los valores máximos y mínimos alcanzados durante la ejecución de la validación. A continuación, se presentan el promedio y la variación resultante.</t>
  </si>
  <si>
    <t>La incertidumbre expandida de la medición reportada se establece como la incertidumbre estándar de medición multiplicada por el factor de cobertura «k». La probabilidad de cobertura debe ser aproximadamente del 95 % y no inferior a este valor. La incertidumbre de medición se ha estimado con un nivel de confianza del 95,45 %, empleando una distribución t de Student. Cuando se realiza una declaración de cumplimiento, el laboratorio hace referencia a las especificaciones del fabricante, a la norma o a los requisitos declarados por el cliente. La regla de decisión aplicada en estos casos es |Error| + U ≤ EMP, según la norma ASME B89 7.3.1. Si se cumple esta condición, la medición se considera conforme y se registra como «PASA»; de lo contrario, se registra como «FALLA». El laboratorio no determina la probabilidad de una aceptación o un rechazo falsos; sin embargo, esta puede calcularse de acuerdo con la guía JCGM 106:2012, numeral 8.</t>
  </si>
  <si>
    <t>El laboratorio BTM COLOMBIA ZOMAC S.A.S. establece la trazabilidad metrológica de sus mediciones al Sistema Internacional de Unidades (SI) mediante una cadena documentada de calibraciones, referenciadas a patrones de medida primarios. Esta vinculación se logra mediante el uso de patrones calibrados por institutos nacionales de metrología (INM) y por laboratorios acreditados por un organismo de acreditación.</t>
  </si>
  <si>
    <t>Probar y documentar que el procedimiento utilizado para el transporte de medicamentos y dispositivos médicos cumpla con la temperatura de conservación definida y que esta se mantenga en el rango de 2 °C a 8 °C durante el transporte, para evitar que los medicamentos pierdan sus propiedades originales.</t>
  </si>
  <si>
    <t>Se realizará una validación prospectiva mediante mediciones efectuadas con dispositivos ubicados dentro de la nevera utilizada para el transporte, que permitan determinar y comparar las temperaturas a lo largo del tiempo.</t>
  </si>
  <si>
    <t>Acumuladores de frío (gel pack) COLDFRESH 500 g</t>
  </si>
  <si>
    <t>Realizar simulacros de prueba que permitan ejecutar paso a paso el proceso de transporte de medicamentos, desde la preparación del contenedor con geles. Se verificará el comportamiento de la temperatura en el interior del contenedor, tanto en un ambiente con temperaturas variables como en uno con temperaturas controladas, con el fin de realizar un seguimiento detallado que permita comparar y evaluar su comportamiento a lo largo del tiempo. Así:</t>
  </si>
  <si>
    <t>»  Llenar el contenedor con geles después de incorporar correctamente los medidores de temperatura. Los acumuladores de frío deben ubicarse de manera uniforme y organizada dentro del contenedor para lograr una adecuada distribución de la temperatura.</t>
  </si>
  <si>
    <t>»  Tomar las temperaturas dentro y fuera del contenedor cada 5 minutos durante 120 minutos, a partir de la carga de los acumuladores de frío.</t>
  </si>
  <si>
    <t>Se realiza una prueba inicial con 2 geles y sin carga para determinar si el contenedor alcanza la temperatura de refrigeración antes de utilizar la carga simulada.</t>
  </si>
  <si>
    <t>Equipo bajo prueba (°C)</t>
  </si>
  <si>
    <t>Incertidumbre expandida ±</t>
  </si>
  <si>
    <t>Promedio del patrón</t>
  </si>
  <si>
    <t>Promedio del equipo bajo prueba</t>
  </si>
  <si>
    <t>Promedio del error</t>
  </si>
  <si>
    <t>Temperatura de la cava</t>
  </si>
  <si>
    <t>Indicación de temperatura (°C)</t>
  </si>
  <si>
    <t>Promedio de la temperatura de operación</t>
  </si>
  <si>
    <t>± 1 °C respecto a la referencia</t>
  </si>
  <si>
    <t>Entre 2 °C y 8 °C</t>
  </si>
  <si>
    <t>NEVERA DE TRANSPORTE</t>
  </si>
  <si>
    <t>FARMACIA MATERNIDAD</t>
  </si>
  <si>
    <t>JS5788-26</t>
  </si>
  <si>
    <t>CLÍNICA PALERMO</t>
  </si>
  <si>
    <t>CALLE 45 C # 22-02</t>
  </si>
  <si>
    <t>BOGOTÁ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</si>
</sst>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
    <numFmt numFmtId="168" formatCode="0.000000"/>
    <numFmt numFmtId="169" formatCode="h:mm:ss;@"/>
    <numFmt numFmtId="170" formatCode="&quot;$&quot;\ #,##0"/>
    <numFmt numFmtId="171" formatCode=";;;"/>
  </numFmts>
  <fonts count="30" x14ac:knownFonts="1">
    <font>
      <sz val="11"/>
      <color theme="1"/>
      <name val="Calibri"/>
      <family val="2"/>
      <scheme val="minor"/>
    </font>
    <font>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9"/>
      <color theme="1"/>
      <name val="Calibri"/>
      <family val="2"/>
    </font>
    <font>
      <i/>
      <sz val="9"/>
      <color theme="1"/>
      <name val="Calibri"/>
      <family val="2"/>
      <scheme val="minor"/>
    </font>
    <font>
      <sz val="8"/>
      <name val="Calibri"/>
      <family val="2"/>
      <scheme val="minor"/>
    </font>
    <font>
      <sz val="11"/>
      <color theme="1"/>
      <name val="Calibri"/>
      <family val="2"/>
    </font>
  </fonts>
  <fills count="14">
    <fill>
      <patternFill patternType="none"/>
    </fill>
    <fill>
      <patternFill patternType="gray125"/>
    </fill>
    <fill>
      <patternFill patternType="solid">
        <fgColor theme="4" tint="0.39997558519241921"/>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
      <patternFill patternType="solid">
        <fgColor theme="0"/>
        <bgColor indexed="64"/>
      </patternFill>
    </fill>
    <fill>
      <patternFill patternType="solid">
        <fgColor theme="3" tint="0.59999389629810485"/>
        <bgColor indexed="64"/>
      </patternFill>
    </fill>
  </fills>
  <borders count="32">
    <border>
      <left/>
      <right/>
      <top/>
      <bottom/>
      <diagonal/>
    </border>
    <border>
      <left/>
      <right style="thick">
        <color rgb="FF00B0F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top/>
      <bottom style="thin">
        <color auto="1"/>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5" fillId="0" borderId="0"/>
    <xf numFmtId="0" fontId="9" fillId="0" borderId="0"/>
    <xf numFmtId="0" fontId="10" fillId="3" borderId="0">
      <alignment vertical="center"/>
    </xf>
    <xf numFmtId="0" fontId="9" fillId="0" borderId="0"/>
    <xf numFmtId="0" fontId="12" fillId="0" borderId="0"/>
  </cellStyleXfs>
  <cellXfs count="212">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3" fillId="2" borderId="5" xfId="0" applyFont="1" applyFill="1" applyBorder="1" applyAlignment="1">
      <alignment horizontal="center" vertical="center" wrapText="1"/>
    </xf>
    <xf numFmtId="1" fontId="4" fillId="0" borderId="5" xfId="0" applyNumberFormat="1" applyFont="1" applyBorder="1" applyAlignment="1">
      <alignment horizontal="center" vertical="center"/>
    </xf>
    <xf numFmtId="164" fontId="4" fillId="0" borderId="5" xfId="0" applyNumberFormat="1" applyFont="1" applyBorder="1" applyAlignment="1">
      <alignment horizontal="center" vertical="center"/>
    </xf>
    <xf numFmtId="2" fontId="4" fillId="0" borderId="5" xfId="0" applyNumberFormat="1" applyFont="1" applyBorder="1" applyAlignment="1">
      <alignment horizontal="center" vertical="center"/>
    </xf>
    <xf numFmtId="0" fontId="2" fillId="0" borderId="0" xfId="0" applyFont="1" applyAlignment="1">
      <alignment vertical="center"/>
    </xf>
    <xf numFmtId="0" fontId="2" fillId="0" borderId="1" xfId="0" applyFont="1" applyBorder="1" applyAlignment="1">
      <alignment vertical="center"/>
    </xf>
    <xf numFmtId="0" fontId="6" fillId="0" borderId="0" xfId="0" applyFont="1" applyAlignment="1">
      <alignment vertical="center"/>
    </xf>
    <xf numFmtId="0" fontId="3" fillId="6" borderId="5" xfId="0" applyFont="1" applyFill="1" applyBorder="1" applyAlignment="1">
      <alignment horizontal="center" vertical="center" wrapText="1"/>
    </xf>
    <xf numFmtId="0" fontId="11" fillId="2" borderId="5" xfId="0" applyFont="1" applyFill="1" applyBorder="1" applyAlignment="1">
      <alignment horizontal="center" vertical="center" wrapText="1"/>
    </xf>
    <xf numFmtId="2" fontId="4" fillId="0" borderId="6" xfId="0" applyNumberFormat="1" applyFont="1" applyBorder="1" applyAlignment="1">
      <alignment horizontal="center" vertical="center"/>
    </xf>
    <xf numFmtId="10" fontId="0" fillId="0" borderId="0" xfId="0" applyNumberFormat="1"/>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0" fontId="7" fillId="0" borderId="0" xfId="0" applyFont="1"/>
    <xf numFmtId="167" fontId="0" fillId="0" borderId="0" xfId="0" applyNumberFormat="1"/>
    <xf numFmtId="167" fontId="4" fillId="0" borderId="5" xfId="0" applyNumberFormat="1" applyFont="1" applyBorder="1" applyAlignment="1">
      <alignment horizontal="center" vertical="center"/>
    </xf>
    <xf numFmtId="1" fontId="0" fillId="0" borderId="5"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0" fillId="0" borderId="7" xfId="0" applyBorder="1"/>
    <xf numFmtId="168" fontId="15" fillId="5" borderId="8" xfId="0" applyNumberFormat="1" applyFont="1" applyFill="1" applyBorder="1"/>
    <xf numFmtId="0" fontId="0" fillId="0" borderId="9" xfId="0" applyBorder="1"/>
    <xf numFmtId="0" fontId="0" fillId="7" borderId="0" xfId="0" applyFill="1" applyAlignment="1">
      <alignment horizontal="right"/>
    </xf>
    <xf numFmtId="0" fontId="0" fillId="0" borderId="0" xfId="0" applyAlignment="1">
      <alignment wrapText="1"/>
    </xf>
    <xf numFmtId="0" fontId="0" fillId="0" borderId="10" xfId="0" applyBorder="1"/>
    <xf numFmtId="1" fontId="0" fillId="0" borderId="0" xfId="0" applyNumberFormat="1"/>
    <xf numFmtId="2" fontId="0" fillId="0" borderId="0" xfId="0" applyNumberFormat="1"/>
    <xf numFmtId="0" fontId="0" fillId="0" borderId="11" xfId="0" applyBorder="1"/>
    <xf numFmtId="168" fontId="0" fillId="0" borderId="0" xfId="0" applyNumberFormat="1"/>
    <xf numFmtId="0" fontId="0" fillId="0" borderId="15" xfId="0" applyBorder="1"/>
    <xf numFmtId="0" fontId="0" fillId="7" borderId="0" xfId="0" applyFill="1"/>
    <xf numFmtId="0" fontId="0" fillId="0" borderId="15" xfId="0" applyBorder="1" applyAlignment="1">
      <alignment wrapText="1"/>
    </xf>
    <xf numFmtId="166" fontId="15" fillId="0" borderId="15" xfId="0" applyNumberFormat="1" applyFont="1" applyBorder="1"/>
    <xf numFmtId="166" fontId="0" fillId="0" borderId="7" xfId="0" applyNumberFormat="1" applyBorder="1"/>
    <xf numFmtId="167" fontId="15" fillId="0" borderId="15" xfId="0" applyNumberFormat="1" applyFont="1" applyBorder="1"/>
    <xf numFmtId="2" fontId="15" fillId="0" borderId="15" xfId="0" applyNumberFormat="1" applyFont="1" applyBorder="1"/>
    <xf numFmtId="2" fontId="0" fillId="0" borderId="7" xfId="0" applyNumberFormat="1" applyBorder="1"/>
    <xf numFmtId="2" fontId="0" fillId="0" borderId="15" xfId="0" applyNumberFormat="1" applyBorder="1"/>
    <xf numFmtId="164" fontId="15" fillId="0" borderId="15" xfId="0" applyNumberFormat="1" applyFont="1" applyBorder="1"/>
    <xf numFmtId="1"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16" fillId="0" borderId="0" xfId="0" applyFont="1"/>
    <xf numFmtId="0" fontId="16" fillId="0" borderId="0" xfId="0" applyFont="1" applyAlignment="1">
      <alignment vertical="center"/>
    </xf>
    <xf numFmtId="0" fontId="13" fillId="0" borderId="0" xfId="0" applyFont="1"/>
    <xf numFmtId="0" fontId="7" fillId="0" borderId="0" xfId="0" applyFont="1" applyAlignment="1">
      <alignment vertical="center"/>
    </xf>
    <xf numFmtId="0" fontId="13" fillId="0" borderId="0" xfId="0" applyFont="1" applyAlignment="1">
      <alignment vertical="center"/>
    </xf>
    <xf numFmtId="164" fontId="13" fillId="0" borderId="0" xfId="0" applyNumberFormat="1" applyFont="1" applyAlignment="1">
      <alignment horizontal="left" vertical="center"/>
    </xf>
    <xf numFmtId="0" fontId="8" fillId="0" borderId="0" xfId="0" applyFont="1"/>
    <xf numFmtId="0" fontId="8" fillId="0" borderId="0" xfId="0" applyFont="1" applyAlignment="1">
      <alignment vertical="center"/>
    </xf>
    <xf numFmtId="0" fontId="13" fillId="0" borderId="0" xfId="0" applyFont="1" applyAlignment="1">
      <alignment vertical="center" wrapText="1"/>
    </xf>
    <xf numFmtId="1" fontId="13" fillId="0" borderId="0" xfId="0" applyNumberFormat="1" applyFont="1" applyAlignment="1">
      <alignment horizontal="left"/>
    </xf>
    <xf numFmtId="164" fontId="17" fillId="0" borderId="0" xfId="0" applyNumberFormat="1" applyFont="1" applyAlignment="1">
      <alignment horizontal="center" vertical="center"/>
    </xf>
    <xf numFmtId="1" fontId="13" fillId="0" borderId="0" xfId="0" applyNumberFormat="1" applyFont="1"/>
    <xf numFmtId="164" fontId="13" fillId="0" borderId="0" xfId="0" applyNumberFormat="1" applyFont="1" applyAlignment="1">
      <alignment vertical="center"/>
    </xf>
    <xf numFmtId="164" fontId="13" fillId="0" borderId="0" xfId="0" applyNumberFormat="1" applyFont="1" applyAlignment="1">
      <alignment horizontal="right" vertical="center"/>
    </xf>
    <xf numFmtId="0" fontId="0" fillId="0" borderId="28" xfId="0" applyBorder="1"/>
    <xf numFmtId="1" fontId="13" fillId="0" borderId="20" xfId="0" applyNumberFormat="1" applyFont="1" applyBorder="1" applyAlignment="1">
      <alignment horizontal="left"/>
    </xf>
    <xf numFmtId="164" fontId="17" fillId="0" borderId="20" xfId="0" applyNumberFormat="1" applyFont="1" applyBorder="1" applyAlignment="1">
      <alignment horizontal="center" vertical="center"/>
    </xf>
    <xf numFmtId="164" fontId="13" fillId="0" borderId="28" xfId="0" applyNumberFormat="1" applyFont="1" applyBorder="1" applyAlignment="1">
      <alignment vertical="center"/>
    </xf>
    <xf numFmtId="164" fontId="13" fillId="0" borderId="20" xfId="0" applyNumberFormat="1" applyFont="1" applyBorder="1" applyAlignment="1">
      <alignment horizontal="left" vertical="center"/>
    </xf>
    <xf numFmtId="0" fontId="0" fillId="0" borderId="29" xfId="0" applyBorder="1"/>
    <xf numFmtId="0" fontId="14" fillId="0" borderId="0" xfId="0" applyFont="1"/>
    <xf numFmtId="165" fontId="0" fillId="0" borderId="0" xfId="0" applyNumberFormat="1" applyAlignment="1">
      <alignment horizontal="left"/>
    </xf>
    <xf numFmtId="165" fontId="13" fillId="0" borderId="0" xfId="0" applyNumberFormat="1" applyFont="1" applyAlignment="1">
      <alignment horizontal="left"/>
    </xf>
    <xf numFmtId="165" fontId="13" fillId="0" borderId="0" xfId="0" applyNumberFormat="1" applyFont="1"/>
    <xf numFmtId="0" fontId="18" fillId="0" borderId="0" xfId="0" applyFont="1" applyAlignment="1">
      <alignment vertical="center"/>
    </xf>
    <xf numFmtId="0" fontId="0" fillId="0" borderId="26" xfId="0" applyBorder="1"/>
    <xf numFmtId="0" fontId="13" fillId="0" borderId="0" xfId="0" applyFont="1" applyAlignment="1">
      <alignment horizontal="left"/>
    </xf>
    <xf numFmtId="0" fontId="8" fillId="0" borderId="0" xfId="0" applyFont="1" applyAlignment="1">
      <alignment vertical="center" wrapText="1"/>
    </xf>
    <xf numFmtId="0" fontId="8" fillId="0" borderId="0" xfId="0" applyFont="1" applyAlignment="1">
      <alignment horizontal="justify" vertical="center" wrapText="1"/>
    </xf>
    <xf numFmtId="0" fontId="0" fillId="0" borderId="0" xfId="0" applyAlignment="1">
      <alignment horizontal="right" vertical="center"/>
    </xf>
    <xf numFmtId="165" fontId="13" fillId="0" borderId="0" xfId="0" applyNumberFormat="1" applyFont="1" applyAlignment="1">
      <alignment vertical="center"/>
    </xf>
    <xf numFmtId="0" fontId="19" fillId="0" borderId="0" xfId="0" applyFont="1" applyAlignment="1">
      <alignment horizontal="center" vertical="center"/>
    </xf>
    <xf numFmtId="0" fontId="20" fillId="0" borderId="0" xfId="0" applyFont="1" applyAlignment="1">
      <alignment vertical="center"/>
    </xf>
    <xf numFmtId="0" fontId="22" fillId="0" borderId="0" xfId="0" applyFont="1" applyAlignment="1">
      <alignment horizontal="center"/>
    </xf>
    <xf numFmtId="0" fontId="23" fillId="0" borderId="0" xfId="0" applyFont="1" applyAlignment="1">
      <alignment horizontal="right" vertical="center"/>
    </xf>
    <xf numFmtId="0" fontId="23" fillId="0" borderId="0" xfId="0" applyFont="1"/>
    <xf numFmtId="0" fontId="24"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0" fillId="0" borderId="0" xfId="0" applyAlignment="1">
      <alignment horizontal="justify" wrapText="1"/>
    </xf>
    <xf numFmtId="0" fontId="13" fillId="0" borderId="0" xfId="0" applyFont="1" applyAlignment="1">
      <alignment horizontal="justify" vertical="top" wrapText="1"/>
    </xf>
    <xf numFmtId="0" fontId="7" fillId="0" borderId="0" xfId="0" applyFont="1" applyAlignment="1">
      <alignment horizontal="center"/>
    </xf>
    <xf numFmtId="0" fontId="0" fillId="0" borderId="31" xfId="0" applyBorder="1" applyAlignment="1">
      <alignment vertical="center"/>
    </xf>
    <xf numFmtId="0" fontId="0" fillId="0" borderId="5" xfId="0" applyBorder="1" applyAlignment="1">
      <alignment vertical="center"/>
    </xf>
    <xf numFmtId="0" fontId="0" fillId="0" borderId="0" xfId="0" applyAlignment="1">
      <alignment vertical="center"/>
    </xf>
    <xf numFmtId="0" fontId="14" fillId="0" borderId="5" xfId="0" applyFont="1" applyBorder="1" applyAlignment="1">
      <alignment horizontal="center" vertical="center"/>
    </xf>
    <xf numFmtId="164" fontId="8" fillId="0" borderId="5" xfId="0" applyNumberFormat="1" applyFont="1" applyBorder="1" applyAlignment="1">
      <alignment horizontal="center"/>
    </xf>
    <xf numFmtId="0" fontId="27" fillId="0" borderId="0" xfId="0" applyFont="1"/>
    <xf numFmtId="0" fontId="7" fillId="10" borderId="5" xfId="0" applyFont="1" applyFill="1" applyBorder="1" applyAlignment="1">
      <alignment horizontal="center"/>
    </xf>
    <xf numFmtId="0" fontId="7" fillId="0" borderId="5" xfId="0" applyFont="1" applyBorder="1" applyAlignment="1">
      <alignment horizontal="center" vertical="center"/>
    </xf>
    <xf numFmtId="165" fontId="0" fillId="12" borderId="5" xfId="0" applyNumberFormat="1" applyFill="1" applyBorder="1" applyAlignment="1">
      <alignment horizontal="center" vertical="center"/>
    </xf>
    <xf numFmtId="0" fontId="7" fillId="0" borderId="5" xfId="0" applyFont="1" applyBorder="1"/>
    <xf numFmtId="0" fontId="21" fillId="0" borderId="0" xfId="0" applyFont="1" applyAlignment="1">
      <alignment wrapText="1"/>
    </xf>
    <xf numFmtId="0" fontId="29" fillId="11" borderId="5" xfId="0" applyFont="1" applyFill="1" applyBorder="1" applyAlignment="1">
      <alignment horizontal="center" vertical="center" wrapText="1"/>
    </xf>
    <xf numFmtId="0" fontId="29" fillId="12" borderId="5" xfId="0" applyFont="1" applyFill="1" applyBorder="1" applyAlignment="1">
      <alignment horizontal="center" vertical="center" wrapText="1"/>
    </xf>
    <xf numFmtId="0" fontId="0" fillId="12" borderId="5" xfId="0" applyFill="1" applyBorder="1" applyAlignment="1">
      <alignment horizontal="center" vertical="center"/>
    </xf>
    <xf numFmtId="49" fontId="0" fillId="0" borderId="5" xfId="0" applyNumberFormat="1" applyBorder="1" applyAlignment="1">
      <alignment vertical="center"/>
    </xf>
    <xf numFmtId="0" fontId="7" fillId="0" borderId="5" xfId="0" applyFont="1" applyBorder="1" applyAlignment="1">
      <alignment horizontal="center"/>
    </xf>
    <xf numFmtId="0" fontId="0" fillId="0" borderId="5" xfId="0" applyBorder="1" applyAlignment="1">
      <alignment horizontal="center" wrapText="1"/>
    </xf>
    <xf numFmtId="0" fontId="0" fillId="0" borderId="5" xfId="0" applyBorder="1" applyAlignment="1">
      <alignment horizontal="center" vertical="center"/>
    </xf>
    <xf numFmtId="170" fontId="0" fillId="0" borderId="5" xfId="0" applyNumberFormat="1" applyBorder="1" applyAlignment="1">
      <alignment horizontal="center" vertical="center"/>
    </xf>
    <xf numFmtId="170" fontId="0" fillId="0" borderId="5" xfId="0" applyNumberFormat="1" applyBorder="1"/>
    <xf numFmtId="0" fontId="7" fillId="13" borderId="5" xfId="0" applyFont="1" applyFill="1" applyBorder="1" applyAlignment="1">
      <alignment horizontal="center"/>
    </xf>
    <xf numFmtId="164" fontId="8" fillId="0" borderId="0" xfId="0" applyNumberFormat="1" applyFont="1" applyAlignment="1">
      <alignment horizontal="center" vertical="center"/>
    </xf>
    <xf numFmtId="0" fontId="8" fillId="0" borderId="0" xfId="0" applyFont="1" applyAlignment="1">
      <alignment horizontal="center" vertical="center"/>
    </xf>
    <xf numFmtId="171" fontId="0" fillId="0" borderId="0" xfId="0" applyNumberFormat="1"/>
    <xf numFmtId="0" fontId="19" fillId="0" borderId="27" xfId="0" applyFont="1" applyBorder="1" applyAlignment="1">
      <alignment horizontal="center" vertical="center"/>
    </xf>
    <xf numFmtId="0" fontId="7" fillId="0" borderId="25" xfId="0" applyFont="1" applyBorder="1" applyAlignment="1">
      <alignment horizontal="center" vertical="center"/>
    </xf>
    <xf numFmtId="0" fontId="0" fillId="0" borderId="0" xfId="0" applyAlignment="1">
      <alignment horizontal="justify"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8" fillId="0" borderId="2"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vertical="center"/>
    </xf>
    <xf numFmtId="0" fontId="26" fillId="0" borderId="5" xfId="0" applyFont="1" applyBorder="1" applyAlignment="1">
      <alignment horizontal="center" vertical="center" wrapText="1"/>
    </xf>
    <xf numFmtId="0" fontId="8" fillId="0" borderId="5" xfId="0" applyFont="1" applyBorder="1" applyAlignment="1">
      <alignment horizontal="center" vertical="center" wrapText="1"/>
    </xf>
    <xf numFmtId="0" fontId="14" fillId="0" borderId="5" xfId="0" applyFont="1" applyBorder="1" applyAlignment="1">
      <alignment horizontal="center" vertical="center"/>
    </xf>
    <xf numFmtId="164" fontId="8" fillId="0" borderId="2" xfId="0" applyNumberFormat="1"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7" fillId="0" borderId="5" xfId="0" applyFont="1" applyBorder="1" applyAlignment="1">
      <alignment horizontal="center"/>
    </xf>
    <xf numFmtId="0" fontId="7" fillId="0" borderId="0" xfId="0" applyFont="1" applyAlignment="1">
      <alignment horizontal="left"/>
    </xf>
    <xf numFmtId="14" fontId="8" fillId="0" borderId="5" xfId="0" applyNumberFormat="1" applyFont="1" applyBorder="1" applyAlignment="1">
      <alignment horizontal="center" vertical="center"/>
    </xf>
    <xf numFmtId="169" fontId="8" fillId="0" borderId="5" xfId="0" applyNumberFormat="1" applyFont="1" applyBorder="1" applyAlignment="1">
      <alignment horizontal="center" vertical="center"/>
    </xf>
    <xf numFmtId="164" fontId="8" fillId="0" borderId="3" xfId="0" applyNumberFormat="1" applyFont="1" applyBorder="1" applyAlignment="1">
      <alignment horizontal="center" vertical="center"/>
    </xf>
    <xf numFmtId="164" fontId="8" fillId="0" borderId="4" xfId="0" applyNumberFormat="1" applyFont="1" applyBorder="1" applyAlignment="1">
      <alignment horizontal="center" vertical="center"/>
    </xf>
    <xf numFmtId="164" fontId="8" fillId="0" borderId="5" xfId="0" applyNumberFormat="1" applyFont="1" applyBorder="1" applyAlignment="1">
      <alignment horizontal="center" vertical="center"/>
    </xf>
    <xf numFmtId="0" fontId="7" fillId="0" borderId="0" xfId="0" applyFont="1" applyAlignment="1">
      <alignment horizontal="center"/>
    </xf>
    <xf numFmtId="164" fontId="8" fillId="0" borderId="2" xfId="0" applyNumberFormat="1" applyFont="1" applyBorder="1" applyAlignment="1">
      <alignment horizontal="center"/>
    </xf>
    <xf numFmtId="164" fontId="8" fillId="0" borderId="4" xfId="0" applyNumberFormat="1" applyFont="1" applyBorder="1" applyAlignment="1">
      <alignment horizontal="center"/>
    </xf>
    <xf numFmtId="0" fontId="0" fillId="0" borderId="0" xfId="0" applyAlignment="1">
      <alignment horizontal="justify" vertical="center" wrapText="1"/>
    </xf>
    <xf numFmtId="0" fontId="7" fillId="0" borderId="25" xfId="0" applyFont="1" applyBorder="1" applyAlignment="1">
      <alignment horizontal="center"/>
    </xf>
    <xf numFmtId="0" fontId="8" fillId="0" borderId="31" xfId="0" applyFont="1" applyBorder="1" applyAlignment="1">
      <alignment horizontal="center" vertical="center"/>
    </xf>
    <xf numFmtId="0" fontId="14" fillId="0" borderId="5" xfId="0" applyFont="1" applyBorder="1" applyAlignment="1">
      <alignment horizontal="center" vertical="center" wrapText="1"/>
    </xf>
    <xf numFmtId="2" fontId="8" fillId="0" borderId="2" xfId="0" applyNumberFormat="1" applyFont="1" applyBorder="1" applyAlignment="1">
      <alignment horizontal="center"/>
    </xf>
    <xf numFmtId="0" fontId="8" fillId="0" borderId="3" xfId="0" applyFont="1" applyBorder="1" applyAlignment="1">
      <alignment horizontal="center"/>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25" fillId="0" borderId="21"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16" fillId="0" borderId="21" xfId="0" applyFont="1" applyBorder="1" applyAlignment="1">
      <alignment horizontal="center" vertical="center"/>
    </xf>
    <xf numFmtId="165" fontId="25" fillId="0" borderId="21" xfId="0" applyNumberFormat="1"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xf>
    <xf numFmtId="0" fontId="13" fillId="0" borderId="0" xfId="0" applyFont="1" applyAlignment="1">
      <alignment horizontal="justify" vertical="center" wrapText="1"/>
    </xf>
    <xf numFmtId="0" fontId="0" fillId="0" borderId="0" xfId="0" applyAlignment="1">
      <alignment horizontal="justify"/>
    </xf>
    <xf numFmtId="0" fontId="0" fillId="0" borderId="0" xfId="0" applyAlignment="1">
      <alignment horizontal="left" wrapText="1"/>
    </xf>
    <xf numFmtId="0" fontId="7" fillId="0" borderId="0" xfId="0" applyFont="1" applyAlignment="1">
      <alignment horizontal="left" wrapText="1"/>
    </xf>
    <xf numFmtId="0" fontId="13" fillId="0" borderId="0" xfId="0" applyFont="1" applyAlignment="1">
      <alignment horizontal="left" vertical="center"/>
    </xf>
    <xf numFmtId="1" fontId="13" fillId="0" borderId="0" xfId="0" applyNumberFormat="1" applyFont="1" applyAlignment="1">
      <alignment horizontal="left" vertical="center"/>
    </xf>
    <xf numFmtId="165" fontId="13" fillId="0" borderId="0" xfId="0" applyNumberFormat="1" applyFont="1" applyAlignment="1">
      <alignment horizontal="left" vertical="center"/>
    </xf>
    <xf numFmtId="0" fontId="13" fillId="0" borderId="0" xfId="0" applyFont="1" applyAlignment="1">
      <alignment horizontal="left"/>
    </xf>
    <xf numFmtId="0" fontId="8" fillId="0" borderId="30" xfId="0" applyFont="1" applyBorder="1" applyAlignment="1">
      <alignment horizontal="justify" vertical="center" wrapText="1"/>
    </xf>
    <xf numFmtId="0" fontId="8" fillId="0" borderId="0" xfId="0" applyFont="1" applyAlignment="1">
      <alignment horizontal="justify" vertical="center" wrapText="1"/>
    </xf>
    <xf numFmtId="0" fontId="8" fillId="0" borderId="20" xfId="0" applyFont="1" applyBorder="1" applyAlignment="1">
      <alignment horizontal="justify" vertical="center" wrapText="1"/>
    </xf>
    <xf numFmtId="0" fontId="13" fillId="0" borderId="27" xfId="0" applyFont="1" applyBorder="1" applyAlignment="1">
      <alignment horizontal="justify" vertical="center" wrapText="1"/>
    </xf>
    <xf numFmtId="0" fontId="16" fillId="0" borderId="22" xfId="0" applyFont="1" applyBorder="1" applyAlignment="1">
      <alignment vertical="center"/>
    </xf>
    <xf numFmtId="0" fontId="16" fillId="0" borderId="23" xfId="0" applyFont="1" applyBorder="1" applyAlignment="1">
      <alignment vertical="center"/>
    </xf>
    <xf numFmtId="0" fontId="16" fillId="0" borderId="24" xfId="0" applyFont="1" applyBorder="1" applyAlignment="1">
      <alignment vertical="center"/>
    </xf>
    <xf numFmtId="0" fontId="13" fillId="0" borderId="0" xfId="0" applyFont="1" applyAlignment="1">
      <alignment horizontal="center" vertical="center"/>
    </xf>
    <xf numFmtId="164" fontId="13" fillId="0" borderId="22" xfId="0" applyNumberFormat="1" applyFont="1" applyBorder="1" applyAlignment="1">
      <alignment horizontal="right" vertical="center"/>
    </xf>
    <xf numFmtId="164" fontId="13" fillId="0" borderId="23" xfId="0" applyNumberFormat="1" applyFont="1" applyBorder="1" applyAlignment="1">
      <alignment horizontal="right" vertical="center"/>
    </xf>
    <xf numFmtId="1" fontId="13" fillId="0" borderId="22" xfId="0" applyNumberFormat="1" applyFont="1" applyBorder="1" applyAlignment="1">
      <alignment horizontal="right"/>
    </xf>
    <xf numFmtId="1" fontId="13" fillId="0" borderId="23" xfId="0" applyNumberFormat="1" applyFont="1" applyBorder="1" applyAlignment="1">
      <alignment horizontal="right"/>
    </xf>
    <xf numFmtId="0" fontId="13" fillId="0" borderId="0" xfId="0" applyFont="1" applyAlignment="1">
      <alignment horizontal="justify" vertical="top" wrapText="1"/>
    </xf>
    <xf numFmtId="0" fontId="16" fillId="0" borderId="0" xfId="0" applyFont="1" applyAlignment="1">
      <alignment horizontal="right" vertical="center"/>
    </xf>
    <xf numFmtId="0" fontId="22" fillId="0" borderId="0" xfId="0" applyFont="1" applyAlignment="1">
      <alignment horizontal="left" vertical="center"/>
    </xf>
    <xf numFmtId="0" fontId="20" fillId="0" borderId="20" xfId="0" applyFont="1" applyBorder="1" applyAlignment="1">
      <alignment horizontal="center" vertical="center"/>
    </xf>
    <xf numFmtId="0" fontId="20" fillId="0" borderId="0" xfId="0" applyFont="1" applyAlignment="1">
      <alignment horizontal="center" vertical="center"/>
    </xf>
    <xf numFmtId="49" fontId="13" fillId="0" borderId="0" xfId="0" applyNumberFormat="1" applyFont="1" applyAlignment="1">
      <alignment horizontal="left" vertical="center"/>
    </xf>
    <xf numFmtId="0" fontId="16" fillId="0" borderId="0" xfId="0" applyFont="1" applyAlignment="1">
      <alignment horizontal="left" vertical="center"/>
    </xf>
    <xf numFmtId="164" fontId="13" fillId="0" borderId="0" xfId="0" applyNumberFormat="1" applyFont="1" applyAlignment="1">
      <alignment horizontal="left" vertical="center"/>
    </xf>
    <xf numFmtId="0" fontId="16" fillId="0" borderId="22"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7" fillId="0" borderId="0" xfId="0" applyFont="1" applyAlignment="1">
      <alignment horizontal="center" vertical="center"/>
    </xf>
    <xf numFmtId="165" fontId="13" fillId="0" borderId="0" xfId="0" applyNumberFormat="1" applyFont="1" applyAlignment="1">
      <alignment horizontal="left"/>
    </xf>
    <xf numFmtId="0" fontId="14" fillId="0" borderId="2" xfId="0" applyFont="1" applyBorder="1" applyAlignment="1">
      <alignment horizontal="center" vertical="center"/>
    </xf>
    <xf numFmtId="0" fontId="14" fillId="0" borderId="4" xfId="0" applyFont="1" applyBorder="1" applyAlignment="1">
      <alignment horizontal="center" vertical="center"/>
    </xf>
    <xf numFmtId="0" fontId="14" fillId="0" borderId="5" xfId="0" applyFont="1" applyBorder="1" applyAlignment="1">
      <alignment horizontal="center" wrapText="1"/>
    </xf>
    <xf numFmtId="21" fontId="8" fillId="0" borderId="5" xfId="0" applyNumberFormat="1" applyFont="1" applyBorder="1" applyAlignment="1">
      <alignment horizontal="center"/>
    </xf>
    <xf numFmtId="0" fontId="8" fillId="0" borderId="5" xfId="0" applyFont="1" applyBorder="1" applyAlignment="1">
      <alignment horizontal="center"/>
    </xf>
    <xf numFmtId="164" fontId="8" fillId="0" borderId="5" xfId="0" applyNumberFormat="1" applyFont="1" applyBorder="1" applyAlignment="1">
      <alignment horizontal="center"/>
    </xf>
    <xf numFmtId="0" fontId="7" fillId="10" borderId="2" xfId="0" applyFont="1" applyFill="1" applyBorder="1" applyAlignment="1">
      <alignment horizontal="center"/>
    </xf>
    <xf numFmtId="0" fontId="7" fillId="10" borderId="3" xfId="0" applyFont="1" applyFill="1" applyBorder="1" applyAlignment="1">
      <alignment horizontal="center"/>
    </xf>
    <xf numFmtId="0" fontId="7" fillId="10" borderId="4" xfId="0" applyFont="1" applyFill="1" applyBorder="1" applyAlignment="1">
      <alignment horizontal="center"/>
    </xf>
    <xf numFmtId="0" fontId="7" fillId="10" borderId="5" xfId="0" applyFont="1" applyFill="1" applyBorder="1" applyAlignment="1">
      <alignment horizontal="center"/>
    </xf>
    <xf numFmtId="0" fontId="0" fillId="8" borderId="7" xfId="0" applyFill="1" applyBorder="1" applyAlignment="1">
      <alignment horizontal="center"/>
    </xf>
    <xf numFmtId="0" fontId="0" fillId="8" borderId="0" xfId="0" applyFill="1" applyAlignment="1">
      <alignment horizontal="center"/>
    </xf>
    <xf numFmtId="0" fontId="0" fillId="8" borderId="15" xfId="0" applyFill="1" applyBorder="1" applyAlignment="1">
      <alignment horizontal="center"/>
    </xf>
    <xf numFmtId="0" fontId="0" fillId="9" borderId="12" xfId="0" applyFill="1" applyBorder="1" applyAlignment="1">
      <alignment horizontal="center"/>
    </xf>
    <xf numFmtId="0" fontId="0" fillId="9" borderId="13" xfId="0" applyFill="1" applyBorder="1" applyAlignment="1">
      <alignment horizontal="center"/>
    </xf>
    <xf numFmtId="0" fontId="0" fillId="9" borderId="14" xfId="0" applyFill="1" applyBorder="1" applyAlignment="1">
      <alignment horizontal="center"/>
    </xf>
    <xf numFmtId="0" fontId="6" fillId="4" borderId="5"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82106148945122"/>
          <c:y val="0.12078703703703704"/>
          <c:w val="0.8558540869414224"/>
          <c:h val="0.53388305628463117"/>
        </c:manualLayout>
      </c:layout>
      <c:lineChart>
        <c:grouping val="standard"/>
        <c:varyColors val="0"/>
        <c:ser>
          <c:idx val="1"/>
          <c:order val="1"/>
          <c:tx>
            <c:strRef>
              <c:f>'CERTIFICADO '!$K$197</c:f>
              <c:strCache>
                <c:ptCount val="1"/>
                <c:pt idx="0">
                  <c:v>Temperatura ambiente</c:v>
                </c:pt>
              </c:strCache>
            </c:strRef>
          </c:tx>
          <c:spPr>
            <a:ln w="28575" cap="rnd">
              <a:solidFill>
                <a:schemeClr val="accent2"/>
              </a:solidFill>
              <a:round/>
            </a:ln>
            <a:effectLst/>
          </c:spPr>
          <c:marker>
            <c:symbol val="none"/>
          </c:marker>
          <c:cat>
            <c:numRef>
              <c:f>'CERTIFICADO '!$I$198:$I$221</c:f>
              <c:numCache>
                <c:formatCode>h:mm:ss;@</c:formatCode>
                <c:ptCount val="24"/>
                <c:pt idx="0">
                  <c:v>0.34553313093842608</c:v>
                </c:pt>
                <c:pt idx="1">
                  <c:v>0.34900535316064829</c:v>
                </c:pt>
                <c:pt idx="2">
                  <c:v>0.3524775753828705</c:v>
                </c:pt>
                <c:pt idx="3">
                  <c:v>0.35594979760509271</c:v>
                </c:pt>
                <c:pt idx="4">
                  <c:v>0.35942201982731492</c:v>
                </c:pt>
                <c:pt idx="5">
                  <c:v>0.36289424204953713</c:v>
                </c:pt>
                <c:pt idx="6">
                  <c:v>0.36636646427175934</c:v>
                </c:pt>
                <c:pt idx="7">
                  <c:v>0.36983868649398155</c:v>
                </c:pt>
                <c:pt idx="8">
                  <c:v>0.37331090871620376</c:v>
                </c:pt>
                <c:pt idx="9">
                  <c:v>0.37678313093842597</c:v>
                </c:pt>
                <c:pt idx="10">
                  <c:v>0.38025535316064818</c:v>
                </c:pt>
                <c:pt idx="11">
                  <c:v>0.38372757538287039</c:v>
                </c:pt>
                <c:pt idx="12">
                  <c:v>0.3871997976050926</c:v>
                </c:pt>
                <c:pt idx="13">
                  <c:v>0.39067201982731481</c:v>
                </c:pt>
                <c:pt idx="14">
                  <c:v>0.39414424204953702</c:v>
                </c:pt>
                <c:pt idx="15">
                  <c:v>0.39761646427175923</c:v>
                </c:pt>
                <c:pt idx="16">
                  <c:v>0.40108868649398144</c:v>
                </c:pt>
                <c:pt idx="17">
                  <c:v>0.40456090871620365</c:v>
                </c:pt>
                <c:pt idx="18">
                  <c:v>0.40803313093842586</c:v>
                </c:pt>
                <c:pt idx="19">
                  <c:v>0.41150535316064807</c:v>
                </c:pt>
                <c:pt idx="20">
                  <c:v>0.41497757538287028</c:v>
                </c:pt>
                <c:pt idx="21">
                  <c:v>0.41844979760509249</c:v>
                </c:pt>
                <c:pt idx="22">
                  <c:v>0.4219220198273147</c:v>
                </c:pt>
                <c:pt idx="23">
                  <c:v>0.42539424204953691</c:v>
                </c:pt>
              </c:numCache>
            </c:numRef>
          </c:cat>
          <c:val>
            <c:numRef>
              <c:f>'CERTIFICADO '!$K$198:$K$221</c:f>
              <c:numCache>
                <c:formatCode>0.0</c:formatCode>
                <c:ptCount val="24"/>
                <c:pt idx="0">
                  <c:v>24.988514732349788</c:v>
                </c:pt>
                <c:pt idx="1">
                  <c:v>24.906195850017358</c:v>
                </c:pt>
                <c:pt idx="2">
                  <c:v>24.837829805978828</c:v>
                </c:pt>
                <c:pt idx="3">
                  <c:v>24.91007896015682</c:v>
                </c:pt>
                <c:pt idx="4">
                  <c:v>24.953052920958243</c:v>
                </c:pt>
                <c:pt idx="5">
                  <c:v>25.021437466704523</c:v>
                </c:pt>
                <c:pt idx="6">
                  <c:v>25.531085388967448</c:v>
                </c:pt>
                <c:pt idx="7">
                  <c:v>25.09086168767459</c:v>
                </c:pt>
                <c:pt idx="8">
                  <c:v>25.296368260790739</c:v>
                </c:pt>
                <c:pt idx="9">
                  <c:v>24.733472484208917</c:v>
                </c:pt>
                <c:pt idx="10">
                  <c:v>24.922420111426081</c:v>
                </c:pt>
                <c:pt idx="11">
                  <c:v>25.065904420023127</c:v>
                </c:pt>
                <c:pt idx="12">
                  <c:v>25.174243285187799</c:v>
                </c:pt>
                <c:pt idx="13">
                  <c:v>25.105672657874901</c:v>
                </c:pt>
                <c:pt idx="14">
                  <c:v>25.21233214580737</c:v>
                </c:pt>
                <c:pt idx="15">
                  <c:v>25.647510971279051</c:v>
                </c:pt>
                <c:pt idx="16">
                  <c:v>25.652873845188314</c:v>
                </c:pt>
                <c:pt idx="17">
                  <c:v>24.963940112201264</c:v>
                </c:pt>
                <c:pt idx="18">
                  <c:v>24.937910794441553</c:v>
                </c:pt>
                <c:pt idx="19">
                  <c:v>25.248967046856112</c:v>
                </c:pt>
                <c:pt idx="20">
                  <c:v>25.122649350499195</c:v>
                </c:pt>
                <c:pt idx="21">
                  <c:v>25.231738786762385</c:v>
                </c:pt>
                <c:pt idx="22">
                  <c:v>25.252945755020729</c:v>
                </c:pt>
                <c:pt idx="23">
                  <c:v>24.776893568749312</c:v>
                </c:pt>
              </c:numCache>
            </c:numRef>
          </c:val>
          <c:smooth val="0"/>
          <c:extLst>
            <c:ext xmlns:c16="http://schemas.microsoft.com/office/drawing/2014/chart" uri="{C3380CC4-5D6E-409C-BE32-E72D297353CC}">
              <c16:uniqueId val="{00000001-4CE3-40E3-82D4-BC887ACBB674}"/>
            </c:ext>
          </c:extLst>
        </c:ser>
        <c:ser>
          <c:idx val="4"/>
          <c:order val="4"/>
          <c:tx>
            <c:strRef>
              <c:f>'CERTIFICADO '!$N$197</c:f>
              <c:strCache>
                <c:ptCount val="1"/>
                <c:pt idx="0">
                  <c:v>Temperatura de la cava</c:v>
                </c:pt>
              </c:strCache>
            </c:strRef>
          </c:tx>
          <c:spPr>
            <a:ln w="28575" cap="rnd">
              <a:solidFill>
                <a:schemeClr val="accent5"/>
              </a:solidFill>
              <a:round/>
            </a:ln>
            <a:effectLst/>
          </c:spPr>
          <c:marker>
            <c:symbol val="none"/>
          </c:marker>
          <c:cat>
            <c:numRef>
              <c:f>'CERTIFICADO '!$I$198:$I$221</c:f>
              <c:numCache>
                <c:formatCode>h:mm:ss;@</c:formatCode>
                <c:ptCount val="24"/>
                <c:pt idx="0">
                  <c:v>0.34553313093842608</c:v>
                </c:pt>
                <c:pt idx="1">
                  <c:v>0.34900535316064829</c:v>
                </c:pt>
                <c:pt idx="2">
                  <c:v>0.3524775753828705</c:v>
                </c:pt>
                <c:pt idx="3">
                  <c:v>0.35594979760509271</c:v>
                </c:pt>
                <c:pt idx="4">
                  <c:v>0.35942201982731492</c:v>
                </c:pt>
                <c:pt idx="5">
                  <c:v>0.36289424204953713</c:v>
                </c:pt>
                <c:pt idx="6">
                  <c:v>0.36636646427175934</c:v>
                </c:pt>
                <c:pt idx="7">
                  <c:v>0.36983868649398155</c:v>
                </c:pt>
                <c:pt idx="8">
                  <c:v>0.37331090871620376</c:v>
                </c:pt>
                <c:pt idx="9">
                  <c:v>0.37678313093842597</c:v>
                </c:pt>
                <c:pt idx="10">
                  <c:v>0.38025535316064818</c:v>
                </c:pt>
                <c:pt idx="11">
                  <c:v>0.38372757538287039</c:v>
                </c:pt>
                <c:pt idx="12">
                  <c:v>0.3871997976050926</c:v>
                </c:pt>
                <c:pt idx="13">
                  <c:v>0.39067201982731481</c:v>
                </c:pt>
                <c:pt idx="14">
                  <c:v>0.39414424204953702</c:v>
                </c:pt>
                <c:pt idx="15">
                  <c:v>0.39761646427175923</c:v>
                </c:pt>
                <c:pt idx="16">
                  <c:v>0.40108868649398144</c:v>
                </c:pt>
                <c:pt idx="17">
                  <c:v>0.40456090871620365</c:v>
                </c:pt>
                <c:pt idx="18">
                  <c:v>0.40803313093842586</c:v>
                </c:pt>
                <c:pt idx="19">
                  <c:v>0.41150535316064807</c:v>
                </c:pt>
                <c:pt idx="20">
                  <c:v>0.41497757538287028</c:v>
                </c:pt>
                <c:pt idx="21">
                  <c:v>0.41844979760509249</c:v>
                </c:pt>
                <c:pt idx="22">
                  <c:v>0.4219220198273147</c:v>
                </c:pt>
                <c:pt idx="23">
                  <c:v>0.42539424204953691</c:v>
                </c:pt>
              </c:numCache>
            </c:numRef>
          </c:cat>
          <c:val>
            <c:numRef>
              <c:f>'CERTIFICADO '!$N$198:$N$221</c:f>
              <c:numCache>
                <c:formatCode>0.0</c:formatCode>
                <c:ptCount val="24"/>
                <c:pt idx="0">
                  <c:v>22.1</c:v>
                </c:pt>
                <c:pt idx="1">
                  <c:v>7.7</c:v>
                </c:pt>
                <c:pt idx="2">
                  <c:v>7.4</c:v>
                </c:pt>
                <c:pt idx="3">
                  <c:v>7.1</c:v>
                </c:pt>
                <c:pt idx="4">
                  <c:v>6.8</c:v>
                </c:pt>
                <c:pt idx="5">
                  <c:v>6.5</c:v>
                </c:pt>
                <c:pt idx="6">
                  <c:v>6.2</c:v>
                </c:pt>
                <c:pt idx="7">
                  <c:v>5.9</c:v>
                </c:pt>
                <c:pt idx="8">
                  <c:v>5.6</c:v>
                </c:pt>
                <c:pt idx="9">
                  <c:v>5.3</c:v>
                </c:pt>
                <c:pt idx="10">
                  <c:v>5</c:v>
                </c:pt>
                <c:pt idx="11">
                  <c:v>4.7</c:v>
                </c:pt>
                <c:pt idx="12">
                  <c:v>4.4000000000000004</c:v>
                </c:pt>
                <c:pt idx="13">
                  <c:v>4.9000000000000004</c:v>
                </c:pt>
                <c:pt idx="14">
                  <c:v>5.4</c:v>
                </c:pt>
                <c:pt idx="15">
                  <c:v>5.7</c:v>
                </c:pt>
                <c:pt idx="16">
                  <c:v>5.8</c:v>
                </c:pt>
                <c:pt idx="17">
                  <c:v>6.4</c:v>
                </c:pt>
                <c:pt idx="18">
                  <c:v>6.8</c:v>
                </c:pt>
                <c:pt idx="19">
                  <c:v>7</c:v>
                </c:pt>
                <c:pt idx="20">
                  <c:v>7.2</c:v>
                </c:pt>
                <c:pt idx="21">
                  <c:v>7.6</c:v>
                </c:pt>
                <c:pt idx="22">
                  <c:v>8.4</c:v>
                </c:pt>
                <c:pt idx="23">
                  <c:v>8.6999999999999993</c:v>
                </c:pt>
              </c:numCache>
            </c:numRef>
          </c:val>
          <c:smooth val="0"/>
          <c:extLst>
            <c:ext xmlns:c16="http://schemas.microsoft.com/office/drawing/2014/chart" uri="{C3380CC4-5D6E-409C-BE32-E72D297353CC}">
              <c16:uniqueId val="{00000004-4CE3-40E3-82D4-BC887ACBB674}"/>
            </c:ext>
          </c:extLst>
        </c:ser>
        <c:dLbls>
          <c:showLegendKey val="0"/>
          <c:showVal val="0"/>
          <c:showCatName val="0"/>
          <c:showSerName val="0"/>
          <c:showPercent val="0"/>
          <c:showBubbleSize val="0"/>
        </c:dLbls>
        <c:smooth val="0"/>
        <c:axId val="1221129199"/>
        <c:axId val="1221122479"/>
        <c:extLst>
          <c:ext xmlns:c15="http://schemas.microsoft.com/office/drawing/2012/chart" uri="{02D57815-91ED-43cb-92C2-25804820EDAC}">
            <c15:filteredLineSeries>
              <c15:ser>
                <c:idx val="0"/>
                <c:order val="0"/>
                <c:tx>
                  <c:strRef>
                    <c:extLst>
                      <c:ext uri="{02D57815-91ED-43cb-92C2-25804820EDAC}">
                        <c15:formulaRef>
                          <c15:sqref>'CERTIFICADO '!$J$197</c15:sqref>
                        </c15:formulaRef>
                      </c:ext>
                    </c:extLst>
                    <c:strCache>
                      <c:ptCount val="1"/>
                    </c:strCache>
                  </c:strRef>
                </c:tx>
                <c:spPr>
                  <a:ln w="28575" cap="rnd">
                    <a:solidFill>
                      <a:schemeClr val="accent1"/>
                    </a:solidFill>
                    <a:round/>
                  </a:ln>
                  <a:effectLst/>
                </c:spPr>
                <c:marker>
                  <c:symbol val="none"/>
                </c:marker>
                <c:cat>
                  <c:numRef>
                    <c:extLst>
                      <c:ext uri="{02D57815-91ED-43cb-92C2-25804820EDAC}">
                        <c15:formulaRef>
                          <c15:sqref>'CERTIFICADO '!$I$198:$I$221</c15:sqref>
                        </c15:formulaRef>
                      </c:ext>
                    </c:extLst>
                    <c:numCache>
                      <c:formatCode>h:mm:ss;@</c:formatCode>
                      <c:ptCount val="24"/>
                      <c:pt idx="0">
                        <c:v>0.34553313093842608</c:v>
                      </c:pt>
                      <c:pt idx="1">
                        <c:v>0.34900535316064829</c:v>
                      </c:pt>
                      <c:pt idx="2">
                        <c:v>0.3524775753828705</c:v>
                      </c:pt>
                      <c:pt idx="3">
                        <c:v>0.35594979760509271</c:v>
                      </c:pt>
                      <c:pt idx="4">
                        <c:v>0.35942201982731492</c:v>
                      </c:pt>
                      <c:pt idx="5">
                        <c:v>0.36289424204953713</c:v>
                      </c:pt>
                      <c:pt idx="6">
                        <c:v>0.36636646427175934</c:v>
                      </c:pt>
                      <c:pt idx="7">
                        <c:v>0.36983868649398155</c:v>
                      </c:pt>
                      <c:pt idx="8">
                        <c:v>0.37331090871620376</c:v>
                      </c:pt>
                      <c:pt idx="9">
                        <c:v>0.37678313093842597</c:v>
                      </c:pt>
                      <c:pt idx="10">
                        <c:v>0.38025535316064818</c:v>
                      </c:pt>
                      <c:pt idx="11">
                        <c:v>0.38372757538287039</c:v>
                      </c:pt>
                      <c:pt idx="12">
                        <c:v>0.3871997976050926</c:v>
                      </c:pt>
                      <c:pt idx="13">
                        <c:v>0.39067201982731481</c:v>
                      </c:pt>
                      <c:pt idx="14">
                        <c:v>0.39414424204953702</c:v>
                      </c:pt>
                      <c:pt idx="15">
                        <c:v>0.39761646427175923</c:v>
                      </c:pt>
                      <c:pt idx="16">
                        <c:v>0.40108868649398144</c:v>
                      </c:pt>
                      <c:pt idx="17">
                        <c:v>0.40456090871620365</c:v>
                      </c:pt>
                      <c:pt idx="18">
                        <c:v>0.40803313093842586</c:v>
                      </c:pt>
                      <c:pt idx="19">
                        <c:v>0.41150535316064807</c:v>
                      </c:pt>
                      <c:pt idx="20">
                        <c:v>0.41497757538287028</c:v>
                      </c:pt>
                      <c:pt idx="21">
                        <c:v>0.41844979760509249</c:v>
                      </c:pt>
                      <c:pt idx="22">
                        <c:v>0.4219220198273147</c:v>
                      </c:pt>
                      <c:pt idx="23">
                        <c:v>0.42539424204953691</c:v>
                      </c:pt>
                    </c:numCache>
                  </c:numRef>
                </c:cat>
                <c:val>
                  <c:numRef>
                    <c:extLst>
                      <c:ext uri="{02D57815-91ED-43cb-92C2-25804820EDAC}">
                        <c15:formulaRef>
                          <c15:sqref>'CERTIFICADO '!$J$198:$J$221</c15:sqref>
                        </c15:formulaRef>
                      </c:ext>
                    </c:extLst>
                    <c:numCache>
                      <c:formatCode>h:mm:ss;@</c:formatCode>
                      <c:ptCount val="24"/>
                    </c:numCache>
                  </c:numRef>
                </c:val>
                <c:smooth val="0"/>
                <c:extLst>
                  <c:ext xmlns:c16="http://schemas.microsoft.com/office/drawing/2014/chart" uri="{C3380CC4-5D6E-409C-BE32-E72D297353CC}">
                    <c16:uniqueId val="{00000000-4CE3-40E3-82D4-BC887ACBB67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'CERTIFICADO '!$L$197</c15:sqref>
                        </c15:formulaRef>
                      </c:ext>
                    </c:extLst>
                    <c:strCache>
                      <c:ptCount val="1"/>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'CERTIFICADO '!$I$198:$I$221</c15:sqref>
                        </c15:formulaRef>
                      </c:ext>
                    </c:extLst>
                    <c:numCache>
                      <c:formatCode>h:mm:ss;@</c:formatCode>
                      <c:ptCount val="24"/>
                      <c:pt idx="0">
                        <c:v>0.34553313093842608</c:v>
                      </c:pt>
                      <c:pt idx="1">
                        <c:v>0.34900535316064829</c:v>
                      </c:pt>
                      <c:pt idx="2">
                        <c:v>0.3524775753828705</c:v>
                      </c:pt>
                      <c:pt idx="3">
                        <c:v>0.35594979760509271</c:v>
                      </c:pt>
                      <c:pt idx="4">
                        <c:v>0.35942201982731492</c:v>
                      </c:pt>
                      <c:pt idx="5">
                        <c:v>0.36289424204953713</c:v>
                      </c:pt>
                      <c:pt idx="6">
                        <c:v>0.36636646427175934</c:v>
                      </c:pt>
                      <c:pt idx="7">
                        <c:v>0.36983868649398155</c:v>
                      </c:pt>
                      <c:pt idx="8">
                        <c:v>0.37331090871620376</c:v>
                      </c:pt>
                      <c:pt idx="9">
                        <c:v>0.37678313093842597</c:v>
                      </c:pt>
                      <c:pt idx="10">
                        <c:v>0.38025535316064818</c:v>
                      </c:pt>
                      <c:pt idx="11">
                        <c:v>0.38372757538287039</c:v>
                      </c:pt>
                      <c:pt idx="12">
                        <c:v>0.3871997976050926</c:v>
                      </c:pt>
                      <c:pt idx="13">
                        <c:v>0.39067201982731481</c:v>
                      </c:pt>
                      <c:pt idx="14">
                        <c:v>0.39414424204953702</c:v>
                      </c:pt>
                      <c:pt idx="15">
                        <c:v>0.39761646427175923</c:v>
                      </c:pt>
                      <c:pt idx="16">
                        <c:v>0.40108868649398144</c:v>
                      </c:pt>
                      <c:pt idx="17">
                        <c:v>0.40456090871620365</c:v>
                      </c:pt>
                      <c:pt idx="18">
                        <c:v>0.40803313093842586</c:v>
                      </c:pt>
                      <c:pt idx="19">
                        <c:v>0.41150535316064807</c:v>
                      </c:pt>
                      <c:pt idx="20">
                        <c:v>0.41497757538287028</c:v>
                      </c:pt>
                      <c:pt idx="21">
                        <c:v>0.41844979760509249</c:v>
                      </c:pt>
                      <c:pt idx="22">
                        <c:v>0.4219220198273147</c:v>
                      </c:pt>
                      <c:pt idx="23">
                        <c:v>0.42539424204953691</c:v>
                      </c:pt>
                    </c:numCache>
                  </c:numRef>
                </c:cat>
                <c:val>
                  <c:numRef>
                    <c:extLst xmlns:c15="http://schemas.microsoft.com/office/drawing/2012/chart">
                      <c:ext xmlns:c15="http://schemas.microsoft.com/office/drawing/2012/chart" uri="{02D57815-91ED-43cb-92C2-25804820EDAC}">
                        <c15:formulaRef>
                          <c15:sqref>'CERTIFICADO '!$L$198:$L$221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2-4CE3-40E3-82D4-BC887ACBB67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'CERTIFICADO '!$M$197</c15:sqref>
                        </c15:formulaRef>
                      </c:ext>
                    </c:extLst>
                    <c:strCache>
                      <c:ptCount val="1"/>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'CERTIFICADO '!$I$198:$I$221</c15:sqref>
                        </c15:formulaRef>
                      </c:ext>
                    </c:extLst>
                    <c:numCache>
                      <c:formatCode>h:mm:ss;@</c:formatCode>
                      <c:ptCount val="24"/>
                      <c:pt idx="0">
                        <c:v>0.34553313093842608</c:v>
                      </c:pt>
                      <c:pt idx="1">
                        <c:v>0.34900535316064829</c:v>
                      </c:pt>
                      <c:pt idx="2">
                        <c:v>0.3524775753828705</c:v>
                      </c:pt>
                      <c:pt idx="3">
                        <c:v>0.35594979760509271</c:v>
                      </c:pt>
                      <c:pt idx="4">
                        <c:v>0.35942201982731492</c:v>
                      </c:pt>
                      <c:pt idx="5">
                        <c:v>0.36289424204953713</c:v>
                      </c:pt>
                      <c:pt idx="6">
                        <c:v>0.36636646427175934</c:v>
                      </c:pt>
                      <c:pt idx="7">
                        <c:v>0.36983868649398155</c:v>
                      </c:pt>
                      <c:pt idx="8">
                        <c:v>0.37331090871620376</c:v>
                      </c:pt>
                      <c:pt idx="9">
                        <c:v>0.37678313093842597</c:v>
                      </c:pt>
                      <c:pt idx="10">
                        <c:v>0.38025535316064818</c:v>
                      </c:pt>
                      <c:pt idx="11">
                        <c:v>0.38372757538287039</c:v>
                      </c:pt>
                      <c:pt idx="12">
                        <c:v>0.3871997976050926</c:v>
                      </c:pt>
                      <c:pt idx="13">
                        <c:v>0.39067201982731481</c:v>
                      </c:pt>
                      <c:pt idx="14">
                        <c:v>0.39414424204953702</c:v>
                      </c:pt>
                      <c:pt idx="15">
                        <c:v>0.39761646427175923</c:v>
                      </c:pt>
                      <c:pt idx="16">
                        <c:v>0.40108868649398144</c:v>
                      </c:pt>
                      <c:pt idx="17">
                        <c:v>0.40456090871620365</c:v>
                      </c:pt>
                      <c:pt idx="18">
                        <c:v>0.40803313093842586</c:v>
                      </c:pt>
                      <c:pt idx="19">
                        <c:v>0.41150535316064807</c:v>
                      </c:pt>
                      <c:pt idx="20">
                        <c:v>0.41497757538287028</c:v>
                      </c:pt>
                      <c:pt idx="21">
                        <c:v>0.41844979760509249</c:v>
                      </c:pt>
                      <c:pt idx="22">
                        <c:v>0.4219220198273147</c:v>
                      </c:pt>
                      <c:pt idx="23">
                        <c:v>0.42539424204953691</c:v>
                      </c:pt>
                    </c:numCache>
                  </c:numRef>
                </c:cat>
                <c:val>
                  <c:numRef>
                    <c:extLst xmlns:c15="http://schemas.microsoft.com/office/drawing/2012/chart">
                      <c:ext xmlns:c15="http://schemas.microsoft.com/office/drawing/2012/chart" uri="{02D57815-91ED-43cb-92C2-25804820EDAC}">
                        <c15:formulaRef>
                          <c15:sqref>'CERTIFICADO '!$M$198:$M$221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3-4CE3-40E3-82D4-BC887ACBB67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'CERTIFICADO '!$O$197</c15:sqref>
                        </c15:formulaRef>
                      </c:ext>
                    </c:extLst>
                    <c:strCache>
                      <c:ptCount val="1"/>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'CERTIFICADO '!$I$198:$I$221</c15:sqref>
                        </c15:formulaRef>
                      </c:ext>
                    </c:extLst>
                    <c:numCache>
                      <c:formatCode>h:mm:ss;@</c:formatCode>
                      <c:ptCount val="24"/>
                      <c:pt idx="0">
                        <c:v>0.34553313093842608</c:v>
                      </c:pt>
                      <c:pt idx="1">
                        <c:v>0.34900535316064829</c:v>
                      </c:pt>
                      <c:pt idx="2">
                        <c:v>0.3524775753828705</c:v>
                      </c:pt>
                      <c:pt idx="3">
                        <c:v>0.35594979760509271</c:v>
                      </c:pt>
                      <c:pt idx="4">
                        <c:v>0.35942201982731492</c:v>
                      </c:pt>
                      <c:pt idx="5">
                        <c:v>0.36289424204953713</c:v>
                      </c:pt>
                      <c:pt idx="6">
                        <c:v>0.36636646427175934</c:v>
                      </c:pt>
                      <c:pt idx="7">
                        <c:v>0.36983868649398155</c:v>
                      </c:pt>
                      <c:pt idx="8">
                        <c:v>0.37331090871620376</c:v>
                      </c:pt>
                      <c:pt idx="9">
                        <c:v>0.37678313093842597</c:v>
                      </c:pt>
                      <c:pt idx="10">
                        <c:v>0.38025535316064818</c:v>
                      </c:pt>
                      <c:pt idx="11">
                        <c:v>0.38372757538287039</c:v>
                      </c:pt>
                      <c:pt idx="12">
                        <c:v>0.3871997976050926</c:v>
                      </c:pt>
                      <c:pt idx="13">
                        <c:v>0.39067201982731481</c:v>
                      </c:pt>
                      <c:pt idx="14">
                        <c:v>0.39414424204953702</c:v>
                      </c:pt>
                      <c:pt idx="15">
                        <c:v>0.39761646427175923</c:v>
                      </c:pt>
                      <c:pt idx="16">
                        <c:v>0.40108868649398144</c:v>
                      </c:pt>
                      <c:pt idx="17">
                        <c:v>0.40456090871620365</c:v>
                      </c:pt>
                      <c:pt idx="18">
                        <c:v>0.40803313093842586</c:v>
                      </c:pt>
                      <c:pt idx="19">
                        <c:v>0.41150535316064807</c:v>
                      </c:pt>
                      <c:pt idx="20">
                        <c:v>0.41497757538287028</c:v>
                      </c:pt>
                      <c:pt idx="21">
                        <c:v>0.41844979760509249</c:v>
                      </c:pt>
                      <c:pt idx="22">
                        <c:v>0.4219220198273147</c:v>
                      </c:pt>
                      <c:pt idx="23">
                        <c:v>0.42539424204953691</c:v>
                      </c:pt>
                    </c:numCache>
                  </c:numRef>
                </c:cat>
                <c:val>
                  <c:numRef>
                    <c:extLst xmlns:c15="http://schemas.microsoft.com/office/drawing/2012/chart">
                      <c:ext xmlns:c15="http://schemas.microsoft.com/office/drawing/2012/chart" uri="{02D57815-91ED-43cb-92C2-25804820EDAC}">
                        <c15:formulaRef>
                          <c15:sqref>'CERTIFICADO '!$O$198:$O$221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5-4CE3-40E3-82D4-BC887ACBB67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'CERTIFICADO '!$P$197</c15:sqref>
                        </c15:formulaRef>
                      </c:ext>
                    </c:extLst>
                    <c:strCache>
                      <c:ptCount val="1"/>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'!$I$198:$I$221</c15:sqref>
                        </c15:formulaRef>
                      </c:ext>
                    </c:extLst>
                    <c:numCache>
                      <c:formatCode>h:mm:ss;@</c:formatCode>
                      <c:ptCount val="24"/>
                      <c:pt idx="0">
                        <c:v>0.34553313093842608</c:v>
                      </c:pt>
                      <c:pt idx="1">
                        <c:v>0.34900535316064829</c:v>
                      </c:pt>
                      <c:pt idx="2">
                        <c:v>0.3524775753828705</c:v>
                      </c:pt>
                      <c:pt idx="3">
                        <c:v>0.35594979760509271</c:v>
                      </c:pt>
                      <c:pt idx="4">
                        <c:v>0.35942201982731492</c:v>
                      </c:pt>
                      <c:pt idx="5">
                        <c:v>0.36289424204953713</c:v>
                      </c:pt>
                      <c:pt idx="6">
                        <c:v>0.36636646427175934</c:v>
                      </c:pt>
                      <c:pt idx="7">
                        <c:v>0.36983868649398155</c:v>
                      </c:pt>
                      <c:pt idx="8">
                        <c:v>0.37331090871620376</c:v>
                      </c:pt>
                      <c:pt idx="9">
                        <c:v>0.37678313093842597</c:v>
                      </c:pt>
                      <c:pt idx="10">
                        <c:v>0.38025535316064818</c:v>
                      </c:pt>
                      <c:pt idx="11">
                        <c:v>0.38372757538287039</c:v>
                      </c:pt>
                      <c:pt idx="12">
                        <c:v>0.3871997976050926</c:v>
                      </c:pt>
                      <c:pt idx="13">
                        <c:v>0.39067201982731481</c:v>
                      </c:pt>
                      <c:pt idx="14">
                        <c:v>0.39414424204953702</c:v>
                      </c:pt>
                      <c:pt idx="15">
                        <c:v>0.39761646427175923</c:v>
                      </c:pt>
                      <c:pt idx="16">
                        <c:v>0.40108868649398144</c:v>
                      </c:pt>
                      <c:pt idx="17">
                        <c:v>0.40456090871620365</c:v>
                      </c:pt>
                      <c:pt idx="18">
                        <c:v>0.40803313093842586</c:v>
                      </c:pt>
                      <c:pt idx="19">
                        <c:v>0.41150535316064807</c:v>
                      </c:pt>
                      <c:pt idx="20">
                        <c:v>0.41497757538287028</c:v>
                      </c:pt>
                      <c:pt idx="21">
                        <c:v>0.41844979760509249</c:v>
                      </c:pt>
                      <c:pt idx="22">
                        <c:v>0.4219220198273147</c:v>
                      </c:pt>
                      <c:pt idx="23">
                        <c:v>0.42539424204953691</c:v>
                      </c:pt>
                    </c:numCache>
                  </c:numRef>
                </c:cat>
                <c:val>
                  <c:numRef>
                    <c:extLst xmlns:c15="http://schemas.microsoft.com/office/drawing/2012/chart">
                      <c:ext xmlns:c15="http://schemas.microsoft.com/office/drawing/2012/chart" uri="{02D57815-91ED-43cb-92C2-25804820EDAC}">
                        <c15:formulaRef>
                          <c15:sqref>'CERTIFICADO '!$P$198:$P$221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6-4CE3-40E3-82D4-BC887ACBB674}"/>
                  </c:ext>
                </c:extLst>
              </c15:ser>
            </c15:filteredLineSeries>
          </c:ext>
        </c:extLst>
      </c:lineChart>
      <c:catAx>
        <c:axId val="12211291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a:t>
                </a:r>
              </a:p>
            </c:rich>
          </c:tx>
          <c:layout>
            <c:manualLayout>
              <c:xMode val="edge"/>
              <c:yMode val="edge"/>
              <c:x val="0.45299416294337252"/>
              <c:y val="0.8237029746281714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21122479"/>
        <c:crosses val="autoZero"/>
        <c:auto val="1"/>
        <c:lblAlgn val="ctr"/>
        <c:lblOffset val="100"/>
        <c:noMultiLvlLbl val="0"/>
      </c:catAx>
      <c:valAx>
        <c:axId val="122112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Temperatura (°C)</a:t>
                </a:r>
              </a:p>
            </c:rich>
          </c:tx>
          <c:layout>
            <c:manualLayout>
              <c:xMode val="edge"/>
              <c:yMode val="edge"/>
              <c:x val="2.1204410517387615E-2"/>
              <c:y val="0.2383304170312044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21129199"/>
        <c:crosses val="autoZero"/>
        <c:crossBetween val="between"/>
        <c:majorUnit val="4"/>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'CERTIFICADO '!$I$276</c:f>
              <c:strCache>
                <c:ptCount val="1"/>
                <c:pt idx="0">
                  <c:v>Temperatura ambiente</c:v>
                </c:pt>
              </c:strCache>
            </c:strRef>
          </c:tx>
          <c:spPr>
            <a:ln w="28575" cap="rnd">
              <a:solidFill>
                <a:schemeClr val="accent2"/>
              </a:solidFill>
              <a:round/>
            </a:ln>
            <a:effectLst/>
          </c:spPr>
          <c:marker>
            <c:symbol val="none"/>
          </c:marker>
          <c:cat>
            <c:numRef>
              <c:f>'CERTIFICADO '!$G$277:$G$300</c:f>
              <c:numCache>
                <c:formatCode>h:mm:ss</c:formatCode>
                <c:ptCount val="24"/>
                <c:pt idx="0">
                  <c:v>0.4392831309384258</c:v>
                </c:pt>
                <c:pt idx="1">
                  <c:v>0.44275535316064801</c:v>
                </c:pt>
                <c:pt idx="2">
                  <c:v>0.44622757538287022</c:v>
                </c:pt>
                <c:pt idx="3">
                  <c:v>0.44969979760509243</c:v>
                </c:pt>
                <c:pt idx="4">
                  <c:v>0.45317201982731464</c:v>
                </c:pt>
                <c:pt idx="5">
                  <c:v>0.45664424204953685</c:v>
                </c:pt>
                <c:pt idx="6">
                  <c:v>0.46011646427175906</c:v>
                </c:pt>
                <c:pt idx="7">
                  <c:v>0.46358868649398127</c:v>
                </c:pt>
                <c:pt idx="8">
                  <c:v>0.46706090871620348</c:v>
                </c:pt>
                <c:pt idx="9">
                  <c:v>0.47053313093842569</c:v>
                </c:pt>
                <c:pt idx="10">
                  <c:v>0.4740053531606479</c:v>
                </c:pt>
                <c:pt idx="11">
                  <c:v>0.47747757538287011</c:v>
                </c:pt>
                <c:pt idx="12">
                  <c:v>0.48094979760509232</c:v>
                </c:pt>
                <c:pt idx="13">
                  <c:v>0.48442201982731453</c:v>
                </c:pt>
                <c:pt idx="14">
                  <c:v>0.48789424204953674</c:v>
                </c:pt>
                <c:pt idx="15">
                  <c:v>0.49136646427175895</c:v>
                </c:pt>
                <c:pt idx="16">
                  <c:v>0.49483868649398116</c:v>
                </c:pt>
                <c:pt idx="17">
                  <c:v>0.49831090871620337</c:v>
                </c:pt>
                <c:pt idx="18">
                  <c:v>0.50178313093842564</c:v>
                </c:pt>
                <c:pt idx="19">
                  <c:v>0.50525535316064785</c:v>
                </c:pt>
                <c:pt idx="20">
                  <c:v>0.50872757538287006</c:v>
                </c:pt>
                <c:pt idx="21">
                  <c:v>0.51219979760509227</c:v>
                </c:pt>
                <c:pt idx="22">
                  <c:v>0.51567201982731448</c:v>
                </c:pt>
                <c:pt idx="23">
                  <c:v>0.51914424204953669</c:v>
                </c:pt>
              </c:numCache>
            </c:numRef>
          </c:cat>
          <c:val>
            <c:numRef>
              <c:f>'CERTIFICADO '!$I$277:$I$300</c:f>
              <c:numCache>
                <c:formatCode>0.0</c:formatCode>
                <c:ptCount val="24"/>
                <c:pt idx="0">
                  <c:v>24.757806614107178</c:v>
                </c:pt>
                <c:pt idx="1">
                  <c:v>24.948073254283134</c:v>
                </c:pt>
                <c:pt idx="2">
                  <c:v>24.797567220495559</c:v>
                </c:pt>
                <c:pt idx="3">
                  <c:v>25.483460971945362</c:v>
                </c:pt>
                <c:pt idx="4">
                  <c:v>25.483750863380489</c:v>
                </c:pt>
                <c:pt idx="5">
                  <c:v>24.991049853786013</c:v>
                </c:pt>
                <c:pt idx="6">
                  <c:v>25.245566602312678</c:v>
                </c:pt>
                <c:pt idx="7">
                  <c:v>24.757996049688337</c:v>
                </c:pt>
                <c:pt idx="8">
                  <c:v>25.074666646875272</c:v>
                </c:pt>
                <c:pt idx="9">
                  <c:v>24.503238459392854</c:v>
                </c:pt>
                <c:pt idx="10">
                  <c:v>25.394758495824949</c:v>
                </c:pt>
                <c:pt idx="11">
                  <c:v>25.245734980047004</c:v>
                </c:pt>
                <c:pt idx="12">
                  <c:v>25.486064609493816</c:v>
                </c:pt>
                <c:pt idx="13">
                  <c:v>25.020883561427969</c:v>
                </c:pt>
                <c:pt idx="14">
                  <c:v>25.141770900000996</c:v>
                </c:pt>
                <c:pt idx="15">
                  <c:v>25.163510729120599</c:v>
                </c:pt>
                <c:pt idx="16">
                  <c:v>25.347490038357812</c:v>
                </c:pt>
                <c:pt idx="17">
                  <c:v>25.481513461772721</c:v>
                </c:pt>
                <c:pt idx="18">
                  <c:v>25.199745419657948</c:v>
                </c:pt>
                <c:pt idx="19">
                  <c:v>24.930106905030847</c:v>
                </c:pt>
                <c:pt idx="20">
                  <c:v>25.408690489348452</c:v>
                </c:pt>
                <c:pt idx="21">
                  <c:v>24.576181883158096</c:v>
                </c:pt>
                <c:pt idx="22">
                  <c:v>25.250363844685506</c:v>
                </c:pt>
                <c:pt idx="23">
                  <c:v>24.923741232693086</c:v>
                </c:pt>
              </c:numCache>
            </c:numRef>
          </c:val>
          <c:smooth val="0"/>
          <c:extLst>
            <c:ext xmlns:c16="http://schemas.microsoft.com/office/drawing/2014/chart" uri="{C3380CC4-5D6E-409C-BE32-E72D297353CC}">
              <c16:uniqueId val="{00000001-4091-4BCD-B1D8-9262521A7B5C}"/>
            </c:ext>
          </c:extLst>
        </c:ser>
        <c:ser>
          <c:idx val="4"/>
          <c:order val="4"/>
          <c:tx>
            <c:strRef>
              <c:f>'CERTIFICADO '!$L$276</c:f>
              <c:strCache>
                <c:ptCount val="1"/>
                <c:pt idx="0">
                  <c:v>Temperatura de la cava</c:v>
                </c:pt>
              </c:strCache>
            </c:strRef>
          </c:tx>
          <c:spPr>
            <a:ln w="28575" cap="rnd">
              <a:solidFill>
                <a:schemeClr val="accent5"/>
              </a:solidFill>
              <a:round/>
            </a:ln>
            <a:effectLst/>
          </c:spPr>
          <c:marker>
            <c:symbol val="none"/>
          </c:marker>
          <c:cat>
            <c:numRef>
              <c:f>'CERTIFICADO '!$G$277:$G$300</c:f>
              <c:numCache>
                <c:formatCode>h:mm:ss</c:formatCode>
                <c:ptCount val="24"/>
                <c:pt idx="0">
                  <c:v>0.4392831309384258</c:v>
                </c:pt>
                <c:pt idx="1">
                  <c:v>0.44275535316064801</c:v>
                </c:pt>
                <c:pt idx="2">
                  <c:v>0.44622757538287022</c:v>
                </c:pt>
                <c:pt idx="3">
                  <c:v>0.44969979760509243</c:v>
                </c:pt>
                <c:pt idx="4">
                  <c:v>0.45317201982731464</c:v>
                </c:pt>
                <c:pt idx="5">
                  <c:v>0.45664424204953685</c:v>
                </c:pt>
                <c:pt idx="6">
                  <c:v>0.46011646427175906</c:v>
                </c:pt>
                <c:pt idx="7">
                  <c:v>0.46358868649398127</c:v>
                </c:pt>
                <c:pt idx="8">
                  <c:v>0.46706090871620348</c:v>
                </c:pt>
                <c:pt idx="9">
                  <c:v>0.47053313093842569</c:v>
                </c:pt>
                <c:pt idx="10">
                  <c:v>0.4740053531606479</c:v>
                </c:pt>
                <c:pt idx="11">
                  <c:v>0.47747757538287011</c:v>
                </c:pt>
                <c:pt idx="12">
                  <c:v>0.48094979760509232</c:v>
                </c:pt>
                <c:pt idx="13">
                  <c:v>0.48442201982731453</c:v>
                </c:pt>
                <c:pt idx="14">
                  <c:v>0.48789424204953674</c:v>
                </c:pt>
                <c:pt idx="15">
                  <c:v>0.49136646427175895</c:v>
                </c:pt>
                <c:pt idx="16">
                  <c:v>0.49483868649398116</c:v>
                </c:pt>
                <c:pt idx="17">
                  <c:v>0.49831090871620337</c:v>
                </c:pt>
                <c:pt idx="18">
                  <c:v>0.50178313093842564</c:v>
                </c:pt>
                <c:pt idx="19">
                  <c:v>0.50525535316064785</c:v>
                </c:pt>
                <c:pt idx="20">
                  <c:v>0.50872757538287006</c:v>
                </c:pt>
                <c:pt idx="21">
                  <c:v>0.51219979760509227</c:v>
                </c:pt>
                <c:pt idx="22">
                  <c:v>0.51567201982731448</c:v>
                </c:pt>
                <c:pt idx="23">
                  <c:v>0.51914424204953669</c:v>
                </c:pt>
              </c:numCache>
            </c:numRef>
          </c:cat>
          <c:val>
            <c:numRef>
              <c:f>'CERTIFICADO '!$L$277:$L$300</c:f>
              <c:numCache>
                <c:formatCode>0.0</c:formatCode>
                <c:ptCount val="24"/>
                <c:pt idx="0">
                  <c:v>20.2</c:v>
                </c:pt>
                <c:pt idx="1">
                  <c:v>7.5</c:v>
                </c:pt>
                <c:pt idx="2">
                  <c:v>7.2</c:v>
                </c:pt>
                <c:pt idx="3">
                  <c:v>6.9</c:v>
                </c:pt>
                <c:pt idx="4">
                  <c:v>6.6</c:v>
                </c:pt>
                <c:pt idx="5">
                  <c:v>6.3</c:v>
                </c:pt>
                <c:pt idx="6">
                  <c:v>6</c:v>
                </c:pt>
                <c:pt idx="7">
                  <c:v>5.7</c:v>
                </c:pt>
                <c:pt idx="8">
                  <c:v>5.4</c:v>
                </c:pt>
                <c:pt idx="9">
                  <c:v>5.0999999999999996</c:v>
                </c:pt>
                <c:pt idx="10">
                  <c:v>4.8</c:v>
                </c:pt>
                <c:pt idx="11">
                  <c:v>4.5</c:v>
                </c:pt>
                <c:pt idx="12">
                  <c:v>4.2</c:v>
                </c:pt>
                <c:pt idx="13">
                  <c:v>3.9</c:v>
                </c:pt>
                <c:pt idx="14">
                  <c:v>4.2</c:v>
                </c:pt>
                <c:pt idx="15">
                  <c:v>4.3</c:v>
                </c:pt>
                <c:pt idx="16">
                  <c:v>4.8</c:v>
                </c:pt>
                <c:pt idx="17">
                  <c:v>5</c:v>
                </c:pt>
                <c:pt idx="18">
                  <c:v>5.3</c:v>
                </c:pt>
                <c:pt idx="19">
                  <c:v>5.8</c:v>
                </c:pt>
                <c:pt idx="20">
                  <c:v>6.3</c:v>
                </c:pt>
                <c:pt idx="21">
                  <c:v>6.4</c:v>
                </c:pt>
                <c:pt idx="22">
                  <c:v>8.6999999999999993</c:v>
                </c:pt>
                <c:pt idx="23">
                  <c:v>9.1</c:v>
                </c:pt>
              </c:numCache>
            </c:numRef>
          </c:val>
          <c:smooth val="0"/>
          <c:extLst>
            <c:ext xmlns:c16="http://schemas.microsoft.com/office/drawing/2014/chart" uri="{C3380CC4-5D6E-409C-BE32-E72D297353CC}">
              <c16:uniqueId val="{00000004-4091-4BCD-B1D8-9262521A7B5C}"/>
            </c:ext>
          </c:extLst>
        </c:ser>
        <c:ser>
          <c:idx val="7"/>
          <c:order val="7"/>
          <c:tx>
            <c:strRef>
              <c:f>'CERTIFICADO '!$O$276</c:f>
              <c:strCache>
                <c:ptCount val="1"/>
                <c:pt idx="0">
                  <c:v>Temperatura de carga</c:v>
                </c:pt>
              </c:strCache>
            </c:strRef>
          </c:tx>
          <c:spPr>
            <a:ln w="28575" cap="rnd">
              <a:solidFill>
                <a:schemeClr val="accent2">
                  <a:lumMod val="60000"/>
                </a:schemeClr>
              </a:solidFill>
              <a:round/>
            </a:ln>
            <a:effectLst/>
          </c:spPr>
          <c:marker>
            <c:symbol val="none"/>
          </c:marker>
          <c:cat>
            <c:numRef>
              <c:f>'CERTIFICADO '!$G$277:$G$300</c:f>
              <c:numCache>
                <c:formatCode>h:mm:ss</c:formatCode>
                <c:ptCount val="24"/>
                <c:pt idx="0">
                  <c:v>0.4392831309384258</c:v>
                </c:pt>
                <c:pt idx="1">
                  <c:v>0.44275535316064801</c:v>
                </c:pt>
                <c:pt idx="2">
                  <c:v>0.44622757538287022</c:v>
                </c:pt>
                <c:pt idx="3">
                  <c:v>0.44969979760509243</c:v>
                </c:pt>
                <c:pt idx="4">
                  <c:v>0.45317201982731464</c:v>
                </c:pt>
                <c:pt idx="5">
                  <c:v>0.45664424204953685</c:v>
                </c:pt>
                <c:pt idx="6">
                  <c:v>0.46011646427175906</c:v>
                </c:pt>
                <c:pt idx="7">
                  <c:v>0.46358868649398127</c:v>
                </c:pt>
                <c:pt idx="8">
                  <c:v>0.46706090871620348</c:v>
                </c:pt>
                <c:pt idx="9">
                  <c:v>0.47053313093842569</c:v>
                </c:pt>
                <c:pt idx="10">
                  <c:v>0.4740053531606479</c:v>
                </c:pt>
                <c:pt idx="11">
                  <c:v>0.47747757538287011</c:v>
                </c:pt>
                <c:pt idx="12">
                  <c:v>0.48094979760509232</c:v>
                </c:pt>
                <c:pt idx="13">
                  <c:v>0.48442201982731453</c:v>
                </c:pt>
                <c:pt idx="14">
                  <c:v>0.48789424204953674</c:v>
                </c:pt>
                <c:pt idx="15">
                  <c:v>0.49136646427175895</c:v>
                </c:pt>
                <c:pt idx="16">
                  <c:v>0.49483868649398116</c:v>
                </c:pt>
                <c:pt idx="17">
                  <c:v>0.49831090871620337</c:v>
                </c:pt>
                <c:pt idx="18">
                  <c:v>0.50178313093842564</c:v>
                </c:pt>
                <c:pt idx="19">
                  <c:v>0.50525535316064785</c:v>
                </c:pt>
                <c:pt idx="20">
                  <c:v>0.50872757538287006</c:v>
                </c:pt>
                <c:pt idx="21">
                  <c:v>0.51219979760509227</c:v>
                </c:pt>
                <c:pt idx="22">
                  <c:v>0.51567201982731448</c:v>
                </c:pt>
                <c:pt idx="23">
                  <c:v>0.51914424204953669</c:v>
                </c:pt>
              </c:numCache>
            </c:numRef>
          </c:cat>
          <c:val>
            <c:numRef>
              <c:f>'CERTIFICADO '!$O$277:$O$300</c:f>
              <c:numCache>
                <c:formatCode>0.0</c:formatCode>
                <c:ptCount val="24"/>
                <c:pt idx="0">
                  <c:v>19.906637526200381</c:v>
                </c:pt>
                <c:pt idx="1">
                  <c:v>6.9956165179012393</c:v>
                </c:pt>
                <c:pt idx="2">
                  <c:v>6.9425609670089523</c:v>
                </c:pt>
                <c:pt idx="3">
                  <c:v>6.3665247440672541</c:v>
                </c:pt>
                <c:pt idx="4">
                  <c:v>6.0238630784358929</c:v>
                </c:pt>
                <c:pt idx="5">
                  <c:v>6.0575227445688933</c:v>
                </c:pt>
                <c:pt idx="6">
                  <c:v>5.4821303422436998</c:v>
                </c:pt>
                <c:pt idx="7">
                  <c:v>5.3816666825278707</c:v>
                </c:pt>
                <c:pt idx="8">
                  <c:v>4.9122659775141972</c:v>
                </c:pt>
                <c:pt idx="9">
                  <c:v>4.8877228672035908</c:v>
                </c:pt>
                <c:pt idx="10">
                  <c:v>4.5013038190112624</c:v>
                </c:pt>
                <c:pt idx="11">
                  <c:v>3.9283279989503761</c:v>
                </c:pt>
                <c:pt idx="12">
                  <c:v>3.933633443084152</c:v>
                </c:pt>
                <c:pt idx="13">
                  <c:v>3.4530995176991754</c:v>
                </c:pt>
                <c:pt idx="14">
                  <c:v>3.6124325473039551</c:v>
                </c:pt>
                <c:pt idx="15">
                  <c:v>4.0290799629084262</c:v>
                </c:pt>
                <c:pt idx="16">
                  <c:v>4.5693039788367793</c:v>
                </c:pt>
                <c:pt idx="17">
                  <c:v>4.4926382151131694</c:v>
                </c:pt>
                <c:pt idx="18">
                  <c:v>5.0885488414821829</c:v>
                </c:pt>
                <c:pt idx="19">
                  <c:v>5.5022907374062253</c:v>
                </c:pt>
                <c:pt idx="20">
                  <c:v>5.7589887095353474</c:v>
                </c:pt>
                <c:pt idx="21">
                  <c:v>6.0419521955382995</c:v>
                </c:pt>
                <c:pt idx="22">
                  <c:v>8.1393473986493099</c:v>
                </c:pt>
                <c:pt idx="23">
                  <c:v>8.8721945644755777</c:v>
                </c:pt>
              </c:numCache>
            </c:numRef>
          </c:val>
          <c:smooth val="0"/>
          <c:extLst>
            <c:ext xmlns:c16="http://schemas.microsoft.com/office/drawing/2014/chart" uri="{C3380CC4-5D6E-409C-BE32-E72D297353CC}">
              <c16:uniqueId val="{00000007-4091-4BCD-B1D8-9262521A7B5C}"/>
            </c:ext>
          </c:extLst>
        </c:ser>
        <c:dLbls>
          <c:showLegendKey val="0"/>
          <c:showVal val="0"/>
          <c:showCatName val="0"/>
          <c:showSerName val="0"/>
          <c:showPercent val="0"/>
          <c:showBubbleSize val="0"/>
        </c:dLbls>
        <c:smooth val="0"/>
        <c:axId val="1168756031"/>
        <c:axId val="1168758431"/>
        <c:extLst>
          <c:ext xmlns:c15="http://schemas.microsoft.com/office/drawing/2012/chart" uri="{02D57815-91ED-43cb-92C2-25804820EDAC}">
            <c15:filteredLineSeries>
              <c15:ser>
                <c:idx val="0"/>
                <c:order val="0"/>
                <c:tx>
                  <c:strRef>
                    <c:extLst>
                      <c:ext uri="{02D57815-91ED-43cb-92C2-25804820EDAC}">
                        <c15:formulaRef>
                          <c15:sqref>'CERTIFICADO '!$H$276</c15:sqref>
                        </c15:formulaRef>
                      </c:ext>
                    </c:extLst>
                    <c:strCache>
                      <c:ptCount val="1"/>
                    </c:strCache>
                  </c:strRef>
                </c:tx>
                <c:spPr>
                  <a:ln w="28575" cap="rnd">
                    <a:solidFill>
                      <a:schemeClr val="accent1"/>
                    </a:solidFill>
                    <a:round/>
                  </a:ln>
                  <a:effectLst/>
                </c:spPr>
                <c:marker>
                  <c:symbol val="none"/>
                </c:marker>
                <c:cat>
                  <c:numRef>
                    <c:extLst>
                      <c:ext uri="{02D57815-91ED-43cb-92C2-25804820EDAC}">
                        <c15:formulaRef>
                          <c15:sqref>'CERTIFICADO '!$G$277:$G$300</c15:sqref>
                        </c15:formulaRef>
                      </c:ext>
                    </c:extLst>
                    <c:numCache>
                      <c:formatCode>h:mm:ss</c:formatCode>
                      <c:ptCount val="24"/>
                      <c:pt idx="0">
                        <c:v>0.4392831309384258</c:v>
                      </c:pt>
                      <c:pt idx="1">
                        <c:v>0.44275535316064801</c:v>
                      </c:pt>
                      <c:pt idx="2">
                        <c:v>0.44622757538287022</c:v>
                      </c:pt>
                      <c:pt idx="3">
                        <c:v>0.44969979760509243</c:v>
                      </c:pt>
                      <c:pt idx="4">
                        <c:v>0.45317201982731464</c:v>
                      </c:pt>
                      <c:pt idx="5">
                        <c:v>0.45664424204953685</c:v>
                      </c:pt>
                      <c:pt idx="6">
                        <c:v>0.46011646427175906</c:v>
                      </c:pt>
                      <c:pt idx="7">
                        <c:v>0.46358868649398127</c:v>
                      </c:pt>
                      <c:pt idx="8">
                        <c:v>0.46706090871620348</c:v>
                      </c:pt>
                      <c:pt idx="9">
                        <c:v>0.47053313093842569</c:v>
                      </c:pt>
                      <c:pt idx="10">
                        <c:v>0.4740053531606479</c:v>
                      </c:pt>
                      <c:pt idx="11">
                        <c:v>0.47747757538287011</c:v>
                      </c:pt>
                      <c:pt idx="12">
                        <c:v>0.48094979760509232</c:v>
                      </c:pt>
                      <c:pt idx="13">
                        <c:v>0.48442201982731453</c:v>
                      </c:pt>
                      <c:pt idx="14">
                        <c:v>0.48789424204953674</c:v>
                      </c:pt>
                      <c:pt idx="15">
                        <c:v>0.49136646427175895</c:v>
                      </c:pt>
                      <c:pt idx="16">
                        <c:v>0.49483868649398116</c:v>
                      </c:pt>
                      <c:pt idx="17">
                        <c:v>0.49831090871620337</c:v>
                      </c:pt>
                      <c:pt idx="18">
                        <c:v>0.50178313093842564</c:v>
                      </c:pt>
                      <c:pt idx="19">
                        <c:v>0.50525535316064785</c:v>
                      </c:pt>
                      <c:pt idx="20">
                        <c:v>0.50872757538287006</c:v>
                      </c:pt>
                      <c:pt idx="21">
                        <c:v>0.51219979760509227</c:v>
                      </c:pt>
                      <c:pt idx="22">
                        <c:v>0.51567201982731448</c:v>
                      </c:pt>
                      <c:pt idx="23">
                        <c:v>0.51914424204953669</c:v>
                      </c:pt>
                    </c:numCache>
                  </c:numRef>
                </c:cat>
                <c:val>
                  <c:numRef>
                    <c:extLst>
                      <c:ext uri="{02D57815-91ED-43cb-92C2-25804820EDAC}">
                        <c15:formulaRef>
                          <c15:sqref>'CERTIFICADO '!$H$277:$H$300</c15:sqref>
                        </c15:formulaRef>
                      </c:ext>
                    </c:extLst>
                    <c:numCache>
                      <c:formatCode>General</c:formatCode>
                      <c:ptCount val="24"/>
                    </c:numCache>
                  </c:numRef>
                </c:val>
                <c:smooth val="0"/>
                <c:extLst>
                  <c:ext xmlns:c16="http://schemas.microsoft.com/office/drawing/2014/chart" uri="{C3380CC4-5D6E-409C-BE32-E72D297353CC}">
                    <c16:uniqueId val="{00000000-4091-4BCD-B1D8-9262521A7B5C}"/>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'CERTIFICADO '!$J$276</c15:sqref>
                        </c15:formulaRef>
                      </c:ext>
                    </c:extLst>
                    <c:strCache>
                      <c:ptCount val="1"/>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'CERTIFICADO '!$G$277:$G$300</c15:sqref>
                        </c15:formulaRef>
                      </c:ext>
                    </c:extLst>
                    <c:numCache>
                      <c:formatCode>h:mm:ss</c:formatCode>
                      <c:ptCount val="24"/>
                      <c:pt idx="0">
                        <c:v>0.4392831309384258</c:v>
                      </c:pt>
                      <c:pt idx="1">
                        <c:v>0.44275535316064801</c:v>
                      </c:pt>
                      <c:pt idx="2">
                        <c:v>0.44622757538287022</c:v>
                      </c:pt>
                      <c:pt idx="3">
                        <c:v>0.44969979760509243</c:v>
                      </c:pt>
                      <c:pt idx="4">
                        <c:v>0.45317201982731464</c:v>
                      </c:pt>
                      <c:pt idx="5">
                        <c:v>0.45664424204953685</c:v>
                      </c:pt>
                      <c:pt idx="6">
                        <c:v>0.46011646427175906</c:v>
                      </c:pt>
                      <c:pt idx="7">
                        <c:v>0.46358868649398127</c:v>
                      </c:pt>
                      <c:pt idx="8">
                        <c:v>0.46706090871620348</c:v>
                      </c:pt>
                      <c:pt idx="9">
                        <c:v>0.47053313093842569</c:v>
                      </c:pt>
                      <c:pt idx="10">
                        <c:v>0.4740053531606479</c:v>
                      </c:pt>
                      <c:pt idx="11">
                        <c:v>0.47747757538287011</c:v>
                      </c:pt>
                      <c:pt idx="12">
                        <c:v>0.48094979760509232</c:v>
                      </c:pt>
                      <c:pt idx="13">
                        <c:v>0.48442201982731453</c:v>
                      </c:pt>
                      <c:pt idx="14">
                        <c:v>0.48789424204953674</c:v>
                      </c:pt>
                      <c:pt idx="15">
                        <c:v>0.49136646427175895</c:v>
                      </c:pt>
                      <c:pt idx="16">
                        <c:v>0.49483868649398116</c:v>
                      </c:pt>
                      <c:pt idx="17">
                        <c:v>0.49831090871620337</c:v>
                      </c:pt>
                      <c:pt idx="18">
                        <c:v>0.50178313093842564</c:v>
                      </c:pt>
                      <c:pt idx="19">
                        <c:v>0.50525535316064785</c:v>
                      </c:pt>
                      <c:pt idx="20">
                        <c:v>0.50872757538287006</c:v>
                      </c:pt>
                      <c:pt idx="21">
                        <c:v>0.51219979760509227</c:v>
                      </c:pt>
                      <c:pt idx="22">
                        <c:v>0.51567201982731448</c:v>
                      </c:pt>
                      <c:pt idx="23">
                        <c:v>0.51914424204953669</c:v>
                      </c:pt>
                    </c:numCache>
                  </c:numRef>
                </c:cat>
                <c:val>
                  <c:numRef>
                    <c:extLst xmlns:c15="http://schemas.microsoft.com/office/drawing/2012/chart">
                      <c:ext xmlns:c15="http://schemas.microsoft.com/office/drawing/2012/chart" uri="{02D57815-91ED-43cb-92C2-25804820EDAC}">
                        <c15:formulaRef>
                          <c15:sqref>'CERTIFICADO '!$J$277:$J$300</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2-4091-4BCD-B1D8-9262521A7B5C}"/>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'CERTIFICADO '!$K$276</c15:sqref>
                        </c15:formulaRef>
                      </c:ext>
                    </c:extLst>
                    <c:strCache>
                      <c:ptCount val="1"/>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'CERTIFICADO '!$G$277:$G$300</c15:sqref>
                        </c15:formulaRef>
                      </c:ext>
                    </c:extLst>
                    <c:numCache>
                      <c:formatCode>h:mm:ss</c:formatCode>
                      <c:ptCount val="24"/>
                      <c:pt idx="0">
                        <c:v>0.4392831309384258</c:v>
                      </c:pt>
                      <c:pt idx="1">
                        <c:v>0.44275535316064801</c:v>
                      </c:pt>
                      <c:pt idx="2">
                        <c:v>0.44622757538287022</c:v>
                      </c:pt>
                      <c:pt idx="3">
                        <c:v>0.44969979760509243</c:v>
                      </c:pt>
                      <c:pt idx="4">
                        <c:v>0.45317201982731464</c:v>
                      </c:pt>
                      <c:pt idx="5">
                        <c:v>0.45664424204953685</c:v>
                      </c:pt>
                      <c:pt idx="6">
                        <c:v>0.46011646427175906</c:v>
                      </c:pt>
                      <c:pt idx="7">
                        <c:v>0.46358868649398127</c:v>
                      </c:pt>
                      <c:pt idx="8">
                        <c:v>0.46706090871620348</c:v>
                      </c:pt>
                      <c:pt idx="9">
                        <c:v>0.47053313093842569</c:v>
                      </c:pt>
                      <c:pt idx="10">
                        <c:v>0.4740053531606479</c:v>
                      </c:pt>
                      <c:pt idx="11">
                        <c:v>0.47747757538287011</c:v>
                      </c:pt>
                      <c:pt idx="12">
                        <c:v>0.48094979760509232</c:v>
                      </c:pt>
                      <c:pt idx="13">
                        <c:v>0.48442201982731453</c:v>
                      </c:pt>
                      <c:pt idx="14">
                        <c:v>0.48789424204953674</c:v>
                      </c:pt>
                      <c:pt idx="15">
                        <c:v>0.49136646427175895</c:v>
                      </c:pt>
                      <c:pt idx="16">
                        <c:v>0.49483868649398116</c:v>
                      </c:pt>
                      <c:pt idx="17">
                        <c:v>0.49831090871620337</c:v>
                      </c:pt>
                      <c:pt idx="18">
                        <c:v>0.50178313093842564</c:v>
                      </c:pt>
                      <c:pt idx="19">
                        <c:v>0.50525535316064785</c:v>
                      </c:pt>
                      <c:pt idx="20">
                        <c:v>0.50872757538287006</c:v>
                      </c:pt>
                      <c:pt idx="21">
                        <c:v>0.51219979760509227</c:v>
                      </c:pt>
                      <c:pt idx="22">
                        <c:v>0.51567201982731448</c:v>
                      </c:pt>
                      <c:pt idx="23">
                        <c:v>0.51914424204953669</c:v>
                      </c:pt>
                    </c:numCache>
                  </c:numRef>
                </c:cat>
                <c:val>
                  <c:numRef>
                    <c:extLst xmlns:c15="http://schemas.microsoft.com/office/drawing/2012/chart">
                      <c:ext xmlns:c15="http://schemas.microsoft.com/office/drawing/2012/chart" uri="{02D57815-91ED-43cb-92C2-25804820EDAC}">
                        <c15:formulaRef>
                          <c15:sqref>'CERTIFICADO '!$K$277:$K$300</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3-4091-4BCD-B1D8-9262521A7B5C}"/>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'CERTIFICADO '!$M$276</c15:sqref>
                        </c15:formulaRef>
                      </c:ext>
                    </c:extLst>
                    <c:strCache>
                      <c:ptCount val="1"/>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'CERTIFICADO '!$G$277:$G$300</c15:sqref>
                        </c15:formulaRef>
                      </c:ext>
                    </c:extLst>
                    <c:numCache>
                      <c:formatCode>h:mm:ss</c:formatCode>
                      <c:ptCount val="24"/>
                      <c:pt idx="0">
                        <c:v>0.4392831309384258</c:v>
                      </c:pt>
                      <c:pt idx="1">
                        <c:v>0.44275535316064801</c:v>
                      </c:pt>
                      <c:pt idx="2">
                        <c:v>0.44622757538287022</c:v>
                      </c:pt>
                      <c:pt idx="3">
                        <c:v>0.44969979760509243</c:v>
                      </c:pt>
                      <c:pt idx="4">
                        <c:v>0.45317201982731464</c:v>
                      </c:pt>
                      <c:pt idx="5">
                        <c:v>0.45664424204953685</c:v>
                      </c:pt>
                      <c:pt idx="6">
                        <c:v>0.46011646427175906</c:v>
                      </c:pt>
                      <c:pt idx="7">
                        <c:v>0.46358868649398127</c:v>
                      </c:pt>
                      <c:pt idx="8">
                        <c:v>0.46706090871620348</c:v>
                      </c:pt>
                      <c:pt idx="9">
                        <c:v>0.47053313093842569</c:v>
                      </c:pt>
                      <c:pt idx="10">
                        <c:v>0.4740053531606479</c:v>
                      </c:pt>
                      <c:pt idx="11">
                        <c:v>0.47747757538287011</c:v>
                      </c:pt>
                      <c:pt idx="12">
                        <c:v>0.48094979760509232</c:v>
                      </c:pt>
                      <c:pt idx="13">
                        <c:v>0.48442201982731453</c:v>
                      </c:pt>
                      <c:pt idx="14">
                        <c:v>0.48789424204953674</c:v>
                      </c:pt>
                      <c:pt idx="15">
                        <c:v>0.49136646427175895</c:v>
                      </c:pt>
                      <c:pt idx="16">
                        <c:v>0.49483868649398116</c:v>
                      </c:pt>
                      <c:pt idx="17">
                        <c:v>0.49831090871620337</c:v>
                      </c:pt>
                      <c:pt idx="18">
                        <c:v>0.50178313093842564</c:v>
                      </c:pt>
                      <c:pt idx="19">
                        <c:v>0.50525535316064785</c:v>
                      </c:pt>
                      <c:pt idx="20">
                        <c:v>0.50872757538287006</c:v>
                      </c:pt>
                      <c:pt idx="21">
                        <c:v>0.51219979760509227</c:v>
                      </c:pt>
                      <c:pt idx="22">
                        <c:v>0.51567201982731448</c:v>
                      </c:pt>
                      <c:pt idx="23">
                        <c:v>0.51914424204953669</c:v>
                      </c:pt>
                    </c:numCache>
                  </c:numRef>
                </c:cat>
                <c:val>
                  <c:numRef>
                    <c:extLst xmlns:c15="http://schemas.microsoft.com/office/drawing/2012/chart">
                      <c:ext xmlns:c15="http://schemas.microsoft.com/office/drawing/2012/chart" uri="{02D57815-91ED-43cb-92C2-25804820EDAC}">
                        <c15:formulaRef>
                          <c15:sqref>'CERTIFICADO '!$M$277:$M$300</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5-4091-4BCD-B1D8-9262521A7B5C}"/>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'CERTIFICADO '!$N$276</c15:sqref>
                        </c15:formulaRef>
                      </c:ext>
                    </c:extLst>
                    <c:strCache>
                      <c:ptCount val="1"/>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'!$G$277:$G$300</c15:sqref>
                        </c15:formulaRef>
                      </c:ext>
                    </c:extLst>
                    <c:numCache>
                      <c:formatCode>h:mm:ss</c:formatCode>
                      <c:ptCount val="24"/>
                      <c:pt idx="0">
                        <c:v>0.4392831309384258</c:v>
                      </c:pt>
                      <c:pt idx="1">
                        <c:v>0.44275535316064801</c:v>
                      </c:pt>
                      <c:pt idx="2">
                        <c:v>0.44622757538287022</c:v>
                      </c:pt>
                      <c:pt idx="3">
                        <c:v>0.44969979760509243</c:v>
                      </c:pt>
                      <c:pt idx="4">
                        <c:v>0.45317201982731464</c:v>
                      </c:pt>
                      <c:pt idx="5">
                        <c:v>0.45664424204953685</c:v>
                      </c:pt>
                      <c:pt idx="6">
                        <c:v>0.46011646427175906</c:v>
                      </c:pt>
                      <c:pt idx="7">
                        <c:v>0.46358868649398127</c:v>
                      </c:pt>
                      <c:pt idx="8">
                        <c:v>0.46706090871620348</c:v>
                      </c:pt>
                      <c:pt idx="9">
                        <c:v>0.47053313093842569</c:v>
                      </c:pt>
                      <c:pt idx="10">
                        <c:v>0.4740053531606479</c:v>
                      </c:pt>
                      <c:pt idx="11">
                        <c:v>0.47747757538287011</c:v>
                      </c:pt>
                      <c:pt idx="12">
                        <c:v>0.48094979760509232</c:v>
                      </c:pt>
                      <c:pt idx="13">
                        <c:v>0.48442201982731453</c:v>
                      </c:pt>
                      <c:pt idx="14">
                        <c:v>0.48789424204953674</c:v>
                      </c:pt>
                      <c:pt idx="15">
                        <c:v>0.49136646427175895</c:v>
                      </c:pt>
                      <c:pt idx="16">
                        <c:v>0.49483868649398116</c:v>
                      </c:pt>
                      <c:pt idx="17">
                        <c:v>0.49831090871620337</c:v>
                      </c:pt>
                      <c:pt idx="18">
                        <c:v>0.50178313093842564</c:v>
                      </c:pt>
                      <c:pt idx="19">
                        <c:v>0.50525535316064785</c:v>
                      </c:pt>
                      <c:pt idx="20">
                        <c:v>0.50872757538287006</c:v>
                      </c:pt>
                      <c:pt idx="21">
                        <c:v>0.51219979760509227</c:v>
                      </c:pt>
                      <c:pt idx="22">
                        <c:v>0.51567201982731448</c:v>
                      </c:pt>
                      <c:pt idx="23">
                        <c:v>0.51914424204953669</c:v>
                      </c:pt>
                    </c:numCache>
                  </c:numRef>
                </c:cat>
                <c:val>
                  <c:numRef>
                    <c:extLst xmlns:c15="http://schemas.microsoft.com/office/drawing/2012/chart">
                      <c:ext xmlns:c15="http://schemas.microsoft.com/office/drawing/2012/chart" uri="{02D57815-91ED-43cb-92C2-25804820EDAC}">
                        <c15:formulaRef>
                          <c15:sqref>'CERTIFICADO '!$N$277:$N$300</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6-4091-4BCD-B1D8-9262521A7B5C}"/>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'CERTIFICADO '!$P$276</c15:sqref>
                        </c15:formulaRef>
                      </c:ext>
                    </c:extLst>
                    <c:strCache>
                      <c:ptCount val="1"/>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'!$G$277:$G$300</c15:sqref>
                        </c15:formulaRef>
                      </c:ext>
                    </c:extLst>
                    <c:numCache>
                      <c:formatCode>h:mm:ss</c:formatCode>
                      <c:ptCount val="24"/>
                      <c:pt idx="0">
                        <c:v>0.4392831309384258</c:v>
                      </c:pt>
                      <c:pt idx="1">
                        <c:v>0.44275535316064801</c:v>
                      </c:pt>
                      <c:pt idx="2">
                        <c:v>0.44622757538287022</c:v>
                      </c:pt>
                      <c:pt idx="3">
                        <c:v>0.44969979760509243</c:v>
                      </c:pt>
                      <c:pt idx="4">
                        <c:v>0.45317201982731464</c:v>
                      </c:pt>
                      <c:pt idx="5">
                        <c:v>0.45664424204953685</c:v>
                      </c:pt>
                      <c:pt idx="6">
                        <c:v>0.46011646427175906</c:v>
                      </c:pt>
                      <c:pt idx="7">
                        <c:v>0.46358868649398127</c:v>
                      </c:pt>
                      <c:pt idx="8">
                        <c:v>0.46706090871620348</c:v>
                      </c:pt>
                      <c:pt idx="9">
                        <c:v>0.47053313093842569</c:v>
                      </c:pt>
                      <c:pt idx="10">
                        <c:v>0.4740053531606479</c:v>
                      </c:pt>
                      <c:pt idx="11">
                        <c:v>0.47747757538287011</c:v>
                      </c:pt>
                      <c:pt idx="12">
                        <c:v>0.48094979760509232</c:v>
                      </c:pt>
                      <c:pt idx="13">
                        <c:v>0.48442201982731453</c:v>
                      </c:pt>
                      <c:pt idx="14">
                        <c:v>0.48789424204953674</c:v>
                      </c:pt>
                      <c:pt idx="15">
                        <c:v>0.49136646427175895</c:v>
                      </c:pt>
                      <c:pt idx="16">
                        <c:v>0.49483868649398116</c:v>
                      </c:pt>
                      <c:pt idx="17">
                        <c:v>0.49831090871620337</c:v>
                      </c:pt>
                      <c:pt idx="18">
                        <c:v>0.50178313093842564</c:v>
                      </c:pt>
                      <c:pt idx="19">
                        <c:v>0.50525535316064785</c:v>
                      </c:pt>
                      <c:pt idx="20">
                        <c:v>0.50872757538287006</c:v>
                      </c:pt>
                      <c:pt idx="21">
                        <c:v>0.51219979760509227</c:v>
                      </c:pt>
                      <c:pt idx="22">
                        <c:v>0.51567201982731448</c:v>
                      </c:pt>
                      <c:pt idx="23">
                        <c:v>0.51914424204953669</c:v>
                      </c:pt>
                    </c:numCache>
                  </c:numRef>
                </c:cat>
                <c:val>
                  <c:numRef>
                    <c:extLst xmlns:c15="http://schemas.microsoft.com/office/drawing/2012/chart">
                      <c:ext xmlns:c15="http://schemas.microsoft.com/office/drawing/2012/chart" uri="{02D57815-91ED-43cb-92C2-25804820EDAC}">
                        <c15:formulaRef>
                          <c15:sqref>'CERTIFICADO '!$P$277:$P$300</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8-4091-4BCD-B1D8-9262521A7B5C}"/>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'CERTIFICADO '!$Q$276</c15:sqref>
                        </c15:formulaRef>
                      </c:ext>
                    </c:extLst>
                    <c:strCache>
                      <c:ptCount val="1"/>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'!$G$277:$G$300</c15:sqref>
                        </c15:formulaRef>
                      </c:ext>
                    </c:extLst>
                    <c:numCache>
                      <c:formatCode>h:mm:ss</c:formatCode>
                      <c:ptCount val="24"/>
                      <c:pt idx="0">
                        <c:v>0.4392831309384258</c:v>
                      </c:pt>
                      <c:pt idx="1">
                        <c:v>0.44275535316064801</c:v>
                      </c:pt>
                      <c:pt idx="2">
                        <c:v>0.44622757538287022</c:v>
                      </c:pt>
                      <c:pt idx="3">
                        <c:v>0.44969979760509243</c:v>
                      </c:pt>
                      <c:pt idx="4">
                        <c:v>0.45317201982731464</c:v>
                      </c:pt>
                      <c:pt idx="5">
                        <c:v>0.45664424204953685</c:v>
                      </c:pt>
                      <c:pt idx="6">
                        <c:v>0.46011646427175906</c:v>
                      </c:pt>
                      <c:pt idx="7">
                        <c:v>0.46358868649398127</c:v>
                      </c:pt>
                      <c:pt idx="8">
                        <c:v>0.46706090871620348</c:v>
                      </c:pt>
                      <c:pt idx="9">
                        <c:v>0.47053313093842569</c:v>
                      </c:pt>
                      <c:pt idx="10">
                        <c:v>0.4740053531606479</c:v>
                      </c:pt>
                      <c:pt idx="11">
                        <c:v>0.47747757538287011</c:v>
                      </c:pt>
                      <c:pt idx="12">
                        <c:v>0.48094979760509232</c:v>
                      </c:pt>
                      <c:pt idx="13">
                        <c:v>0.48442201982731453</c:v>
                      </c:pt>
                      <c:pt idx="14">
                        <c:v>0.48789424204953674</c:v>
                      </c:pt>
                      <c:pt idx="15">
                        <c:v>0.49136646427175895</c:v>
                      </c:pt>
                      <c:pt idx="16">
                        <c:v>0.49483868649398116</c:v>
                      </c:pt>
                      <c:pt idx="17">
                        <c:v>0.49831090871620337</c:v>
                      </c:pt>
                      <c:pt idx="18">
                        <c:v>0.50178313093842564</c:v>
                      </c:pt>
                      <c:pt idx="19">
                        <c:v>0.50525535316064785</c:v>
                      </c:pt>
                      <c:pt idx="20">
                        <c:v>0.50872757538287006</c:v>
                      </c:pt>
                      <c:pt idx="21">
                        <c:v>0.51219979760509227</c:v>
                      </c:pt>
                      <c:pt idx="22">
                        <c:v>0.51567201982731448</c:v>
                      </c:pt>
                      <c:pt idx="23">
                        <c:v>0.51914424204953669</c:v>
                      </c:pt>
                    </c:numCache>
                  </c:numRef>
                </c:cat>
                <c:val>
                  <c:numRef>
                    <c:extLst xmlns:c15="http://schemas.microsoft.com/office/drawing/2012/chart">
                      <c:ext xmlns:c15="http://schemas.microsoft.com/office/drawing/2012/chart" uri="{02D57815-91ED-43cb-92C2-25804820EDAC}">
                        <c15:formulaRef>
                          <c15:sqref>'CERTIFICADO '!$Q$277:$Q$300</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9-4091-4BCD-B1D8-9262521A7B5C}"/>
                  </c:ext>
                </c:extLst>
              </c15:ser>
            </c15:filteredLineSeries>
          </c:ext>
        </c:extLst>
      </c:lineChart>
      <c:catAx>
        <c:axId val="116875603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8758431"/>
        <c:crosses val="autoZero"/>
        <c:auto val="1"/>
        <c:lblAlgn val="ctr"/>
        <c:lblOffset val="100"/>
        <c:noMultiLvlLbl val="0"/>
      </c:catAx>
      <c:valAx>
        <c:axId val="1168758431"/>
        <c:scaling>
          <c:orientation val="minMax"/>
          <c:max val="2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Temperatura ( °C)</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8756031"/>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5.svg"/><Relationship Id="rId9" Type="http://schemas.openxmlformats.org/officeDocument/2006/relationships/image" Target="../media/image8.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twoCellAnchor>
    <xdr:from>
      <xdr:col>1</xdr:col>
      <xdr:colOff>22860</xdr:colOff>
      <xdr:row>236</xdr:row>
      <xdr:rowOff>7626</xdr:rowOff>
    </xdr:from>
    <xdr:to>
      <xdr:col>19</xdr:col>
      <xdr:colOff>0</xdr:colOff>
      <xdr:row>251</xdr:row>
      <xdr:rowOff>7626</xdr:rowOff>
    </xdr:to>
    <xdr:graphicFrame macro="">
      <xdr:nvGraphicFramePr>
        <xdr:cNvPr id="9" name="Gráfico 8">
          <a:extLst>
            <a:ext uri="{FF2B5EF4-FFF2-40B4-BE49-F238E27FC236}">
              <a16:creationId xmlns:a16="http://schemas.microsoft.com/office/drawing/2014/main" id="{37391D5C-6167-D4E1-0A59-B75FF64D9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22860</xdr:colOff>
      <xdr:row>312</xdr:row>
      <xdr:rowOff>68580</xdr:rowOff>
    </xdr:from>
    <xdr:to>
      <xdr:col>18</xdr:col>
      <xdr:colOff>266700</xdr:colOff>
      <xdr:row>324</xdr:row>
      <xdr:rowOff>106680</xdr:rowOff>
    </xdr:to>
    <xdr:graphicFrame macro="">
      <xdr:nvGraphicFramePr>
        <xdr:cNvPr id="10" name="Gráfico 9">
          <a:extLst>
            <a:ext uri="{FF2B5EF4-FFF2-40B4-BE49-F238E27FC236}">
              <a16:creationId xmlns:a16="http://schemas.microsoft.com/office/drawing/2014/main" id="{12C54FAF-EFD3-C1B9-0C61-68D47773B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308583</xdr:colOff>
      <xdr:row>114</xdr:row>
      <xdr:rowOff>144785</xdr:rowOff>
    </xdr:from>
    <xdr:to>
      <xdr:col>18</xdr:col>
      <xdr:colOff>152238</xdr:colOff>
      <xdr:row>121</xdr:row>
      <xdr:rowOff>83825</xdr:rowOff>
    </xdr:to>
    <xdr:pic>
      <xdr:nvPicPr>
        <xdr:cNvPr id="7" name="Imagen 6">
          <a:extLst>
            <a:ext uri="{FF2B5EF4-FFF2-40B4-BE49-F238E27FC236}">
              <a16:creationId xmlns:a16="http://schemas.microsoft.com/office/drawing/2014/main" id="{361AF790-27A9-D513-AAF0-3EDF9A7EF621}"/>
            </a:ext>
          </a:extLst>
        </xdr:cNvPr>
        <xdr:cNvPicPr>
          <a:picLocks noChangeAspect="1"/>
        </xdr:cNvPicPr>
      </xdr:nvPicPr>
      <xdr:blipFill>
        <a:blip xmlns:r="http://schemas.openxmlformats.org/officeDocument/2006/relationships" r:embed="rId7"/>
        <a:stretch>
          <a:fillRect/>
        </a:stretch>
      </xdr:blipFill>
      <xdr:spPr>
        <a:xfrm rot="5400000">
          <a:off x="4234721" y="23551587"/>
          <a:ext cx="1379220" cy="2525895"/>
        </a:xfrm>
        <a:prstGeom prst="rect">
          <a:avLst/>
        </a:prstGeom>
      </xdr:spPr>
    </xdr:pic>
    <xdr:clientData/>
  </xdr:twoCellAnchor>
  <xdr:twoCellAnchor editAs="oneCell">
    <xdr:from>
      <xdr:col>5</xdr:col>
      <xdr:colOff>310138</xdr:colOff>
      <xdr:row>96</xdr:row>
      <xdr:rowOff>53340</xdr:rowOff>
    </xdr:from>
    <xdr:to>
      <xdr:col>11</xdr:col>
      <xdr:colOff>114300</xdr:colOff>
      <xdr:row>105</xdr:row>
      <xdr:rowOff>34294</xdr:rowOff>
    </xdr:to>
    <xdr:pic>
      <xdr:nvPicPr>
        <xdr:cNvPr id="8" name="Imagen 7">
          <a:extLst>
            <a:ext uri="{FF2B5EF4-FFF2-40B4-BE49-F238E27FC236}">
              <a16:creationId xmlns:a16="http://schemas.microsoft.com/office/drawing/2014/main" id="{78466CF2-FDD3-92D9-FCBA-4141457A669A}"/>
            </a:ext>
          </a:extLst>
        </xdr:cNvPr>
        <xdr:cNvPicPr>
          <a:picLocks noChangeAspect="1"/>
        </xdr:cNvPicPr>
      </xdr:nvPicPr>
      <xdr:blipFill>
        <a:blip xmlns:r="http://schemas.openxmlformats.org/officeDocument/2006/relationships" r:embed="rId8"/>
        <a:stretch>
          <a:fillRect/>
        </a:stretch>
      </xdr:blipFill>
      <xdr:spPr>
        <a:xfrm>
          <a:off x="1986538" y="20330160"/>
          <a:ext cx="1815842" cy="1832614"/>
        </a:xfrm>
        <a:prstGeom prst="rect">
          <a:avLst/>
        </a:prstGeom>
      </xdr:spPr>
    </xdr:pic>
    <xdr:clientData/>
  </xdr:twoCellAnchor>
  <xdr:twoCellAnchor editAs="oneCell">
    <xdr:from>
      <xdr:col>3</xdr:col>
      <xdr:colOff>160020</xdr:colOff>
      <xdr:row>113</xdr:row>
      <xdr:rowOff>7620</xdr:rowOff>
    </xdr:from>
    <xdr:to>
      <xdr:col>6</xdr:col>
      <xdr:colOff>48276</xdr:colOff>
      <xdr:row>121</xdr:row>
      <xdr:rowOff>182880</xdr:rowOff>
    </xdr:to>
    <xdr:pic>
      <xdr:nvPicPr>
        <xdr:cNvPr id="16" name="Imagen 15">
          <a:extLst>
            <a:ext uri="{FF2B5EF4-FFF2-40B4-BE49-F238E27FC236}">
              <a16:creationId xmlns:a16="http://schemas.microsoft.com/office/drawing/2014/main" id="{470161AA-CA2D-FEBF-8F85-B1BE6AE4F2B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flipH="1">
          <a:off x="1165860" y="23782020"/>
          <a:ext cx="894096" cy="1821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topLeftCell="F1" zoomScaleNormal="100" workbookViewId="0">
      <selection activeCell="I8" sqref="I8"/>
    </sheetView>
  </sheetViews>
  <sheetFormatPr baseColWidth="10" defaultColWidth="3.6640625" defaultRowHeight="12.75" customHeight="1" x14ac:dyDescent="0.3"/>
  <cols>
    <col min="1" max="1" width="24.6640625" style="1" customWidth="1"/>
    <col min="2" max="2" width="33.44140625" style="1" bestFit="1" customWidth="1"/>
    <col min="3" max="4" width="22.6640625" style="1" customWidth="1"/>
    <col min="5" max="5" width="51.6640625" style="1" bestFit="1" customWidth="1"/>
    <col min="6" max="6" width="19.8867187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201" t="s">
        <v>83</v>
      </c>
      <c r="B1" s="202"/>
      <c r="C1" s="202"/>
      <c r="D1" s="202"/>
      <c r="E1" s="202"/>
      <c r="F1" s="202"/>
      <c r="G1" s="202"/>
      <c r="H1" s="203"/>
      <c r="I1"/>
      <c r="J1"/>
      <c r="K1"/>
      <c r="L1"/>
      <c r="M1"/>
      <c r="N1"/>
      <c r="O1" t="s">
        <v>85</v>
      </c>
      <c r="P1"/>
      <c r="Q1"/>
      <c r="R1"/>
      <c r="S1"/>
      <c r="T1"/>
      <c r="U1"/>
      <c r="V1"/>
      <c r="W1"/>
      <c r="X1"/>
      <c r="Y1"/>
      <c r="Z1"/>
      <c r="AA1"/>
      <c r="AB1"/>
      <c r="AC1"/>
      <c r="AD1"/>
      <c r="AE1"/>
    </row>
    <row r="2" spans="1:31" ht="14.4" x14ac:dyDescent="0.3">
      <c r="A2" s="99" t="s">
        <v>144</v>
      </c>
      <c r="B2" s="99" t="s">
        <v>145</v>
      </c>
      <c r="C2" s="99" t="s">
        <v>146</v>
      </c>
      <c r="D2" s="99" t="s">
        <v>147</v>
      </c>
      <c r="E2" s="99" t="s">
        <v>148</v>
      </c>
      <c r="F2" s="99" t="s">
        <v>149</v>
      </c>
      <c r="G2" s="99" t="s">
        <v>150</v>
      </c>
      <c r="H2" s="99" t="s">
        <v>151</v>
      </c>
      <c r="I2"/>
      <c r="J2"/>
      <c r="K2"/>
      <c r="L2"/>
      <c r="M2"/>
      <c r="N2"/>
      <c r="O2" t="s">
        <v>92</v>
      </c>
      <c r="P2"/>
      <c r="Q2"/>
      <c r="R2"/>
      <c r="S2"/>
      <c r="T2"/>
      <c r="U2"/>
      <c r="V2"/>
      <c r="W2"/>
      <c r="X2"/>
      <c r="Y2"/>
      <c r="Z2"/>
      <c r="AA2"/>
      <c r="AB2"/>
      <c r="AC2"/>
      <c r="AD2"/>
      <c r="AE2"/>
    </row>
    <row r="3" spans="1:31" ht="12.75" customHeight="1" x14ac:dyDescent="0.3">
      <c r="A3" s="103" t="s">
        <v>197</v>
      </c>
      <c r="B3" s="103" t="s">
        <v>158</v>
      </c>
      <c r="C3" s="104" t="s">
        <v>158</v>
      </c>
      <c r="D3" s="104" t="s">
        <v>158</v>
      </c>
      <c r="E3" s="104" t="s">
        <v>198</v>
      </c>
      <c r="F3" s="106" t="s">
        <v>158</v>
      </c>
      <c r="G3" s="105" t="s">
        <v>199</v>
      </c>
      <c r="H3" s="100">
        <v>46087</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86</v>
      </c>
      <c r="P4"/>
      <c r="Q4"/>
      <c r="R4"/>
      <c r="S4"/>
      <c r="T4"/>
      <c r="U4"/>
      <c r="V4"/>
      <c r="W4"/>
      <c r="X4"/>
      <c r="Y4"/>
      <c r="Z4"/>
      <c r="AA4"/>
      <c r="AB4"/>
      <c r="AC4"/>
      <c r="AD4"/>
      <c r="AE4"/>
    </row>
    <row r="5" spans="1:31" ht="12.75" customHeight="1" x14ac:dyDescent="0.3">
      <c r="A5"/>
      <c r="B5"/>
      <c r="C5"/>
      <c r="D5"/>
      <c r="E5"/>
      <c r="F5"/>
      <c r="H5"/>
      <c r="I5"/>
      <c r="J5"/>
      <c r="K5"/>
      <c r="L5"/>
      <c r="M5"/>
      <c r="N5"/>
      <c r="O5" t="s">
        <v>93</v>
      </c>
      <c r="P5"/>
      <c r="Q5"/>
      <c r="R5"/>
      <c r="S5"/>
      <c r="T5"/>
      <c r="U5"/>
      <c r="V5"/>
      <c r="W5"/>
      <c r="X5"/>
      <c r="Y5"/>
      <c r="Z5"/>
      <c r="AA5"/>
      <c r="AB5"/>
      <c r="AC5"/>
      <c r="AD5"/>
      <c r="AE5"/>
    </row>
    <row r="6" spans="1:31" ht="12.75" customHeight="1" x14ac:dyDescent="0.3">
      <c r="A6" s="204" t="s">
        <v>84</v>
      </c>
      <c r="B6" s="204"/>
      <c r="C6"/>
      <c r="D6" s="98" t="s">
        <v>82</v>
      </c>
      <c r="E6" s="98"/>
      <c r="H6"/>
      <c r="I6"/>
      <c r="J6"/>
      <c r="K6"/>
      <c r="L6"/>
      <c r="M6"/>
      <c r="N6"/>
      <c r="O6" t="s">
        <v>94</v>
      </c>
      <c r="P6"/>
      <c r="Q6"/>
      <c r="R6"/>
      <c r="S6"/>
      <c r="T6"/>
      <c r="U6"/>
      <c r="V6"/>
      <c r="W6"/>
      <c r="X6"/>
      <c r="Y6"/>
      <c r="Z6"/>
      <c r="AA6"/>
      <c r="AB6"/>
      <c r="AC6"/>
      <c r="AD6"/>
      <c r="AE6"/>
    </row>
    <row r="7" spans="1:31" ht="12.75" customHeight="1" x14ac:dyDescent="0.3">
      <c r="A7" s="101" t="s">
        <v>5</v>
      </c>
      <c r="B7" s="87" t="s">
        <v>85</v>
      </c>
      <c r="C7"/>
      <c r="D7" s="101" t="s">
        <v>57</v>
      </c>
      <c r="E7" s="92" t="s">
        <v>200</v>
      </c>
      <c r="H7"/>
      <c r="I7"/>
      <c r="J7"/>
      <c r="K7"/>
      <c r="L7"/>
      <c r="M7"/>
      <c r="N7"/>
      <c r="O7"/>
      <c r="P7"/>
      <c r="Q7"/>
      <c r="R7"/>
      <c r="S7"/>
      <c r="T7"/>
      <c r="U7"/>
      <c r="V7"/>
      <c r="W7"/>
      <c r="X7"/>
      <c r="Y7"/>
      <c r="Z7"/>
      <c r="AA7"/>
      <c r="AB7"/>
      <c r="AC7"/>
      <c r="AD7"/>
      <c r="AE7"/>
    </row>
    <row r="8" spans="1:31" ht="12.75" customHeight="1" x14ac:dyDescent="0.3">
      <c r="A8" s="101" t="s">
        <v>152</v>
      </c>
      <c r="B8" s="87" t="s">
        <v>86</v>
      </c>
      <c r="C8"/>
      <c r="D8" s="101" t="s">
        <v>9</v>
      </c>
      <c r="E8" s="87">
        <v>860006745</v>
      </c>
      <c r="H8"/>
      <c r="I8"/>
      <c r="J8"/>
      <c r="K8"/>
      <c r="L8"/>
      <c r="M8"/>
      <c r="N8"/>
      <c r="O8"/>
      <c r="P8"/>
      <c r="Q8"/>
      <c r="R8"/>
      <c r="S8"/>
      <c r="T8"/>
      <c r="U8"/>
      <c r="V8"/>
      <c r="W8"/>
      <c r="X8"/>
      <c r="Y8"/>
      <c r="Z8"/>
      <c r="AA8"/>
      <c r="AB8"/>
      <c r="AC8"/>
      <c r="AD8"/>
      <c r="AE8"/>
    </row>
    <row r="9" spans="1:31" ht="12.75" customHeight="1" x14ac:dyDescent="0.3">
      <c r="A9" s="101" t="s">
        <v>4</v>
      </c>
      <c r="B9" s="88">
        <f>H3</f>
        <v>46087</v>
      </c>
      <c r="C9"/>
      <c r="D9" s="101" t="s">
        <v>8</v>
      </c>
      <c r="E9" s="87">
        <v>5727777</v>
      </c>
      <c r="H9"/>
      <c r="I9"/>
      <c r="J9"/>
      <c r="K9"/>
      <c r="L9"/>
      <c r="M9"/>
      <c r="N9"/>
      <c r="O9"/>
      <c r="P9"/>
      <c r="Q9"/>
      <c r="R9"/>
      <c r="S9"/>
      <c r="T9"/>
      <c r="U9"/>
      <c r="V9"/>
      <c r="W9"/>
      <c r="X9"/>
      <c r="Y9"/>
      <c r="Z9"/>
      <c r="AA9"/>
      <c r="AB9"/>
      <c r="AC9"/>
      <c r="AD9"/>
      <c r="AE9"/>
    </row>
    <row r="10" spans="1:31" ht="12.75" customHeight="1" x14ac:dyDescent="0.3">
      <c r="A10" s="101" t="s">
        <v>3</v>
      </c>
      <c r="B10" s="88">
        <f>H3</f>
        <v>46087</v>
      </c>
      <c r="C10"/>
      <c r="D10" s="101" t="s">
        <v>7</v>
      </c>
      <c r="E10" s="93" t="s">
        <v>201</v>
      </c>
      <c r="G10"/>
      <c r="H10"/>
      <c r="I10"/>
      <c r="J10"/>
      <c r="K10"/>
      <c r="L10"/>
      <c r="M10"/>
      <c r="N10"/>
      <c r="O10"/>
      <c r="P10"/>
      <c r="Q10"/>
      <c r="R10"/>
      <c r="S10"/>
      <c r="T10"/>
      <c r="U10"/>
      <c r="V10"/>
      <c r="W10"/>
      <c r="X10"/>
      <c r="Y10"/>
      <c r="Z10"/>
      <c r="AA10"/>
      <c r="AB10"/>
      <c r="AC10"/>
      <c r="AD10"/>
      <c r="AE10"/>
    </row>
    <row r="11" spans="1:31" ht="12.75" customHeight="1" x14ac:dyDescent="0.3">
      <c r="A11" s="101" t="s">
        <v>87</v>
      </c>
      <c r="B11" s="87">
        <v>24.1</v>
      </c>
      <c r="C11"/>
      <c r="D11" s="101" t="s">
        <v>6</v>
      </c>
      <c r="E11" s="93" t="s">
        <v>202</v>
      </c>
      <c r="G11"/>
      <c r="H11"/>
      <c r="I11"/>
      <c r="J11"/>
      <c r="K11"/>
      <c r="L11"/>
      <c r="M11"/>
      <c r="N11"/>
      <c r="O11"/>
      <c r="P11"/>
      <c r="Q11"/>
      <c r="R11"/>
      <c r="S11"/>
      <c r="T11"/>
      <c r="U11"/>
      <c r="V11"/>
      <c r="W11"/>
      <c r="X11"/>
      <c r="Y11"/>
      <c r="Z11"/>
      <c r="AA11"/>
      <c r="AB11"/>
      <c r="AC11"/>
      <c r="AD11"/>
      <c r="AE11"/>
    </row>
    <row r="12" spans="1:31" ht="12.75" customHeight="1" x14ac:dyDescent="0.3">
      <c r="A12" s="101" t="s">
        <v>88</v>
      </c>
      <c r="B12" s="87">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01" t="s">
        <v>89</v>
      </c>
      <c r="B13" s="87">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01" t="s">
        <v>90</v>
      </c>
      <c r="B14" s="87">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01" t="s">
        <v>91</v>
      </c>
      <c r="B15" s="87" t="s">
        <v>153</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F34"/>
      <c r="G34"/>
      <c r="H34"/>
      <c r="I34"/>
      <c r="J34"/>
      <c r="K34"/>
      <c r="L34"/>
      <c r="M34"/>
      <c r="N34"/>
      <c r="O34"/>
      <c r="P34"/>
      <c r="Q34"/>
      <c r="R34"/>
      <c r="S34"/>
      <c r="T34"/>
      <c r="U34"/>
      <c r="V34"/>
      <c r="W34"/>
      <c r="X34"/>
      <c r="Y34"/>
      <c r="Z34"/>
      <c r="AA34"/>
      <c r="AB34"/>
      <c r="AC34"/>
      <c r="AD34"/>
      <c r="AE34"/>
    </row>
    <row r="46" spans="1:31" ht="13.8" x14ac:dyDescent="0.3"/>
    <row r="48" spans="1:31" ht="12.75" customHeight="1" x14ac:dyDescent="0.3">
      <c r="D48" s="17"/>
      <c r="E48" s="17"/>
    </row>
    <row r="49" spans="4:15" ht="12.75" customHeight="1" x14ac:dyDescent="0.3">
      <c r="D49" s="17"/>
      <c r="E49" s="17"/>
      <c r="F49" s="17"/>
      <c r="G49" s="17"/>
      <c r="H49" s="17"/>
      <c r="I49" s="17"/>
      <c r="J49" s="17"/>
      <c r="K49" s="17"/>
      <c r="L49" s="17"/>
    </row>
    <row r="50" spans="4:15" ht="12.75" customHeight="1" x14ac:dyDescent="0.3">
      <c r="D50" s="17"/>
      <c r="E50" s="17"/>
      <c r="F50" s="17"/>
      <c r="G50" s="17"/>
      <c r="H50" s="17"/>
      <c r="I50" s="17"/>
      <c r="J50" s="17"/>
      <c r="K50" s="17"/>
      <c r="L50" s="17"/>
      <c r="M50" s="17"/>
      <c r="N50" s="17"/>
      <c r="O50" s="17"/>
    </row>
    <row r="51" spans="4:15" ht="12.75" customHeight="1" x14ac:dyDescent="0.3">
      <c r="D51" s="17"/>
      <c r="E51" s="17"/>
      <c r="F51" s="17"/>
      <c r="G51" s="17"/>
      <c r="H51" s="17"/>
      <c r="I51" s="17"/>
      <c r="J51" s="17"/>
      <c r="K51" s="17"/>
      <c r="L51" s="17"/>
      <c r="M51" s="17"/>
      <c r="N51" s="17"/>
      <c r="O51" s="17"/>
    </row>
    <row r="52" spans="4:15" ht="12.75" customHeight="1" x14ac:dyDescent="0.3">
      <c r="D52" s="17"/>
      <c r="E52" s="17"/>
      <c r="F52" s="17"/>
      <c r="G52" s="17"/>
      <c r="H52" s="17"/>
      <c r="I52" s="17"/>
      <c r="J52" s="17"/>
      <c r="K52" s="17"/>
      <c r="L52" s="17"/>
      <c r="M52" s="17"/>
      <c r="N52" s="17"/>
      <c r="O52" s="17"/>
    </row>
    <row r="53" spans="4:15" ht="45" customHeight="1" x14ac:dyDescent="0.3">
      <c r="F53" s="17"/>
      <c r="G53" s="17"/>
      <c r="H53" s="17"/>
      <c r="I53" s="17"/>
      <c r="J53" s="17"/>
      <c r="K53" s="17"/>
      <c r="L53" s="17"/>
      <c r="M53" s="17"/>
      <c r="N53" s="17"/>
      <c r="O53" s="17"/>
    </row>
    <row r="54" spans="4:15" ht="12.75" customHeight="1" x14ac:dyDescent="0.3">
      <c r="M54" s="17"/>
      <c r="N54" s="17"/>
      <c r="O54" s="17"/>
    </row>
  </sheetData>
  <mergeCells count="2">
    <mergeCell ref="A1:H1"/>
    <mergeCell ref="A6:B6"/>
  </mergeCells>
  <dataValidations count="2">
    <dataValidation type="list" allowBlank="1" showInputMessage="1" showErrorMessage="1" sqref="B8" xr:uid="{89035A43-561F-4CBA-A7A0-CD7D6BFF8B68}">
      <formula1>$O$4:$O$6</formula1>
    </dataValidation>
    <dataValidation type="list" allowBlank="1" showInputMessage="1" showErrorMessage="1" sqref="B7" xr:uid="{68014E08-AF25-416C-B915-324D3426485B}">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47"/>
      <c r="B1" s="49"/>
      <c r="C1" s="208" t="s">
        <v>45</v>
      </c>
      <c r="D1" s="209"/>
      <c r="E1" s="209"/>
      <c r="F1" s="209"/>
      <c r="G1" s="209"/>
      <c r="H1" s="209"/>
      <c r="I1" s="209"/>
      <c r="J1" s="209"/>
      <c r="K1" s="209"/>
      <c r="L1" s="209"/>
      <c r="M1" s="210"/>
    </row>
    <row r="2" spans="1:13" ht="15" thickBot="1" x14ac:dyDescent="0.35">
      <c r="A2" s="25"/>
      <c r="C2" s="25" t="s">
        <v>26</v>
      </c>
      <c r="D2" s="19" t="s">
        <v>27</v>
      </c>
      <c r="E2" t="e">
        <f>FIXED(C3,6)</f>
        <v>#REF!</v>
      </c>
      <c r="F2" t="e">
        <f>RIGHT(E2,1)</f>
        <v>#REF!</v>
      </c>
      <c r="G2" t="e">
        <f>F2/1000000</f>
        <v>#REF!</v>
      </c>
      <c r="H2" s="34" t="e">
        <f>C3-G2</f>
        <v>#REF!</v>
      </c>
      <c r="J2" t="e">
        <f>IF(E7=5,IF(AND(F3=0,F8=FALSE),L5,L6),L6)</f>
        <v>#REF!</v>
      </c>
      <c r="M2" s="35"/>
    </row>
    <row r="3" spans="1:13" ht="18.600000000000001" thickBot="1" x14ac:dyDescent="0.4">
      <c r="A3" s="25"/>
      <c r="C3" s="26" t="e">
        <f>INCERTIDUMBRE!M5</f>
        <v>#REF!</v>
      </c>
      <c r="D3" s="36" t="e">
        <f>IF(C3&gt;=10,M37,IF(C3&gt;=1,M29,IF(C3&gt;=0.1,M21,IF(C3&gt;=0.01,M13,IF(C3&gt;=0.001,M5)))))</f>
        <v>#REF!</v>
      </c>
      <c r="E3" t="s">
        <v>28</v>
      </c>
      <c r="F3" t="e">
        <f>F2+0</f>
        <v>#REF!</v>
      </c>
      <c r="M3" s="35"/>
    </row>
    <row r="4" spans="1:13" ht="29.4" hidden="1" thickBot="1" x14ac:dyDescent="0.35">
      <c r="A4" s="25"/>
      <c r="C4" s="27"/>
      <c r="D4" s="27"/>
      <c r="E4" t="s">
        <v>29</v>
      </c>
      <c r="F4" t="s">
        <v>30</v>
      </c>
      <c r="G4" t="s">
        <v>31</v>
      </c>
      <c r="H4" t="s">
        <v>32</v>
      </c>
      <c r="I4" s="29" t="s">
        <v>33</v>
      </c>
      <c r="J4" s="29" t="s">
        <v>34</v>
      </c>
      <c r="K4" s="29" t="s">
        <v>35</v>
      </c>
      <c r="L4" s="29" t="s">
        <v>36</v>
      </c>
      <c r="M4" s="37" t="s">
        <v>37</v>
      </c>
    </row>
    <row r="5" spans="1:13" ht="18.600000000000001" hidden="1" thickBot="1" x14ac:dyDescent="0.4">
      <c r="A5" s="25"/>
      <c r="C5" s="30"/>
      <c r="E5" t="e">
        <f>RIGHT(H2,2)</f>
        <v>#REF!</v>
      </c>
      <c r="F5" t="e">
        <f>LEFT(E5,1)</f>
        <v>#REF!</v>
      </c>
      <c r="G5" s="34" t="e">
        <f>TRUNC(C3)</f>
        <v>#REF!</v>
      </c>
      <c r="H5" s="18" t="e">
        <f>FIXED(C3-G5,I5)</f>
        <v>#REF!</v>
      </c>
      <c r="I5" t="e">
        <f>ABS(G8-H8)</f>
        <v>#REF!</v>
      </c>
      <c r="J5" t="e">
        <f>RIGHT(C3,I5)</f>
        <v>#REF!</v>
      </c>
      <c r="K5">
        <v>5.0000000000000002E-5</v>
      </c>
      <c r="L5" s="18" t="e">
        <f>(C3-K5)</f>
        <v>#REF!</v>
      </c>
      <c r="M5" s="38" t="e">
        <f>IF(E7=5,IF(AND(F3=0,F8=FALSE),L5,L6),L6)</f>
        <v>#REF!</v>
      </c>
    </row>
    <row r="6" spans="1:13" ht="15" hidden="1" thickBot="1" x14ac:dyDescent="0.35">
      <c r="A6" s="25"/>
      <c r="C6" s="25"/>
      <c r="E6" t="e">
        <f>RIGHT(E5,1)</f>
        <v>#REF!</v>
      </c>
      <c r="F6" t="e">
        <f>F5+0</f>
        <v>#REF!</v>
      </c>
      <c r="L6" t="e">
        <f>FIXED(C3,4)</f>
        <v>#REF!</v>
      </c>
      <c r="M6" s="35"/>
    </row>
    <row r="7" spans="1:13" ht="15" hidden="1" thickBot="1" x14ac:dyDescent="0.35">
      <c r="A7" s="25"/>
      <c r="C7" s="25"/>
      <c r="E7" t="e">
        <f>E6+0</f>
        <v>#REF!</v>
      </c>
      <c r="F7" t="s">
        <v>38</v>
      </c>
      <c r="G7" t="s">
        <v>39</v>
      </c>
      <c r="H7" t="s">
        <v>40</v>
      </c>
      <c r="M7" s="35"/>
    </row>
    <row r="8" spans="1:13" ht="15" hidden="1" thickBot="1" x14ac:dyDescent="0.35">
      <c r="A8" s="25"/>
      <c r="C8" s="25"/>
      <c r="F8" t="e">
        <f>ISODD(F5)</f>
        <v>#REF!</v>
      </c>
      <c r="G8" t="e">
        <f>LEN(C3)</f>
        <v>#REF!</v>
      </c>
      <c r="H8" t="e">
        <f>LEN(G5)+1</f>
        <v>#REF!</v>
      </c>
      <c r="M8" s="35"/>
    </row>
    <row r="9" spans="1:13" ht="15" hidden="1" thickBot="1" x14ac:dyDescent="0.35">
      <c r="A9" s="25"/>
      <c r="C9" s="25"/>
      <c r="M9" s="35"/>
    </row>
    <row r="10" spans="1:13" ht="15" hidden="1" thickBot="1" x14ac:dyDescent="0.35">
      <c r="A10" s="25"/>
      <c r="C10" s="205" t="s">
        <v>41</v>
      </c>
      <c r="D10" s="206"/>
      <c r="E10" s="206"/>
      <c r="F10" s="206"/>
      <c r="G10" s="206"/>
      <c r="H10" s="206"/>
      <c r="I10" s="206"/>
      <c r="J10" s="206"/>
      <c r="K10" s="206"/>
      <c r="L10" s="206"/>
      <c r="M10" s="207"/>
    </row>
    <row r="11" spans="1:13" ht="15" hidden="1" thickBot="1" x14ac:dyDescent="0.35">
      <c r="A11" s="25"/>
      <c r="C11" s="39" t="e">
        <f>M5</f>
        <v>#REF!</v>
      </c>
      <c r="E11" t="e">
        <f>FIXED(C3,5)</f>
        <v>#REF!</v>
      </c>
      <c r="F11" t="e">
        <f>RIGHT(E11,1)</f>
        <v>#REF!</v>
      </c>
      <c r="G11" t="e">
        <f>F11+0</f>
        <v>#REF!</v>
      </c>
      <c r="M11" s="35"/>
    </row>
    <row r="12" spans="1:13" ht="29.4" hidden="1" thickBot="1" x14ac:dyDescent="0.35">
      <c r="A12" s="25"/>
      <c r="C12" s="25"/>
      <c r="E12" t="s">
        <v>29</v>
      </c>
      <c r="F12" t="s">
        <v>30</v>
      </c>
      <c r="G12" t="s">
        <v>31</v>
      </c>
      <c r="H12" t="s">
        <v>32</v>
      </c>
      <c r="I12" s="29" t="s">
        <v>33</v>
      </c>
      <c r="J12" s="29" t="s">
        <v>34</v>
      </c>
      <c r="K12" s="29" t="s">
        <v>35</v>
      </c>
      <c r="L12" s="29" t="s">
        <v>36</v>
      </c>
      <c r="M12" s="37" t="s">
        <v>37</v>
      </c>
    </row>
    <row r="13" spans="1:13" ht="18.600000000000001" hidden="1" thickBot="1" x14ac:dyDescent="0.4">
      <c r="A13" s="25"/>
      <c r="C13" s="25"/>
      <c r="E13" t="e">
        <f>RIGHT(C11,2)</f>
        <v>#REF!</v>
      </c>
      <c r="F13" t="e">
        <f>LEFT(E13,1)</f>
        <v>#REF!</v>
      </c>
      <c r="G13" s="31" t="e">
        <f>TRUNC(C11)</f>
        <v>#REF!</v>
      </c>
      <c r="H13" s="18" t="e">
        <f>FIXED(C11-G13,I13)</f>
        <v>#REF!</v>
      </c>
      <c r="I13" t="e">
        <f>ABS(G16-H16)</f>
        <v>#REF!</v>
      </c>
      <c r="J13" t="e">
        <f>RIGHT(C11,I13)</f>
        <v>#REF!</v>
      </c>
      <c r="K13">
        <v>5.0000000000000001E-4</v>
      </c>
      <c r="L13" s="20" t="e">
        <f>(C11-K13)</f>
        <v>#REF!</v>
      </c>
      <c r="M13" s="40" t="e">
        <f>IF(E15=5,IF(AND(G11=0,F16=FALSE),L13,L14),L14)</f>
        <v>#REF!</v>
      </c>
    </row>
    <row r="14" spans="1:13" ht="15" hidden="1" thickBot="1" x14ac:dyDescent="0.35">
      <c r="A14" s="25"/>
      <c r="C14" s="25"/>
      <c r="E14" t="e">
        <f>RIGHT(E13,1)</f>
        <v>#REF!</v>
      </c>
      <c r="F14" t="e">
        <f>F13+0</f>
        <v>#REF!</v>
      </c>
      <c r="L14" t="e">
        <f>FIXED(C11,3)</f>
        <v>#REF!</v>
      </c>
      <c r="M14" s="35"/>
    </row>
    <row r="15" spans="1:13" ht="15" hidden="1" thickBot="1" x14ac:dyDescent="0.35">
      <c r="A15" s="25"/>
      <c r="C15" s="25"/>
      <c r="E15" t="e">
        <f>E14+0</f>
        <v>#REF!</v>
      </c>
      <c r="F15" t="s">
        <v>38</v>
      </c>
      <c r="G15" t="s">
        <v>39</v>
      </c>
      <c r="H15" t="s">
        <v>40</v>
      </c>
      <c r="M15" s="35"/>
    </row>
    <row r="16" spans="1:13" ht="15" hidden="1" thickBot="1" x14ac:dyDescent="0.35">
      <c r="A16" s="25"/>
      <c r="C16" s="25"/>
      <c r="F16" t="e">
        <f>ISODD(F13)</f>
        <v>#REF!</v>
      </c>
      <c r="G16" t="e">
        <f>LEN(C11)</f>
        <v>#REF!</v>
      </c>
      <c r="H16" t="e">
        <f>LEN(G13)+1</f>
        <v>#REF!</v>
      </c>
      <c r="M16" s="35"/>
    </row>
    <row r="17" spans="1:13" ht="15" hidden="1" thickBot="1" x14ac:dyDescent="0.35">
      <c r="A17" s="25"/>
      <c r="C17" s="25"/>
      <c r="M17" s="35"/>
    </row>
    <row r="18" spans="1:13" ht="15" hidden="1" thickBot="1" x14ac:dyDescent="0.35">
      <c r="A18" s="25"/>
      <c r="C18" s="205" t="s">
        <v>42</v>
      </c>
      <c r="D18" s="206"/>
      <c r="E18" s="206"/>
      <c r="F18" s="206"/>
      <c r="G18" s="206"/>
      <c r="H18" s="206"/>
      <c r="I18" s="206"/>
      <c r="J18" s="206"/>
      <c r="K18" s="206"/>
      <c r="L18" s="206"/>
      <c r="M18" s="207"/>
    </row>
    <row r="19" spans="1:13" ht="15" hidden="1" thickBot="1" x14ac:dyDescent="0.35">
      <c r="A19" s="25"/>
      <c r="C19" s="39" t="e">
        <f>M13</f>
        <v>#REF!</v>
      </c>
      <c r="E19" t="e">
        <f>FIXED(C11,4)</f>
        <v>#REF!</v>
      </c>
      <c r="F19" t="e">
        <f>RIGHT(E19,1)</f>
        <v>#REF!</v>
      </c>
      <c r="G19" t="e">
        <f>F19+0</f>
        <v>#REF!</v>
      </c>
      <c r="M19" s="35"/>
    </row>
    <row r="20" spans="1:13" ht="29.4" hidden="1" thickBot="1" x14ac:dyDescent="0.35">
      <c r="A20" s="25"/>
      <c r="C20" s="25"/>
      <c r="E20" t="s">
        <v>29</v>
      </c>
      <c r="F20" t="s">
        <v>30</v>
      </c>
      <c r="G20" t="s">
        <v>31</v>
      </c>
      <c r="H20" t="s">
        <v>32</v>
      </c>
      <c r="I20" s="29" t="s">
        <v>33</v>
      </c>
      <c r="J20" s="29" t="s">
        <v>34</v>
      </c>
      <c r="K20" s="29" t="s">
        <v>35</v>
      </c>
      <c r="L20" s="29" t="s">
        <v>36</v>
      </c>
      <c r="M20" s="37" t="s">
        <v>37</v>
      </c>
    </row>
    <row r="21" spans="1:13" ht="18.600000000000001" hidden="1" thickBot="1" x14ac:dyDescent="0.4">
      <c r="A21" s="25"/>
      <c r="C21" s="25"/>
      <c r="E21" t="e">
        <f>RIGHT(C19,2)</f>
        <v>#REF!</v>
      </c>
      <c r="F21" t="e">
        <f>LEFT(E21,1)</f>
        <v>#REF!</v>
      </c>
      <c r="G21" s="31" t="e">
        <f>TRUNC(C19)</f>
        <v>#REF!</v>
      </c>
      <c r="H21" s="18" t="e">
        <f>FIXED(C19-G21,I21)</f>
        <v>#REF!</v>
      </c>
      <c r="I21" t="e">
        <f>ABS(G24-H24)</f>
        <v>#REF!</v>
      </c>
      <c r="J21" t="e">
        <f>RIGHT(C19,I21)</f>
        <v>#REF!</v>
      </c>
      <c r="K21">
        <v>5.0000000000000001E-3</v>
      </c>
      <c r="L21" s="32" t="e">
        <f>(C19-K21)</f>
        <v>#REF!</v>
      </c>
      <c r="M21" s="41" t="e">
        <f>IF(E23=5,IF(AND(G19=0,F24=FALSE),L21,L22),L22)</f>
        <v>#REF!</v>
      </c>
    </row>
    <row r="22" spans="1:13" ht="18.600000000000001" hidden="1" thickBot="1" x14ac:dyDescent="0.4">
      <c r="A22" s="25"/>
      <c r="C22" s="25"/>
      <c r="E22" t="e">
        <f>RIGHT(E21,1)</f>
        <v>#REF!</v>
      </c>
      <c r="F22" t="e">
        <f>F21+0</f>
        <v>#REF!</v>
      </c>
      <c r="L22" t="e">
        <f>FIXED(C19,2)</f>
        <v>#REF!</v>
      </c>
      <c r="M22" s="41"/>
    </row>
    <row r="23" spans="1:13" ht="15" hidden="1" thickBot="1" x14ac:dyDescent="0.35">
      <c r="A23" s="25"/>
      <c r="C23" s="25"/>
      <c r="E23" t="e">
        <f>E22+0</f>
        <v>#REF!</v>
      </c>
      <c r="F23" t="s">
        <v>38</v>
      </c>
      <c r="G23" t="s">
        <v>39</v>
      </c>
      <c r="H23" t="s">
        <v>40</v>
      </c>
      <c r="M23" s="35"/>
    </row>
    <row r="24" spans="1:13" ht="15" hidden="1" thickBot="1" x14ac:dyDescent="0.35">
      <c r="A24" s="25"/>
      <c r="C24" s="25"/>
      <c r="F24" t="e">
        <f>ISODD(F21)</f>
        <v>#REF!</v>
      </c>
      <c r="G24" t="e">
        <f>LEN(C19)</f>
        <v>#REF!</v>
      </c>
      <c r="H24" t="e">
        <f>LEN(G21)+1</f>
        <v>#REF!</v>
      </c>
      <c r="M24" s="35"/>
    </row>
    <row r="25" spans="1:13" ht="15" hidden="1" thickBot="1" x14ac:dyDescent="0.35">
      <c r="A25" s="25"/>
      <c r="C25" s="25"/>
      <c r="M25" s="35"/>
    </row>
    <row r="26" spans="1:13" ht="15" hidden="1" thickBot="1" x14ac:dyDescent="0.35">
      <c r="A26" s="25"/>
      <c r="C26" s="205" t="s">
        <v>43</v>
      </c>
      <c r="D26" s="206"/>
      <c r="E26" s="206"/>
      <c r="F26" s="206"/>
      <c r="G26" s="206"/>
      <c r="H26" s="206"/>
      <c r="I26" s="206"/>
      <c r="J26" s="206"/>
      <c r="K26" s="206"/>
      <c r="L26" s="206"/>
      <c r="M26" s="207"/>
    </row>
    <row r="27" spans="1:13" ht="15" hidden="1" thickBot="1" x14ac:dyDescent="0.35">
      <c r="A27" s="25"/>
      <c r="C27" s="42" t="e">
        <f>M21</f>
        <v>#REF!</v>
      </c>
      <c r="E27" t="e">
        <f>FIXED(C19,3)</f>
        <v>#REF!</v>
      </c>
      <c r="F27" t="e">
        <f>RIGHT(E27,1)</f>
        <v>#REF!</v>
      </c>
      <c r="G27" t="e">
        <f>F27+0</f>
        <v>#REF!</v>
      </c>
      <c r="M27" s="35"/>
    </row>
    <row r="28" spans="1:13" ht="29.4" hidden="1" thickBot="1" x14ac:dyDescent="0.35">
      <c r="A28" s="25"/>
      <c r="C28" s="25"/>
      <c r="E28" t="s">
        <v>29</v>
      </c>
      <c r="F28" t="s">
        <v>30</v>
      </c>
      <c r="G28" t="s">
        <v>31</v>
      </c>
      <c r="H28" t="s">
        <v>32</v>
      </c>
      <c r="I28" s="29" t="s">
        <v>33</v>
      </c>
      <c r="J28" s="29" t="s">
        <v>34</v>
      </c>
      <c r="K28" s="29" t="s">
        <v>35</v>
      </c>
      <c r="L28" s="29" t="s">
        <v>36</v>
      </c>
      <c r="M28" s="37" t="s">
        <v>37</v>
      </c>
    </row>
    <row r="29" spans="1:13" ht="18.600000000000001" hidden="1" thickBot="1" x14ac:dyDescent="0.4">
      <c r="A29" s="25"/>
      <c r="C29" s="25"/>
      <c r="E29" t="e">
        <f>RIGHT(C27,2)</f>
        <v>#REF!</v>
      </c>
      <c r="F29" t="e">
        <f>LEFT(E29,1)</f>
        <v>#REF!</v>
      </c>
      <c r="G29" s="31" t="e">
        <f>TRUNC(C27)</f>
        <v>#REF!</v>
      </c>
      <c r="H29" s="18" t="e">
        <f>FIXED(C27-G29,I29)</f>
        <v>#REF!</v>
      </c>
      <c r="I29" t="e">
        <f>ABS(G32-H32)</f>
        <v>#REF!</v>
      </c>
      <c r="J29" t="e">
        <f>RIGHT(C27,I29)</f>
        <v>#REF!</v>
      </c>
      <c r="K29">
        <v>0.05</v>
      </c>
      <c r="L29" s="32" t="e">
        <f>(C27-K29)</f>
        <v>#REF!</v>
      </c>
      <c r="M29" s="41" t="e">
        <f>IF(E31=5,IF(AND(G27=0,F32=FALSE),L29,L30),L30)</f>
        <v>#REF!</v>
      </c>
    </row>
    <row r="30" spans="1:13" ht="15" hidden="1" thickBot="1" x14ac:dyDescent="0.35">
      <c r="A30" s="25"/>
      <c r="C30" s="25"/>
      <c r="E30" t="e">
        <f>RIGHT(E29,1)</f>
        <v>#REF!</v>
      </c>
      <c r="F30" t="e">
        <f>F29+0</f>
        <v>#REF!</v>
      </c>
      <c r="L30" t="e">
        <f>FIXED(C27,1)</f>
        <v>#REF!</v>
      </c>
      <c r="M30" s="43"/>
    </row>
    <row r="31" spans="1:13" ht="15" hidden="1" thickBot="1" x14ac:dyDescent="0.35">
      <c r="A31" s="25"/>
      <c r="C31" s="25"/>
      <c r="E31" t="e">
        <f>E30+0</f>
        <v>#REF!</v>
      </c>
      <c r="F31" t="s">
        <v>38</v>
      </c>
      <c r="G31" t="s">
        <v>39</v>
      </c>
      <c r="H31" t="s">
        <v>40</v>
      </c>
      <c r="M31" s="35"/>
    </row>
    <row r="32" spans="1:13" ht="15" hidden="1" thickBot="1" x14ac:dyDescent="0.35">
      <c r="A32" s="25"/>
      <c r="C32" s="25"/>
      <c r="F32" t="e">
        <f>ISODD(F29)</f>
        <v>#REF!</v>
      </c>
      <c r="G32" t="e">
        <f>LEN(C27)</f>
        <v>#REF!</v>
      </c>
      <c r="H32" t="e">
        <f>LEN(G29)+1</f>
        <v>#REF!</v>
      </c>
      <c r="M32" s="35"/>
    </row>
    <row r="33" spans="1:13" ht="15" hidden="1" thickBot="1" x14ac:dyDescent="0.35">
      <c r="A33" s="25"/>
      <c r="C33" s="25"/>
      <c r="M33" s="35"/>
    </row>
    <row r="34" spans="1:13" ht="15" hidden="1" thickBot="1" x14ac:dyDescent="0.35">
      <c r="A34" s="25"/>
      <c r="C34" s="205" t="s">
        <v>44</v>
      </c>
      <c r="D34" s="206"/>
      <c r="E34" s="206"/>
      <c r="F34" s="206"/>
      <c r="G34" s="206"/>
      <c r="H34" s="206"/>
      <c r="I34" s="206"/>
      <c r="J34" s="206"/>
      <c r="K34" s="206"/>
      <c r="L34" s="206"/>
      <c r="M34" s="207"/>
    </row>
    <row r="35" spans="1:13" ht="15" hidden="1" thickBot="1" x14ac:dyDescent="0.35">
      <c r="A35" s="25"/>
      <c r="C35" s="42" t="e">
        <f>M29</f>
        <v>#REF!</v>
      </c>
      <c r="E35" t="e">
        <f>FIXED(C27,2)</f>
        <v>#REF!</v>
      </c>
      <c r="F35" t="e">
        <f>RIGHT(E35,1)</f>
        <v>#REF!</v>
      </c>
      <c r="G35" t="e">
        <f>F35+0</f>
        <v>#REF!</v>
      </c>
      <c r="M35" s="35"/>
    </row>
    <row r="36" spans="1:13" ht="29.4" hidden="1" thickBot="1" x14ac:dyDescent="0.35">
      <c r="A36" s="25"/>
      <c r="C36" s="25"/>
      <c r="E36" t="s">
        <v>29</v>
      </c>
      <c r="F36" t="s">
        <v>30</v>
      </c>
      <c r="G36" t="s">
        <v>31</v>
      </c>
      <c r="H36" t="s">
        <v>32</v>
      </c>
      <c r="I36" s="29" t="s">
        <v>33</v>
      </c>
      <c r="J36" s="29" t="s">
        <v>34</v>
      </c>
      <c r="K36" s="29" t="s">
        <v>35</v>
      </c>
      <c r="L36" s="29" t="s">
        <v>36</v>
      </c>
      <c r="M36" s="37" t="s">
        <v>37</v>
      </c>
    </row>
    <row r="37" spans="1:13" ht="18.600000000000001" hidden="1" thickBot="1" x14ac:dyDescent="0.4">
      <c r="A37" s="25"/>
      <c r="C37" s="25"/>
      <c r="E37" t="e">
        <f>RIGHT(C35,2)</f>
        <v>#REF!</v>
      </c>
      <c r="F37" t="e">
        <f>RIGHT(G37,1)</f>
        <v>#REF!</v>
      </c>
      <c r="G37" s="31" t="e">
        <f>TRUNC(C35)</f>
        <v>#REF!</v>
      </c>
      <c r="H37" s="18" t="e">
        <f>FIXED(C35-G37,I37)</f>
        <v>#REF!</v>
      </c>
      <c r="I37" t="e">
        <f>ABS(G40-H40)</f>
        <v>#REF!</v>
      </c>
      <c r="J37" t="e">
        <f>RIGHT(C35,I37)</f>
        <v>#REF!</v>
      </c>
      <c r="K37">
        <v>0.5</v>
      </c>
      <c r="L37" s="16" t="e">
        <f>(C35-K37)</f>
        <v>#REF!</v>
      </c>
      <c r="M37" s="44" t="e">
        <f>IF(E39=5,IF(AND(G35=0,F40=FALSE),L37,L38),L38)</f>
        <v>#REF!</v>
      </c>
    </row>
    <row r="38" spans="1:13" ht="15" hidden="1" thickBot="1" x14ac:dyDescent="0.35">
      <c r="A38" s="25"/>
      <c r="C38" s="25"/>
      <c r="E38" t="e">
        <f>RIGHT(E37,1)</f>
        <v>#REF!</v>
      </c>
      <c r="F38" t="e">
        <f>F37+0</f>
        <v>#REF!</v>
      </c>
      <c r="L38" t="e">
        <f>FIXED(C35,0)</f>
        <v>#REF!</v>
      </c>
      <c r="M38" s="45"/>
    </row>
    <row r="39" spans="1:13" ht="15" hidden="1" thickBot="1" x14ac:dyDescent="0.35">
      <c r="A39" s="25"/>
      <c r="C39" s="25"/>
      <c r="E39" t="e">
        <f>E38+0</f>
        <v>#REF!</v>
      </c>
      <c r="F39" t="s">
        <v>38</v>
      </c>
      <c r="G39" t="s">
        <v>39</v>
      </c>
      <c r="H39" t="s">
        <v>40</v>
      </c>
      <c r="M39" s="35"/>
    </row>
    <row r="40" spans="1:13" ht="15" hidden="1" thickBot="1" x14ac:dyDescent="0.35">
      <c r="A40" s="48"/>
      <c r="B40" s="33"/>
      <c r="C40" s="33"/>
      <c r="D40" s="33"/>
      <c r="E40" s="33"/>
      <c r="F40" s="33" t="e">
        <f>ISODD(F37)</f>
        <v>#REF!</v>
      </c>
      <c r="G40" s="33" t="e">
        <f>LEN(C35)</f>
        <v>#REF!</v>
      </c>
      <c r="H40" s="33" t="e">
        <f>LEN(G37)+1</f>
        <v>#REF!</v>
      </c>
      <c r="I40" s="33"/>
      <c r="J40" s="33"/>
      <c r="K40" s="33"/>
      <c r="L40" s="33"/>
      <c r="M40" s="46"/>
    </row>
    <row r="41" spans="1:13" ht="15" thickBot="1" x14ac:dyDescent="0.35">
      <c r="C41" s="208" t="s">
        <v>46</v>
      </c>
      <c r="D41" s="209"/>
      <c r="E41" s="209"/>
      <c r="F41" s="209"/>
      <c r="G41" s="209"/>
      <c r="H41" s="209"/>
      <c r="I41" s="209"/>
      <c r="J41" s="209"/>
      <c r="K41" s="209"/>
      <c r="L41" s="209"/>
      <c r="M41" s="210"/>
    </row>
    <row r="42" spans="1:13" ht="15" thickBot="1" x14ac:dyDescent="0.35">
      <c r="C42" s="25" t="s">
        <v>26</v>
      </c>
      <c r="D42" s="19" t="s">
        <v>27</v>
      </c>
      <c r="E42" t="e">
        <f>FIXED(C43,6)</f>
        <v>#REF!</v>
      </c>
      <c r="F42" t="e">
        <f>RIGHT(E42,1)</f>
        <v>#REF!</v>
      </c>
      <c r="G42" t="e">
        <f>F42/1000000</f>
        <v>#REF!</v>
      </c>
      <c r="H42" s="34" t="e">
        <f>C43-G42</f>
        <v>#REF!</v>
      </c>
      <c r="J42" t="e">
        <f>IF(E47=5,IF(AND(F43=0,F48=FALSE),L45,L46),L46)</f>
        <v>#REF!</v>
      </c>
      <c r="M42" s="35"/>
    </row>
    <row r="43" spans="1:13" ht="18.600000000000001" thickBot="1" x14ac:dyDescent="0.4">
      <c r="C43" s="26" t="e">
        <f>INCERTIDUMBRE!M6</f>
        <v>#REF!</v>
      </c>
      <c r="D43" s="36" t="e">
        <f>IF(C43&gt;=10,M77,IF(C43&gt;=1,M69,IF(C43&gt;=0.1,M61,IF(C43&gt;=0.01,M53,IF(C43&gt;=0.001,M45)))))</f>
        <v>#REF!</v>
      </c>
      <c r="E43" t="s">
        <v>28</v>
      </c>
      <c r="F43" t="e">
        <f>F42+0</f>
        <v>#REF!</v>
      </c>
      <c r="M43" s="35"/>
    </row>
    <row r="44" spans="1:13" ht="29.4" hidden="1" thickBot="1" x14ac:dyDescent="0.35">
      <c r="C44" s="27"/>
      <c r="D44" s="27"/>
      <c r="E44" t="s">
        <v>29</v>
      </c>
      <c r="F44" t="s">
        <v>30</v>
      </c>
      <c r="G44" t="s">
        <v>31</v>
      </c>
      <c r="H44" t="s">
        <v>32</v>
      </c>
      <c r="I44" s="29" t="s">
        <v>33</v>
      </c>
      <c r="J44" s="29" t="s">
        <v>34</v>
      </c>
      <c r="K44" s="29" t="s">
        <v>35</v>
      </c>
      <c r="L44" s="29" t="s">
        <v>36</v>
      </c>
      <c r="M44" s="37" t="s">
        <v>37</v>
      </c>
    </row>
    <row r="45" spans="1:13" ht="18.600000000000001" hidden="1" thickBot="1" x14ac:dyDescent="0.4">
      <c r="C45" s="30"/>
      <c r="E45" t="e">
        <f>RIGHT(H42,2)</f>
        <v>#REF!</v>
      </c>
      <c r="F45" t="e">
        <f>LEFT(E45,1)</f>
        <v>#REF!</v>
      </c>
      <c r="G45" s="34" t="e">
        <f>TRUNC(C43)</f>
        <v>#REF!</v>
      </c>
      <c r="H45" s="18" t="e">
        <f>FIXED(C43-G45,I45)</f>
        <v>#REF!</v>
      </c>
      <c r="I45" t="e">
        <f>ABS(G48-H48)</f>
        <v>#REF!</v>
      </c>
      <c r="J45" t="e">
        <f>RIGHT(C43,I45)</f>
        <v>#REF!</v>
      </c>
      <c r="K45">
        <v>5.0000000000000002E-5</v>
      </c>
      <c r="L45" s="18" t="e">
        <f>(C43-K45)</f>
        <v>#REF!</v>
      </c>
      <c r="M45" s="38" t="e">
        <f>IF(E47=5,IF(AND(F43=0,F48=FALSE),L45,L46),L46)</f>
        <v>#REF!</v>
      </c>
    </row>
    <row r="46" spans="1:13" ht="15" hidden="1" thickBot="1" x14ac:dyDescent="0.35">
      <c r="C46" s="25"/>
      <c r="E46" t="e">
        <f>RIGHT(E45,1)</f>
        <v>#REF!</v>
      </c>
      <c r="F46" t="e">
        <f>F45+0</f>
        <v>#REF!</v>
      </c>
      <c r="L46" t="e">
        <f>FIXED(C43,4)</f>
        <v>#REF!</v>
      </c>
      <c r="M46" s="35"/>
    </row>
    <row r="47" spans="1:13" ht="15" hidden="1" thickBot="1" x14ac:dyDescent="0.35">
      <c r="C47" s="25"/>
      <c r="E47" t="e">
        <f>E46+0</f>
        <v>#REF!</v>
      </c>
      <c r="F47" t="s">
        <v>38</v>
      </c>
      <c r="G47" t="s">
        <v>39</v>
      </c>
      <c r="H47" t="s">
        <v>40</v>
      </c>
      <c r="M47" s="35"/>
    </row>
    <row r="48" spans="1:13" ht="15" hidden="1" thickBot="1" x14ac:dyDescent="0.35">
      <c r="C48" s="25"/>
      <c r="F48" t="e">
        <f>ISODD(F45)</f>
        <v>#REF!</v>
      </c>
      <c r="G48" t="e">
        <f>LEN(C43)</f>
        <v>#REF!</v>
      </c>
      <c r="H48" t="e">
        <f>LEN(G45)+1</f>
        <v>#REF!</v>
      </c>
      <c r="M48" s="35"/>
    </row>
    <row r="49" spans="3:13" ht="15" hidden="1" thickBot="1" x14ac:dyDescent="0.35">
      <c r="C49" s="25"/>
      <c r="M49" s="35"/>
    </row>
    <row r="50" spans="3:13" ht="15" hidden="1" thickBot="1" x14ac:dyDescent="0.35">
      <c r="C50" s="205" t="s">
        <v>41</v>
      </c>
      <c r="D50" s="206"/>
      <c r="E50" s="206"/>
      <c r="F50" s="206"/>
      <c r="G50" s="206"/>
      <c r="H50" s="206"/>
      <c r="I50" s="206"/>
      <c r="J50" s="206"/>
      <c r="K50" s="206"/>
      <c r="L50" s="206"/>
      <c r="M50" s="207"/>
    </row>
    <row r="51" spans="3:13" ht="15" hidden="1" thickBot="1" x14ac:dyDescent="0.35">
      <c r="C51" s="39" t="e">
        <f>M45</f>
        <v>#REF!</v>
      </c>
      <c r="E51" t="e">
        <f>FIXED(C43,5)</f>
        <v>#REF!</v>
      </c>
      <c r="F51" t="e">
        <f>RIGHT(E51,1)</f>
        <v>#REF!</v>
      </c>
      <c r="G51" t="e">
        <f>F51+0</f>
        <v>#REF!</v>
      </c>
      <c r="M51" s="35"/>
    </row>
    <row r="52" spans="3:13" ht="29.4" hidden="1" thickBot="1" x14ac:dyDescent="0.35">
      <c r="C52" s="25"/>
      <c r="E52" t="s">
        <v>29</v>
      </c>
      <c r="F52" t="s">
        <v>30</v>
      </c>
      <c r="G52" t="s">
        <v>31</v>
      </c>
      <c r="H52" t="s">
        <v>32</v>
      </c>
      <c r="I52" s="29" t="s">
        <v>33</v>
      </c>
      <c r="J52" s="29" t="s">
        <v>34</v>
      </c>
      <c r="K52" s="29" t="s">
        <v>35</v>
      </c>
      <c r="L52" s="29" t="s">
        <v>36</v>
      </c>
      <c r="M52" s="37" t="s">
        <v>37</v>
      </c>
    </row>
    <row r="53" spans="3:13" ht="18.600000000000001" hidden="1" thickBot="1" x14ac:dyDescent="0.4">
      <c r="C53" s="25"/>
      <c r="E53" t="e">
        <f>RIGHT(C51,2)</f>
        <v>#REF!</v>
      </c>
      <c r="F53" t="e">
        <f>LEFT(E53,1)</f>
        <v>#REF!</v>
      </c>
      <c r="G53" s="31" t="e">
        <f>TRUNC(C51)</f>
        <v>#REF!</v>
      </c>
      <c r="H53" s="18" t="e">
        <f>FIXED(C51-G53,I53)</f>
        <v>#REF!</v>
      </c>
      <c r="I53" t="e">
        <f>ABS(G56-H56)</f>
        <v>#REF!</v>
      </c>
      <c r="J53" t="e">
        <f>RIGHT(C51,I53)</f>
        <v>#REF!</v>
      </c>
      <c r="K53">
        <v>5.0000000000000001E-4</v>
      </c>
      <c r="L53" s="20" t="e">
        <f>(C51-K53)</f>
        <v>#REF!</v>
      </c>
      <c r="M53" s="40" t="e">
        <f>IF(E55=5,IF(AND(G51=0,F56=FALSE),L53,L54),L54)</f>
        <v>#REF!</v>
      </c>
    </row>
    <row r="54" spans="3:13" ht="15" hidden="1" thickBot="1" x14ac:dyDescent="0.35">
      <c r="C54" s="25"/>
      <c r="E54" t="e">
        <f>RIGHT(E53,1)</f>
        <v>#REF!</v>
      </c>
      <c r="F54" t="e">
        <f>F53+0</f>
        <v>#REF!</v>
      </c>
      <c r="L54" t="e">
        <f>FIXED(C51,3)</f>
        <v>#REF!</v>
      </c>
      <c r="M54" s="35"/>
    </row>
    <row r="55" spans="3:13" ht="15" hidden="1" thickBot="1" x14ac:dyDescent="0.35">
      <c r="C55" s="25"/>
      <c r="E55" t="e">
        <f>E54+0</f>
        <v>#REF!</v>
      </c>
      <c r="F55" t="s">
        <v>38</v>
      </c>
      <c r="G55" t="s">
        <v>39</v>
      </c>
      <c r="H55" t="s">
        <v>40</v>
      </c>
      <c r="M55" s="35"/>
    </row>
    <row r="56" spans="3:13" ht="15" hidden="1" thickBot="1" x14ac:dyDescent="0.35">
      <c r="C56" s="25"/>
      <c r="F56" t="e">
        <f>ISODD(F53)</f>
        <v>#REF!</v>
      </c>
      <c r="G56" t="e">
        <f>LEN(C51)</f>
        <v>#REF!</v>
      </c>
      <c r="H56" t="e">
        <f>LEN(G53)+1</f>
        <v>#REF!</v>
      </c>
      <c r="M56" s="35"/>
    </row>
    <row r="57" spans="3:13" ht="15" hidden="1" thickBot="1" x14ac:dyDescent="0.35">
      <c r="C57" s="25"/>
      <c r="M57" s="35"/>
    </row>
    <row r="58" spans="3:13" ht="15" hidden="1" thickBot="1" x14ac:dyDescent="0.35">
      <c r="C58" s="205" t="s">
        <v>42</v>
      </c>
      <c r="D58" s="206"/>
      <c r="E58" s="206"/>
      <c r="F58" s="206"/>
      <c r="G58" s="206"/>
      <c r="H58" s="206"/>
      <c r="I58" s="206"/>
      <c r="J58" s="206"/>
      <c r="K58" s="206"/>
      <c r="L58" s="206"/>
      <c r="M58" s="207"/>
    </row>
    <row r="59" spans="3:13" ht="15" hidden="1" thickBot="1" x14ac:dyDescent="0.35">
      <c r="C59" s="39" t="e">
        <f>M53</f>
        <v>#REF!</v>
      </c>
      <c r="E59" t="e">
        <f>FIXED(C51,4)</f>
        <v>#REF!</v>
      </c>
      <c r="F59" t="e">
        <f>RIGHT(E59,1)</f>
        <v>#REF!</v>
      </c>
      <c r="G59" t="e">
        <f>F59+0</f>
        <v>#REF!</v>
      </c>
      <c r="M59" s="35"/>
    </row>
    <row r="60" spans="3:13" ht="29.4" hidden="1" thickBot="1" x14ac:dyDescent="0.35">
      <c r="C60" s="25"/>
      <c r="E60" t="s">
        <v>29</v>
      </c>
      <c r="F60" t="s">
        <v>30</v>
      </c>
      <c r="G60" t="s">
        <v>31</v>
      </c>
      <c r="H60" t="s">
        <v>32</v>
      </c>
      <c r="I60" s="29" t="s">
        <v>33</v>
      </c>
      <c r="J60" s="29" t="s">
        <v>34</v>
      </c>
      <c r="K60" s="29" t="s">
        <v>35</v>
      </c>
      <c r="L60" s="29" t="s">
        <v>36</v>
      </c>
      <c r="M60" s="37" t="s">
        <v>37</v>
      </c>
    </row>
    <row r="61" spans="3:13" ht="18.600000000000001" hidden="1" thickBot="1" x14ac:dyDescent="0.4">
      <c r="C61" s="25"/>
      <c r="E61" t="e">
        <f>RIGHT(C59,2)</f>
        <v>#REF!</v>
      </c>
      <c r="F61" t="e">
        <f>LEFT(E61,1)</f>
        <v>#REF!</v>
      </c>
      <c r="G61" s="31" t="e">
        <f>TRUNC(C59)</f>
        <v>#REF!</v>
      </c>
      <c r="H61" s="18" t="e">
        <f>FIXED(C59-G61,I61)</f>
        <v>#REF!</v>
      </c>
      <c r="I61" t="e">
        <f>ABS(G64-H64)</f>
        <v>#REF!</v>
      </c>
      <c r="J61" t="e">
        <f>RIGHT(C59,I61)</f>
        <v>#REF!</v>
      </c>
      <c r="K61">
        <v>5.0000000000000001E-3</v>
      </c>
      <c r="L61" s="32" t="e">
        <f>(C59-K61)</f>
        <v>#REF!</v>
      </c>
      <c r="M61" s="41" t="e">
        <f>IF(E63=5,IF(AND(G59=0,F64=FALSE),L61,L62),L62)</f>
        <v>#REF!</v>
      </c>
    </row>
    <row r="62" spans="3:13" ht="18.600000000000001" hidden="1" thickBot="1" x14ac:dyDescent="0.4">
      <c r="C62" s="25"/>
      <c r="E62" t="e">
        <f>RIGHT(E61,1)</f>
        <v>#REF!</v>
      </c>
      <c r="F62" t="e">
        <f>F61+0</f>
        <v>#REF!</v>
      </c>
      <c r="L62" t="e">
        <f>FIXED(C59,2)</f>
        <v>#REF!</v>
      </c>
      <c r="M62" s="41"/>
    </row>
    <row r="63" spans="3:13" ht="15" hidden="1" thickBot="1" x14ac:dyDescent="0.35">
      <c r="C63" s="25"/>
      <c r="E63" t="e">
        <f>E62+0</f>
        <v>#REF!</v>
      </c>
      <c r="F63" t="s">
        <v>38</v>
      </c>
      <c r="G63" t="s">
        <v>39</v>
      </c>
      <c r="H63" t="s">
        <v>40</v>
      </c>
      <c r="M63" s="35"/>
    </row>
    <row r="64" spans="3:13" ht="15" hidden="1" thickBot="1" x14ac:dyDescent="0.35">
      <c r="C64" s="25"/>
      <c r="F64" t="e">
        <f>ISODD(F61)</f>
        <v>#REF!</v>
      </c>
      <c r="G64" t="e">
        <f>LEN(C59)</f>
        <v>#REF!</v>
      </c>
      <c r="H64" t="e">
        <f>LEN(G61)+1</f>
        <v>#REF!</v>
      </c>
      <c r="M64" s="35"/>
    </row>
    <row r="65" spans="3:13" ht="15" hidden="1" thickBot="1" x14ac:dyDescent="0.35">
      <c r="C65" s="25"/>
      <c r="M65" s="35"/>
    </row>
    <row r="66" spans="3:13" ht="15" hidden="1" thickBot="1" x14ac:dyDescent="0.35">
      <c r="C66" s="205" t="s">
        <v>43</v>
      </c>
      <c r="D66" s="206"/>
      <c r="E66" s="206"/>
      <c r="F66" s="206"/>
      <c r="G66" s="206"/>
      <c r="H66" s="206"/>
      <c r="I66" s="206"/>
      <c r="J66" s="206"/>
      <c r="K66" s="206"/>
      <c r="L66" s="206"/>
      <c r="M66" s="207"/>
    </row>
    <row r="67" spans="3:13" ht="15" hidden="1" thickBot="1" x14ac:dyDescent="0.35">
      <c r="C67" s="42" t="e">
        <f>M61</f>
        <v>#REF!</v>
      </c>
      <c r="E67" t="e">
        <f>FIXED(C59,3)</f>
        <v>#REF!</v>
      </c>
      <c r="F67" t="e">
        <f>RIGHT(E67,1)</f>
        <v>#REF!</v>
      </c>
      <c r="G67" t="e">
        <f>F67+0</f>
        <v>#REF!</v>
      </c>
      <c r="M67" s="35"/>
    </row>
    <row r="68" spans="3:13" ht="29.4" hidden="1" thickBot="1" x14ac:dyDescent="0.35">
      <c r="C68" s="25"/>
      <c r="E68" t="s">
        <v>29</v>
      </c>
      <c r="F68" t="s">
        <v>30</v>
      </c>
      <c r="G68" t="s">
        <v>31</v>
      </c>
      <c r="H68" t="s">
        <v>32</v>
      </c>
      <c r="I68" s="29" t="s">
        <v>33</v>
      </c>
      <c r="J68" s="29" t="s">
        <v>34</v>
      </c>
      <c r="K68" s="29" t="s">
        <v>35</v>
      </c>
      <c r="L68" s="29" t="s">
        <v>36</v>
      </c>
      <c r="M68" s="37" t="s">
        <v>37</v>
      </c>
    </row>
    <row r="69" spans="3:13" ht="18.600000000000001" hidden="1" thickBot="1" x14ac:dyDescent="0.4">
      <c r="C69" s="25"/>
      <c r="E69" t="e">
        <f>RIGHT(C67,2)</f>
        <v>#REF!</v>
      </c>
      <c r="F69" t="e">
        <f>LEFT(E69,1)</f>
        <v>#REF!</v>
      </c>
      <c r="G69" s="31" t="e">
        <f>TRUNC(C67)</f>
        <v>#REF!</v>
      </c>
      <c r="H69" s="18" t="e">
        <f>FIXED(C67-G69,I69)</f>
        <v>#REF!</v>
      </c>
      <c r="I69" t="e">
        <f>ABS(G72-H72)</f>
        <v>#REF!</v>
      </c>
      <c r="J69" t="e">
        <f>RIGHT(C67,I69)</f>
        <v>#REF!</v>
      </c>
      <c r="K69">
        <v>0.05</v>
      </c>
      <c r="L69" s="32" t="e">
        <f>(C67-K69)</f>
        <v>#REF!</v>
      </c>
      <c r="M69" s="41" t="e">
        <f>IF(E71=5,IF(AND(G67=0,F72=FALSE),L69,L70),L70)</f>
        <v>#REF!</v>
      </c>
    </row>
    <row r="70" spans="3:13" ht="15" hidden="1" thickBot="1" x14ac:dyDescent="0.35">
      <c r="C70" s="25"/>
      <c r="E70" t="e">
        <f>RIGHT(E69,1)</f>
        <v>#REF!</v>
      </c>
      <c r="F70" t="e">
        <f>F69+0</f>
        <v>#REF!</v>
      </c>
      <c r="L70" t="e">
        <f>FIXED(C67,1)</f>
        <v>#REF!</v>
      </c>
      <c r="M70" s="43"/>
    </row>
    <row r="71" spans="3:13" ht="15" hidden="1" thickBot="1" x14ac:dyDescent="0.35">
      <c r="C71" s="25"/>
      <c r="E71" t="e">
        <f>E70+0</f>
        <v>#REF!</v>
      </c>
      <c r="F71" t="s">
        <v>38</v>
      </c>
      <c r="G71" t="s">
        <v>39</v>
      </c>
      <c r="H71" t="s">
        <v>40</v>
      </c>
      <c r="M71" s="35"/>
    </row>
    <row r="72" spans="3:13" ht="15" hidden="1" thickBot="1" x14ac:dyDescent="0.35">
      <c r="C72" s="25"/>
      <c r="F72" t="e">
        <f>ISODD(F69)</f>
        <v>#REF!</v>
      </c>
      <c r="G72" t="e">
        <f>LEN(C67)</f>
        <v>#REF!</v>
      </c>
      <c r="H72" t="e">
        <f>LEN(G69)+1</f>
        <v>#REF!</v>
      </c>
      <c r="M72" s="35"/>
    </row>
    <row r="73" spans="3:13" ht="15" hidden="1" thickBot="1" x14ac:dyDescent="0.35">
      <c r="C73" s="25"/>
      <c r="M73" s="35"/>
    </row>
    <row r="74" spans="3:13" ht="15" hidden="1" thickBot="1" x14ac:dyDescent="0.35">
      <c r="C74" s="205" t="s">
        <v>44</v>
      </c>
      <c r="D74" s="206"/>
      <c r="E74" s="206"/>
      <c r="F74" s="206"/>
      <c r="G74" s="206"/>
      <c r="H74" s="206"/>
      <c r="I74" s="206"/>
      <c r="J74" s="206"/>
      <c r="K74" s="206"/>
      <c r="L74" s="206"/>
      <c r="M74" s="207"/>
    </row>
    <row r="75" spans="3:13" ht="15" hidden="1" thickBot="1" x14ac:dyDescent="0.35">
      <c r="C75" s="42" t="e">
        <f>M69</f>
        <v>#REF!</v>
      </c>
      <c r="E75" t="e">
        <f>FIXED(C67,2)</f>
        <v>#REF!</v>
      </c>
      <c r="F75" t="e">
        <f>RIGHT(E75,1)</f>
        <v>#REF!</v>
      </c>
      <c r="G75" t="e">
        <f>F75+0</f>
        <v>#REF!</v>
      </c>
      <c r="M75" s="35"/>
    </row>
    <row r="76" spans="3:13" ht="29.4" hidden="1" thickBot="1" x14ac:dyDescent="0.35">
      <c r="C76" s="25"/>
      <c r="E76" t="s">
        <v>29</v>
      </c>
      <c r="F76" t="s">
        <v>30</v>
      </c>
      <c r="G76" t="s">
        <v>31</v>
      </c>
      <c r="H76" t="s">
        <v>32</v>
      </c>
      <c r="I76" s="29" t="s">
        <v>33</v>
      </c>
      <c r="J76" s="29" t="s">
        <v>34</v>
      </c>
      <c r="K76" s="29" t="s">
        <v>35</v>
      </c>
      <c r="L76" s="29" t="s">
        <v>36</v>
      </c>
      <c r="M76" s="37" t="s">
        <v>37</v>
      </c>
    </row>
    <row r="77" spans="3:13" ht="18.600000000000001" hidden="1" thickBot="1" x14ac:dyDescent="0.4">
      <c r="C77" s="25"/>
      <c r="E77" t="e">
        <f>RIGHT(C75,2)</f>
        <v>#REF!</v>
      </c>
      <c r="F77" t="e">
        <f>RIGHT(G77,1)</f>
        <v>#REF!</v>
      </c>
      <c r="G77" s="31" t="e">
        <f>TRUNC(C75)</f>
        <v>#REF!</v>
      </c>
      <c r="H77" s="18" t="e">
        <f>FIXED(C75-G77,I77)</f>
        <v>#REF!</v>
      </c>
      <c r="I77" t="e">
        <f>ABS(G80-H80)</f>
        <v>#REF!</v>
      </c>
      <c r="J77" t="e">
        <f>RIGHT(C75,I77)</f>
        <v>#REF!</v>
      </c>
      <c r="K77">
        <v>0.5</v>
      </c>
      <c r="L77" s="16" t="e">
        <f>(C75-K77)</f>
        <v>#REF!</v>
      </c>
      <c r="M77" s="44" t="e">
        <f>IF(E79=5,IF(AND(G75=0,F80=FALSE),L77,L78),L78)</f>
        <v>#REF!</v>
      </c>
    </row>
    <row r="78" spans="3:13" ht="15" hidden="1" thickBot="1" x14ac:dyDescent="0.35">
      <c r="C78" s="25"/>
      <c r="E78" t="e">
        <f>RIGHT(E77,1)</f>
        <v>#REF!</v>
      </c>
      <c r="F78" t="e">
        <f>F77+0</f>
        <v>#REF!</v>
      </c>
      <c r="L78" t="e">
        <f>FIXED(C75,0)</f>
        <v>#REF!</v>
      </c>
      <c r="M78" s="45"/>
    </row>
    <row r="79" spans="3:13" ht="15" hidden="1" thickBot="1" x14ac:dyDescent="0.35">
      <c r="C79" s="25"/>
      <c r="E79" t="e">
        <f>E78+0</f>
        <v>#REF!</v>
      </c>
      <c r="F79" t="s">
        <v>38</v>
      </c>
      <c r="G79" t="s">
        <v>39</v>
      </c>
      <c r="H79" t="s">
        <v>40</v>
      </c>
      <c r="M79" s="35"/>
    </row>
    <row r="80" spans="3:13" ht="15" hidden="1" thickBot="1" x14ac:dyDescent="0.35">
      <c r="C80" s="33"/>
      <c r="D80" s="33"/>
      <c r="E80" s="33"/>
      <c r="F80" s="33" t="e">
        <f>ISODD(F77)</f>
        <v>#REF!</v>
      </c>
      <c r="G80" s="33" t="e">
        <f>LEN(C75)</f>
        <v>#REF!</v>
      </c>
      <c r="H80" s="33" t="e">
        <f>LEN(G77)+1</f>
        <v>#REF!</v>
      </c>
      <c r="I80" s="33"/>
      <c r="J80" s="33"/>
      <c r="K80" s="33"/>
      <c r="L80" s="33"/>
      <c r="M80" s="46"/>
    </row>
    <row r="81" spans="3:13" ht="15" thickBot="1" x14ac:dyDescent="0.35">
      <c r="C81" s="208" t="s">
        <v>47</v>
      </c>
      <c r="D81" s="209"/>
      <c r="E81" s="209"/>
      <c r="F81" s="209"/>
      <c r="G81" s="209"/>
      <c r="H81" s="209"/>
      <c r="I81" s="209"/>
      <c r="J81" s="209"/>
      <c r="K81" s="209"/>
      <c r="L81" s="209"/>
      <c r="M81" s="210"/>
    </row>
    <row r="82" spans="3:13" ht="15" thickBot="1" x14ac:dyDescent="0.35">
      <c r="C82" s="25" t="s">
        <v>26</v>
      </c>
      <c r="D82" s="19" t="s">
        <v>27</v>
      </c>
      <c r="E82" t="e">
        <f>FIXED(C83,6)</f>
        <v>#REF!</v>
      </c>
      <c r="F82" t="e">
        <f>RIGHT(E82,1)</f>
        <v>#REF!</v>
      </c>
      <c r="G82" t="e">
        <f>F82/1000000</f>
        <v>#REF!</v>
      </c>
      <c r="H82" s="34" t="e">
        <f>C83-G82</f>
        <v>#REF!</v>
      </c>
      <c r="J82" t="e">
        <f>IF(E87=5,IF(AND(F83=0,F88=FALSE),L85,L86),L86)</f>
        <v>#REF!</v>
      </c>
      <c r="M82" s="35"/>
    </row>
    <row r="83" spans="3:13" ht="18.600000000000001" thickBot="1" x14ac:dyDescent="0.4">
      <c r="C83" s="26" t="e">
        <f>INCERTIDUMBRE!M7</f>
        <v>#REF!</v>
      </c>
      <c r="D83" s="36" t="e">
        <f>IF(C83&gt;=10,M117,IF(C83&gt;=1,M109,IF(C83&gt;=0.1,M101,IF(C83&gt;=0.01,M93,IF(C83&gt;=0.001,M85)))))</f>
        <v>#REF!</v>
      </c>
      <c r="E83" t="s">
        <v>28</v>
      </c>
      <c r="F83" t="e">
        <f>F82+0</f>
        <v>#REF!</v>
      </c>
      <c r="M83" s="35"/>
    </row>
    <row r="84" spans="3:13" ht="29.4" hidden="1" thickBot="1" x14ac:dyDescent="0.35">
      <c r="C84" s="27"/>
      <c r="D84" s="27"/>
      <c r="E84" t="s">
        <v>29</v>
      </c>
      <c r="F84" t="s">
        <v>30</v>
      </c>
      <c r="G84" t="s">
        <v>31</v>
      </c>
      <c r="H84" t="s">
        <v>32</v>
      </c>
      <c r="I84" s="29" t="s">
        <v>33</v>
      </c>
      <c r="J84" s="29" t="s">
        <v>34</v>
      </c>
      <c r="K84" s="29" t="s">
        <v>35</v>
      </c>
      <c r="L84" s="29" t="s">
        <v>36</v>
      </c>
      <c r="M84" s="37" t="s">
        <v>37</v>
      </c>
    </row>
    <row r="85" spans="3:13" ht="18.600000000000001" hidden="1" thickBot="1" x14ac:dyDescent="0.4">
      <c r="C85" s="30"/>
      <c r="E85" t="e">
        <f>RIGHT(H82,2)</f>
        <v>#REF!</v>
      </c>
      <c r="F85" t="e">
        <f>LEFT(E85,1)</f>
        <v>#REF!</v>
      </c>
      <c r="G85" s="34" t="e">
        <f>TRUNC(C83)</f>
        <v>#REF!</v>
      </c>
      <c r="H85" s="18" t="e">
        <f>FIXED(C83-G85,I85)</f>
        <v>#REF!</v>
      </c>
      <c r="I85" t="e">
        <f>ABS(G88-H88)</f>
        <v>#REF!</v>
      </c>
      <c r="J85" t="e">
        <f>RIGHT(C83,I85)</f>
        <v>#REF!</v>
      </c>
      <c r="K85">
        <v>5.0000000000000002E-5</v>
      </c>
      <c r="L85" s="18" t="e">
        <f>(C83-K85)</f>
        <v>#REF!</v>
      </c>
      <c r="M85" s="38" t="e">
        <f>IF(E87=5,IF(AND(F83=0,F88=FALSE),L85,L86),L86)</f>
        <v>#REF!</v>
      </c>
    </row>
    <row r="86" spans="3:13" ht="15" hidden="1" thickBot="1" x14ac:dyDescent="0.35">
      <c r="C86" s="25"/>
      <c r="E86" t="e">
        <f>RIGHT(E85,1)</f>
        <v>#REF!</v>
      </c>
      <c r="F86" t="e">
        <f>F85+0</f>
        <v>#REF!</v>
      </c>
      <c r="L86" t="e">
        <f>FIXED(C83,4)</f>
        <v>#REF!</v>
      </c>
      <c r="M86" s="35"/>
    </row>
    <row r="87" spans="3:13" ht="15" hidden="1" thickBot="1" x14ac:dyDescent="0.35">
      <c r="C87" s="25"/>
      <c r="E87" t="e">
        <f>E86+0</f>
        <v>#REF!</v>
      </c>
      <c r="F87" t="s">
        <v>38</v>
      </c>
      <c r="G87" t="s">
        <v>39</v>
      </c>
      <c r="H87" t="s">
        <v>40</v>
      </c>
      <c r="M87" s="35"/>
    </row>
    <row r="88" spans="3:13" ht="15" hidden="1" thickBot="1" x14ac:dyDescent="0.35">
      <c r="C88" s="25"/>
      <c r="F88" t="e">
        <f>ISODD(F85)</f>
        <v>#REF!</v>
      </c>
      <c r="G88" t="e">
        <f>LEN(C83)</f>
        <v>#REF!</v>
      </c>
      <c r="H88" t="e">
        <f>LEN(G85)+1</f>
        <v>#REF!</v>
      </c>
      <c r="M88" s="35"/>
    </row>
    <row r="89" spans="3:13" ht="15" hidden="1" thickBot="1" x14ac:dyDescent="0.35">
      <c r="C89" s="25"/>
      <c r="M89" s="35"/>
    </row>
    <row r="90" spans="3:13" ht="15" hidden="1" thickBot="1" x14ac:dyDescent="0.35">
      <c r="C90" s="205" t="s">
        <v>41</v>
      </c>
      <c r="D90" s="206"/>
      <c r="E90" s="206"/>
      <c r="F90" s="206"/>
      <c r="G90" s="206"/>
      <c r="H90" s="206"/>
      <c r="I90" s="206"/>
      <c r="J90" s="206"/>
      <c r="K90" s="206"/>
      <c r="L90" s="206"/>
      <c r="M90" s="207"/>
    </row>
    <row r="91" spans="3:13" ht="15" hidden="1" thickBot="1" x14ac:dyDescent="0.35">
      <c r="C91" s="39" t="e">
        <f>M85</f>
        <v>#REF!</v>
      </c>
      <c r="E91" t="e">
        <f>FIXED(C83,5)</f>
        <v>#REF!</v>
      </c>
      <c r="F91" t="e">
        <f>RIGHT(E91,1)</f>
        <v>#REF!</v>
      </c>
      <c r="G91" t="e">
        <f>F91+0</f>
        <v>#REF!</v>
      </c>
      <c r="M91" s="35"/>
    </row>
    <row r="92" spans="3:13" ht="29.4" hidden="1" thickBot="1" x14ac:dyDescent="0.35">
      <c r="C92" s="25"/>
      <c r="E92" t="s">
        <v>29</v>
      </c>
      <c r="F92" t="s">
        <v>30</v>
      </c>
      <c r="G92" t="s">
        <v>31</v>
      </c>
      <c r="H92" t="s">
        <v>32</v>
      </c>
      <c r="I92" s="29" t="s">
        <v>33</v>
      </c>
      <c r="J92" s="29" t="s">
        <v>34</v>
      </c>
      <c r="K92" s="29" t="s">
        <v>35</v>
      </c>
      <c r="L92" s="29" t="s">
        <v>36</v>
      </c>
      <c r="M92" s="37" t="s">
        <v>37</v>
      </c>
    </row>
    <row r="93" spans="3:13" ht="18.600000000000001" hidden="1" thickBot="1" x14ac:dyDescent="0.4">
      <c r="C93" s="25"/>
      <c r="E93" t="e">
        <f>RIGHT(C91,2)</f>
        <v>#REF!</v>
      </c>
      <c r="F93" t="e">
        <f>LEFT(E93,1)</f>
        <v>#REF!</v>
      </c>
      <c r="G93" s="31" t="e">
        <f>TRUNC(C91)</f>
        <v>#REF!</v>
      </c>
      <c r="H93" s="18" t="e">
        <f>FIXED(C91-G93,I93)</f>
        <v>#REF!</v>
      </c>
      <c r="I93" t="e">
        <f>ABS(G96-H96)</f>
        <v>#REF!</v>
      </c>
      <c r="J93" t="e">
        <f>RIGHT(C91,I93)</f>
        <v>#REF!</v>
      </c>
      <c r="K93">
        <v>5.0000000000000001E-4</v>
      </c>
      <c r="L93" s="20" t="e">
        <f>(C91-K93)</f>
        <v>#REF!</v>
      </c>
      <c r="M93" s="40" t="e">
        <f>IF(E95=5,IF(AND(G91=0,F96=FALSE),L93,L94),L94)</f>
        <v>#REF!</v>
      </c>
    </row>
    <row r="94" spans="3:13" ht="15" hidden="1" thickBot="1" x14ac:dyDescent="0.35">
      <c r="C94" s="25"/>
      <c r="E94" t="e">
        <f>RIGHT(E93,1)</f>
        <v>#REF!</v>
      </c>
      <c r="F94" t="e">
        <f>F93+0</f>
        <v>#REF!</v>
      </c>
      <c r="L94" t="e">
        <f>FIXED(C91,3)</f>
        <v>#REF!</v>
      </c>
      <c r="M94" s="35"/>
    </row>
    <row r="95" spans="3:13" ht="15" hidden="1" thickBot="1" x14ac:dyDescent="0.35">
      <c r="C95" s="25"/>
      <c r="E95" t="e">
        <f>E94+0</f>
        <v>#REF!</v>
      </c>
      <c r="F95" t="s">
        <v>38</v>
      </c>
      <c r="G95" t="s">
        <v>39</v>
      </c>
      <c r="H95" t="s">
        <v>40</v>
      </c>
      <c r="M95" s="35"/>
    </row>
    <row r="96" spans="3:13" ht="15" hidden="1" thickBot="1" x14ac:dyDescent="0.35">
      <c r="C96" s="25"/>
      <c r="F96" t="e">
        <f>ISODD(F93)</f>
        <v>#REF!</v>
      </c>
      <c r="G96" t="e">
        <f>LEN(C91)</f>
        <v>#REF!</v>
      </c>
      <c r="H96" t="e">
        <f>LEN(G93)+1</f>
        <v>#REF!</v>
      </c>
      <c r="M96" s="35"/>
    </row>
    <row r="97" spans="3:13" ht="15" hidden="1" thickBot="1" x14ac:dyDescent="0.35">
      <c r="C97" s="25"/>
      <c r="M97" s="35"/>
    </row>
    <row r="98" spans="3:13" ht="15" hidden="1" thickBot="1" x14ac:dyDescent="0.35">
      <c r="C98" s="205" t="s">
        <v>42</v>
      </c>
      <c r="D98" s="206"/>
      <c r="E98" s="206"/>
      <c r="F98" s="206"/>
      <c r="G98" s="206"/>
      <c r="H98" s="206"/>
      <c r="I98" s="206"/>
      <c r="J98" s="206"/>
      <c r="K98" s="206"/>
      <c r="L98" s="206"/>
      <c r="M98" s="207"/>
    </row>
    <row r="99" spans="3:13" ht="15" hidden="1" thickBot="1" x14ac:dyDescent="0.35">
      <c r="C99" s="39" t="e">
        <f>M93</f>
        <v>#REF!</v>
      </c>
      <c r="E99" t="e">
        <f>FIXED(C91,4)</f>
        <v>#REF!</v>
      </c>
      <c r="F99" t="e">
        <f>RIGHT(E99,1)</f>
        <v>#REF!</v>
      </c>
      <c r="G99" t="e">
        <f>F99+0</f>
        <v>#REF!</v>
      </c>
      <c r="M99" s="35"/>
    </row>
    <row r="100" spans="3:13" ht="29.4" hidden="1" thickBot="1" x14ac:dyDescent="0.35">
      <c r="C100" s="25"/>
      <c r="E100" t="s">
        <v>29</v>
      </c>
      <c r="F100" t="s">
        <v>30</v>
      </c>
      <c r="G100" t="s">
        <v>31</v>
      </c>
      <c r="H100" t="s">
        <v>32</v>
      </c>
      <c r="I100" s="29" t="s">
        <v>33</v>
      </c>
      <c r="J100" s="29" t="s">
        <v>34</v>
      </c>
      <c r="K100" s="29" t="s">
        <v>35</v>
      </c>
      <c r="L100" s="29" t="s">
        <v>36</v>
      </c>
      <c r="M100" s="37" t="s">
        <v>37</v>
      </c>
    </row>
    <row r="101" spans="3:13" ht="18.600000000000001" hidden="1" thickBot="1" x14ac:dyDescent="0.4">
      <c r="C101" s="25"/>
      <c r="E101" t="e">
        <f>RIGHT(C99,2)</f>
        <v>#REF!</v>
      </c>
      <c r="F101" t="e">
        <f>LEFT(E101,1)</f>
        <v>#REF!</v>
      </c>
      <c r="G101" s="31" t="e">
        <f>TRUNC(C99)</f>
        <v>#REF!</v>
      </c>
      <c r="H101" s="18" t="e">
        <f>FIXED(C99-G101,I101)</f>
        <v>#REF!</v>
      </c>
      <c r="I101" t="e">
        <f>ABS(G104-H104)</f>
        <v>#REF!</v>
      </c>
      <c r="J101" t="e">
        <f>RIGHT(C99,I101)</f>
        <v>#REF!</v>
      </c>
      <c r="K101">
        <v>5.0000000000000001E-3</v>
      </c>
      <c r="L101" s="32" t="e">
        <f>(C99-K101)</f>
        <v>#REF!</v>
      </c>
      <c r="M101" s="41" t="e">
        <f>IF(E103=5,IF(AND(G99=0,F104=FALSE),L101,L102),L102)</f>
        <v>#REF!</v>
      </c>
    </row>
    <row r="102" spans="3:13" ht="18.600000000000001" hidden="1" thickBot="1" x14ac:dyDescent="0.4">
      <c r="C102" s="25"/>
      <c r="E102" t="e">
        <f>RIGHT(E101,1)</f>
        <v>#REF!</v>
      </c>
      <c r="F102" t="e">
        <f>F101+0</f>
        <v>#REF!</v>
      </c>
      <c r="L102" t="e">
        <f>FIXED(C99,2)</f>
        <v>#REF!</v>
      </c>
      <c r="M102" s="41"/>
    </row>
    <row r="103" spans="3:13" ht="15" hidden="1" thickBot="1" x14ac:dyDescent="0.35">
      <c r="C103" s="25"/>
      <c r="E103" t="e">
        <f>E102+0</f>
        <v>#REF!</v>
      </c>
      <c r="F103" t="s">
        <v>38</v>
      </c>
      <c r="G103" t="s">
        <v>39</v>
      </c>
      <c r="H103" t="s">
        <v>40</v>
      </c>
      <c r="M103" s="35"/>
    </row>
    <row r="104" spans="3:13" ht="15" hidden="1" thickBot="1" x14ac:dyDescent="0.35">
      <c r="C104" s="25"/>
      <c r="F104" t="e">
        <f>ISODD(F101)</f>
        <v>#REF!</v>
      </c>
      <c r="G104" t="e">
        <f>LEN(C99)</f>
        <v>#REF!</v>
      </c>
      <c r="H104" t="e">
        <f>LEN(G101)+1</f>
        <v>#REF!</v>
      </c>
      <c r="M104" s="35"/>
    </row>
    <row r="105" spans="3:13" ht="15" hidden="1" thickBot="1" x14ac:dyDescent="0.35">
      <c r="C105" s="25"/>
      <c r="M105" s="35"/>
    </row>
    <row r="106" spans="3:13" ht="15" hidden="1" thickBot="1" x14ac:dyDescent="0.35">
      <c r="C106" s="205" t="s">
        <v>43</v>
      </c>
      <c r="D106" s="206"/>
      <c r="E106" s="206"/>
      <c r="F106" s="206"/>
      <c r="G106" s="206"/>
      <c r="H106" s="206"/>
      <c r="I106" s="206"/>
      <c r="J106" s="206"/>
      <c r="K106" s="206"/>
      <c r="L106" s="206"/>
      <c r="M106" s="207"/>
    </row>
    <row r="107" spans="3:13" ht="15" hidden="1" thickBot="1" x14ac:dyDescent="0.35">
      <c r="C107" s="42" t="e">
        <f>M101</f>
        <v>#REF!</v>
      </c>
      <c r="E107" t="e">
        <f>FIXED(C99,3)</f>
        <v>#REF!</v>
      </c>
      <c r="F107" t="e">
        <f>RIGHT(E107,1)</f>
        <v>#REF!</v>
      </c>
      <c r="G107" t="e">
        <f>F107+0</f>
        <v>#REF!</v>
      </c>
      <c r="M107" s="35"/>
    </row>
    <row r="108" spans="3:13" ht="29.4" hidden="1" thickBot="1" x14ac:dyDescent="0.35">
      <c r="C108" s="25"/>
      <c r="E108" t="s">
        <v>29</v>
      </c>
      <c r="F108" t="s">
        <v>30</v>
      </c>
      <c r="G108" t="s">
        <v>31</v>
      </c>
      <c r="H108" t="s">
        <v>32</v>
      </c>
      <c r="I108" s="29" t="s">
        <v>33</v>
      </c>
      <c r="J108" s="29" t="s">
        <v>34</v>
      </c>
      <c r="K108" s="29" t="s">
        <v>35</v>
      </c>
      <c r="L108" s="29" t="s">
        <v>36</v>
      </c>
      <c r="M108" s="37" t="s">
        <v>37</v>
      </c>
    </row>
    <row r="109" spans="3:13" ht="18.600000000000001" hidden="1" thickBot="1" x14ac:dyDescent="0.4">
      <c r="C109" s="25"/>
      <c r="E109" t="e">
        <f>RIGHT(C107,2)</f>
        <v>#REF!</v>
      </c>
      <c r="F109" t="e">
        <f>LEFT(E109,1)</f>
        <v>#REF!</v>
      </c>
      <c r="G109" s="31" t="e">
        <f>TRUNC(C107)</f>
        <v>#REF!</v>
      </c>
      <c r="H109" s="18" t="e">
        <f>FIXED(C107-G109,I109)</f>
        <v>#REF!</v>
      </c>
      <c r="I109" t="e">
        <f>ABS(G112-H112)</f>
        <v>#REF!</v>
      </c>
      <c r="J109" t="e">
        <f>RIGHT(C107,I109)</f>
        <v>#REF!</v>
      </c>
      <c r="K109">
        <v>0.05</v>
      </c>
      <c r="L109" s="32" t="e">
        <f>(C107-K109)</f>
        <v>#REF!</v>
      </c>
      <c r="M109" s="41" t="e">
        <f>IF(E111=5,IF(AND(G107=0,F112=FALSE),L109,L110),L110)</f>
        <v>#REF!</v>
      </c>
    </row>
    <row r="110" spans="3:13" ht="15" hidden="1" thickBot="1" x14ac:dyDescent="0.35">
      <c r="C110" s="25"/>
      <c r="E110" t="e">
        <f>RIGHT(E109,1)</f>
        <v>#REF!</v>
      </c>
      <c r="F110" t="e">
        <f>F109+0</f>
        <v>#REF!</v>
      </c>
      <c r="L110" t="e">
        <f>FIXED(C107,1)</f>
        <v>#REF!</v>
      </c>
      <c r="M110" s="43"/>
    </row>
    <row r="111" spans="3:13" ht="15" hidden="1" thickBot="1" x14ac:dyDescent="0.35">
      <c r="C111" s="25"/>
      <c r="E111" t="e">
        <f>E110+0</f>
        <v>#REF!</v>
      </c>
      <c r="F111" t="s">
        <v>38</v>
      </c>
      <c r="G111" t="s">
        <v>39</v>
      </c>
      <c r="H111" t="s">
        <v>40</v>
      </c>
      <c r="M111" s="35"/>
    </row>
    <row r="112" spans="3:13" ht="15" hidden="1" thickBot="1" x14ac:dyDescent="0.35">
      <c r="C112" s="25"/>
      <c r="F112" t="e">
        <f>ISODD(F109)</f>
        <v>#REF!</v>
      </c>
      <c r="G112" t="e">
        <f>LEN(C107)</f>
        <v>#REF!</v>
      </c>
      <c r="H112" t="e">
        <f>LEN(G109)+1</f>
        <v>#REF!</v>
      </c>
      <c r="M112" s="35"/>
    </row>
    <row r="113" spans="3:13" ht="15" hidden="1" thickBot="1" x14ac:dyDescent="0.35">
      <c r="C113" s="25"/>
      <c r="M113" s="35"/>
    </row>
    <row r="114" spans="3:13" ht="15" hidden="1" thickBot="1" x14ac:dyDescent="0.35">
      <c r="C114" s="205" t="s">
        <v>44</v>
      </c>
      <c r="D114" s="206"/>
      <c r="E114" s="206"/>
      <c r="F114" s="206"/>
      <c r="G114" s="206"/>
      <c r="H114" s="206"/>
      <c r="I114" s="206"/>
      <c r="J114" s="206"/>
      <c r="K114" s="206"/>
      <c r="L114" s="206"/>
      <c r="M114" s="207"/>
    </row>
    <row r="115" spans="3:13" ht="15" hidden="1" thickBot="1" x14ac:dyDescent="0.35">
      <c r="C115" s="42" t="e">
        <f>M109</f>
        <v>#REF!</v>
      </c>
      <c r="E115" t="e">
        <f>FIXED(C107,2)</f>
        <v>#REF!</v>
      </c>
      <c r="F115" t="e">
        <f>RIGHT(E115,1)</f>
        <v>#REF!</v>
      </c>
      <c r="G115" t="e">
        <f>F115+0</f>
        <v>#REF!</v>
      </c>
      <c r="M115" s="35"/>
    </row>
    <row r="116" spans="3:13" ht="29.4" hidden="1" thickBot="1" x14ac:dyDescent="0.35">
      <c r="C116" s="25"/>
      <c r="E116" t="s">
        <v>29</v>
      </c>
      <c r="F116" t="s">
        <v>30</v>
      </c>
      <c r="G116" t="s">
        <v>31</v>
      </c>
      <c r="H116" t="s">
        <v>32</v>
      </c>
      <c r="I116" s="29" t="s">
        <v>33</v>
      </c>
      <c r="J116" s="29" t="s">
        <v>34</v>
      </c>
      <c r="K116" s="29" t="s">
        <v>35</v>
      </c>
      <c r="L116" s="29" t="s">
        <v>36</v>
      </c>
      <c r="M116" s="37" t="s">
        <v>37</v>
      </c>
    </row>
    <row r="117" spans="3:13" ht="18.600000000000001" hidden="1" thickBot="1" x14ac:dyDescent="0.4">
      <c r="C117" s="25"/>
      <c r="E117" t="e">
        <f>RIGHT(C115,2)</f>
        <v>#REF!</v>
      </c>
      <c r="F117" t="e">
        <f>RIGHT(G117,1)</f>
        <v>#REF!</v>
      </c>
      <c r="G117" s="31" t="e">
        <f>TRUNC(C115)</f>
        <v>#REF!</v>
      </c>
      <c r="H117" s="18" t="e">
        <f>FIXED(C115-G117,I117)</f>
        <v>#REF!</v>
      </c>
      <c r="I117" t="e">
        <f>ABS(G120-H120)</f>
        <v>#REF!</v>
      </c>
      <c r="J117" t="e">
        <f>RIGHT(C115,I117)</f>
        <v>#REF!</v>
      </c>
      <c r="K117">
        <v>0.5</v>
      </c>
      <c r="L117" s="16" t="e">
        <f>(C115-K117)</f>
        <v>#REF!</v>
      </c>
      <c r="M117" s="44" t="e">
        <f>IF(E119=5,IF(AND(G115=0,F120=FALSE),L117,L118),L118)</f>
        <v>#REF!</v>
      </c>
    </row>
    <row r="118" spans="3:13" ht="15" hidden="1" thickBot="1" x14ac:dyDescent="0.35">
      <c r="C118" s="25"/>
      <c r="E118" t="e">
        <f>RIGHT(E117,1)</f>
        <v>#REF!</v>
      </c>
      <c r="F118" t="e">
        <f>F117+0</f>
        <v>#REF!</v>
      </c>
      <c r="L118" t="e">
        <f>FIXED(C115,0)</f>
        <v>#REF!</v>
      </c>
      <c r="M118" s="45"/>
    </row>
    <row r="119" spans="3:13" ht="15" hidden="1" thickBot="1" x14ac:dyDescent="0.35">
      <c r="C119" s="25"/>
      <c r="E119" t="e">
        <f>E118+0</f>
        <v>#REF!</v>
      </c>
      <c r="F119" t="s">
        <v>38</v>
      </c>
      <c r="G119" t="s">
        <v>39</v>
      </c>
      <c r="H119" t="s">
        <v>40</v>
      </c>
      <c r="M119" s="35"/>
    </row>
    <row r="120" spans="3:13" ht="15" hidden="1" thickBot="1" x14ac:dyDescent="0.35">
      <c r="C120" s="33"/>
      <c r="D120" s="33"/>
      <c r="E120" s="33"/>
      <c r="F120" s="33" t="e">
        <f>ISODD(F117)</f>
        <v>#REF!</v>
      </c>
      <c r="G120" s="33" t="e">
        <f>LEN(C115)</f>
        <v>#REF!</v>
      </c>
      <c r="H120" s="33" t="e">
        <f>LEN(G117)+1</f>
        <v>#REF!</v>
      </c>
      <c r="I120" s="33"/>
      <c r="J120" s="33"/>
      <c r="K120" s="33"/>
      <c r="L120" s="33"/>
      <c r="M120" s="46"/>
    </row>
    <row r="121" spans="3:13" ht="15" hidden="1" thickBot="1" x14ac:dyDescent="0.35"/>
    <row r="122" spans="3:13" ht="15" thickBot="1" x14ac:dyDescent="0.35">
      <c r="C122" s="208" t="s">
        <v>48</v>
      </c>
      <c r="D122" s="209"/>
      <c r="E122" s="209"/>
      <c r="F122" s="209"/>
      <c r="G122" s="209"/>
      <c r="H122" s="209"/>
      <c r="I122" s="209"/>
      <c r="J122" s="209"/>
      <c r="K122" s="209"/>
      <c r="L122" s="209"/>
      <c r="M122" s="210"/>
    </row>
    <row r="123" spans="3:13" ht="15" thickBot="1" x14ac:dyDescent="0.35">
      <c r="C123" s="25" t="s">
        <v>26</v>
      </c>
      <c r="D123" s="19" t="s">
        <v>27</v>
      </c>
      <c r="E123" t="e">
        <f>FIXED(C124,6)</f>
        <v>#REF!</v>
      </c>
      <c r="F123" t="e">
        <f>RIGHT(E123,1)</f>
        <v>#REF!</v>
      </c>
      <c r="G123" t="e">
        <f>F123/1000000</f>
        <v>#REF!</v>
      </c>
      <c r="H123" s="34" t="e">
        <f>C124-G123</f>
        <v>#REF!</v>
      </c>
      <c r="J123" t="e">
        <f>IF(E128=5,IF(AND(F124=0,F129=FALSE),L126,L127),L127)</f>
        <v>#REF!</v>
      </c>
      <c r="M123" s="35"/>
    </row>
    <row r="124" spans="3:13" ht="18.600000000000001" thickBot="1" x14ac:dyDescent="0.4">
      <c r="C124" s="26" t="e">
        <f>INCERTIDUMBRE!M8</f>
        <v>#REF!</v>
      </c>
      <c r="D124" s="36" t="e">
        <f>IF(C124&gt;=10,M158,IF(C124&gt;=1,M150,IF(C124&gt;=0.1,M142,IF(C124&gt;=0.01,M134,IF(C124&gt;=0.001,M126)))))</f>
        <v>#REF!</v>
      </c>
      <c r="E124" t="s">
        <v>28</v>
      </c>
      <c r="F124" t="e">
        <f>F123+0</f>
        <v>#REF!</v>
      </c>
      <c r="M124" s="35"/>
    </row>
    <row r="125" spans="3:13" ht="29.4" hidden="1" thickBot="1" x14ac:dyDescent="0.35">
      <c r="C125" s="27"/>
      <c r="D125" s="27"/>
      <c r="E125" t="s">
        <v>29</v>
      </c>
      <c r="F125" t="s">
        <v>30</v>
      </c>
      <c r="G125" t="s">
        <v>31</v>
      </c>
      <c r="H125" t="s">
        <v>32</v>
      </c>
      <c r="I125" s="29" t="s">
        <v>33</v>
      </c>
      <c r="J125" s="29" t="s">
        <v>34</v>
      </c>
      <c r="K125" s="29" t="s">
        <v>35</v>
      </c>
      <c r="L125" s="29" t="s">
        <v>36</v>
      </c>
      <c r="M125" s="37" t="s">
        <v>37</v>
      </c>
    </row>
    <row r="126" spans="3:13" ht="18.600000000000001" hidden="1" thickBot="1" x14ac:dyDescent="0.4">
      <c r="C126" s="30"/>
      <c r="E126" t="e">
        <f>RIGHT(H123,2)</f>
        <v>#REF!</v>
      </c>
      <c r="F126" t="e">
        <f>LEFT(E126,1)</f>
        <v>#REF!</v>
      </c>
      <c r="G126" s="34" t="e">
        <f>TRUNC(C124)</f>
        <v>#REF!</v>
      </c>
      <c r="H126" s="18" t="e">
        <f>FIXED(C124-G126,I126)</f>
        <v>#REF!</v>
      </c>
      <c r="I126" t="e">
        <f>ABS(G129-H129)</f>
        <v>#REF!</v>
      </c>
      <c r="J126" t="e">
        <f>RIGHT(C124,I126)</f>
        <v>#REF!</v>
      </c>
      <c r="K126">
        <v>5.0000000000000002E-5</v>
      </c>
      <c r="L126" s="18" t="e">
        <f>(C124-K126)</f>
        <v>#REF!</v>
      </c>
      <c r="M126" s="38" t="e">
        <f>IF(E128=5,IF(AND(F124=0,F129=FALSE),L126,L127),L127)</f>
        <v>#REF!</v>
      </c>
    </row>
    <row r="127" spans="3:13" ht="15" hidden="1" thickBot="1" x14ac:dyDescent="0.35">
      <c r="C127" s="25"/>
      <c r="E127" t="e">
        <f>RIGHT(E126,1)</f>
        <v>#REF!</v>
      </c>
      <c r="F127" t="e">
        <f>F126+0</f>
        <v>#REF!</v>
      </c>
      <c r="L127" t="e">
        <f>FIXED(C124,4)</f>
        <v>#REF!</v>
      </c>
      <c r="M127" s="35"/>
    </row>
    <row r="128" spans="3:13" ht="15" hidden="1" thickBot="1" x14ac:dyDescent="0.35">
      <c r="C128" s="25"/>
      <c r="E128" t="e">
        <f>E127+0</f>
        <v>#REF!</v>
      </c>
      <c r="F128" t="s">
        <v>38</v>
      </c>
      <c r="G128" t="s">
        <v>39</v>
      </c>
      <c r="H128" t="s">
        <v>40</v>
      </c>
      <c r="M128" s="35"/>
    </row>
    <row r="129" spans="3:13" ht="15" hidden="1" thickBot="1" x14ac:dyDescent="0.35">
      <c r="C129" s="25"/>
      <c r="F129" t="e">
        <f>ISODD(F126)</f>
        <v>#REF!</v>
      </c>
      <c r="G129" t="e">
        <f>LEN(C124)</f>
        <v>#REF!</v>
      </c>
      <c r="H129" t="e">
        <f>LEN(G126)+1</f>
        <v>#REF!</v>
      </c>
      <c r="M129" s="35"/>
    </row>
    <row r="130" spans="3:13" ht="15" hidden="1" thickBot="1" x14ac:dyDescent="0.35">
      <c r="C130" s="25"/>
      <c r="M130" s="35"/>
    </row>
    <row r="131" spans="3:13" ht="15" hidden="1" thickBot="1" x14ac:dyDescent="0.35">
      <c r="C131" s="205" t="s">
        <v>41</v>
      </c>
      <c r="D131" s="206"/>
      <c r="E131" s="206"/>
      <c r="F131" s="206"/>
      <c r="G131" s="206"/>
      <c r="H131" s="206"/>
      <c r="I131" s="206"/>
      <c r="J131" s="206"/>
      <c r="K131" s="206"/>
      <c r="L131" s="206"/>
      <c r="M131" s="207"/>
    </row>
    <row r="132" spans="3:13" ht="15" hidden="1" thickBot="1" x14ac:dyDescent="0.35">
      <c r="C132" s="39" t="e">
        <f>M126</f>
        <v>#REF!</v>
      </c>
      <c r="E132" t="e">
        <f>FIXED(C124,5)</f>
        <v>#REF!</v>
      </c>
      <c r="F132" t="e">
        <f>RIGHT(E132,1)</f>
        <v>#REF!</v>
      </c>
      <c r="G132" t="e">
        <f>F132+0</f>
        <v>#REF!</v>
      </c>
      <c r="M132" s="35"/>
    </row>
    <row r="133" spans="3:13" ht="29.4" hidden="1" thickBot="1" x14ac:dyDescent="0.35">
      <c r="C133" s="25"/>
      <c r="E133" t="s">
        <v>29</v>
      </c>
      <c r="F133" t="s">
        <v>30</v>
      </c>
      <c r="G133" t="s">
        <v>31</v>
      </c>
      <c r="H133" t="s">
        <v>32</v>
      </c>
      <c r="I133" s="29" t="s">
        <v>33</v>
      </c>
      <c r="J133" s="29" t="s">
        <v>34</v>
      </c>
      <c r="K133" s="29" t="s">
        <v>35</v>
      </c>
      <c r="L133" s="29" t="s">
        <v>36</v>
      </c>
      <c r="M133" s="37" t="s">
        <v>37</v>
      </c>
    </row>
    <row r="134" spans="3:13" ht="18.600000000000001" hidden="1" thickBot="1" x14ac:dyDescent="0.4">
      <c r="C134" s="25"/>
      <c r="E134" t="e">
        <f>RIGHT(C132,2)</f>
        <v>#REF!</v>
      </c>
      <c r="F134" t="e">
        <f>LEFT(E134,1)</f>
        <v>#REF!</v>
      </c>
      <c r="G134" s="31" t="e">
        <f>TRUNC(C132)</f>
        <v>#REF!</v>
      </c>
      <c r="H134" s="18" t="e">
        <f>FIXED(C132-G134,I134)</f>
        <v>#REF!</v>
      </c>
      <c r="I134" t="e">
        <f>ABS(G137-H137)</f>
        <v>#REF!</v>
      </c>
      <c r="J134" t="e">
        <f>RIGHT(C132,I134)</f>
        <v>#REF!</v>
      </c>
      <c r="K134">
        <v>5.0000000000000001E-4</v>
      </c>
      <c r="L134" s="20" t="e">
        <f>(C132-K134)</f>
        <v>#REF!</v>
      </c>
      <c r="M134" s="40" t="e">
        <f>IF(E136=5,IF(AND(G132=0,F137=FALSE),L134,L135),L135)</f>
        <v>#REF!</v>
      </c>
    </row>
    <row r="135" spans="3:13" ht="15" hidden="1" thickBot="1" x14ac:dyDescent="0.35">
      <c r="C135" s="25"/>
      <c r="E135" t="e">
        <f>RIGHT(E134,1)</f>
        <v>#REF!</v>
      </c>
      <c r="F135" t="e">
        <f>F134+0</f>
        <v>#REF!</v>
      </c>
      <c r="L135" t="e">
        <f>FIXED(C132,3)</f>
        <v>#REF!</v>
      </c>
      <c r="M135" s="35"/>
    </row>
    <row r="136" spans="3:13" ht="15" hidden="1" thickBot="1" x14ac:dyDescent="0.35">
      <c r="C136" s="25"/>
      <c r="E136" t="e">
        <f>E135+0</f>
        <v>#REF!</v>
      </c>
      <c r="F136" t="s">
        <v>38</v>
      </c>
      <c r="G136" t="s">
        <v>39</v>
      </c>
      <c r="H136" t="s">
        <v>40</v>
      </c>
      <c r="M136" s="35"/>
    </row>
    <row r="137" spans="3:13" ht="15" hidden="1" thickBot="1" x14ac:dyDescent="0.35">
      <c r="C137" s="25"/>
      <c r="F137" t="e">
        <f>ISODD(F134)</f>
        <v>#REF!</v>
      </c>
      <c r="G137" t="e">
        <f>LEN(C132)</f>
        <v>#REF!</v>
      </c>
      <c r="H137" t="e">
        <f>LEN(G134)+1</f>
        <v>#REF!</v>
      </c>
      <c r="M137" s="35"/>
    </row>
    <row r="138" spans="3:13" ht="15" hidden="1" thickBot="1" x14ac:dyDescent="0.35">
      <c r="C138" s="25"/>
      <c r="M138" s="35"/>
    </row>
    <row r="139" spans="3:13" ht="15" hidden="1" thickBot="1" x14ac:dyDescent="0.35">
      <c r="C139" s="205" t="s">
        <v>42</v>
      </c>
      <c r="D139" s="206"/>
      <c r="E139" s="206"/>
      <c r="F139" s="206"/>
      <c r="G139" s="206"/>
      <c r="H139" s="206"/>
      <c r="I139" s="206"/>
      <c r="J139" s="206"/>
      <c r="K139" s="206"/>
      <c r="L139" s="206"/>
      <c r="M139" s="207"/>
    </row>
    <row r="140" spans="3:13" ht="15" hidden="1" thickBot="1" x14ac:dyDescent="0.35">
      <c r="C140" s="39" t="e">
        <f>M134</f>
        <v>#REF!</v>
      </c>
      <c r="E140" t="e">
        <f>FIXED(C132,4)</f>
        <v>#REF!</v>
      </c>
      <c r="F140" t="e">
        <f>RIGHT(E140,1)</f>
        <v>#REF!</v>
      </c>
      <c r="G140" t="e">
        <f>F140+0</f>
        <v>#REF!</v>
      </c>
      <c r="M140" s="35"/>
    </row>
    <row r="141" spans="3:13" ht="29.4" hidden="1" thickBot="1" x14ac:dyDescent="0.35">
      <c r="C141" s="25"/>
      <c r="E141" t="s">
        <v>29</v>
      </c>
      <c r="F141" t="s">
        <v>30</v>
      </c>
      <c r="G141" t="s">
        <v>31</v>
      </c>
      <c r="H141" t="s">
        <v>32</v>
      </c>
      <c r="I141" s="29" t="s">
        <v>33</v>
      </c>
      <c r="J141" s="29" t="s">
        <v>34</v>
      </c>
      <c r="K141" s="29" t="s">
        <v>35</v>
      </c>
      <c r="L141" s="29" t="s">
        <v>36</v>
      </c>
      <c r="M141" s="37" t="s">
        <v>37</v>
      </c>
    </row>
    <row r="142" spans="3:13" ht="18.600000000000001" hidden="1" thickBot="1" x14ac:dyDescent="0.4">
      <c r="C142" s="25"/>
      <c r="E142" t="e">
        <f>RIGHT(C140,2)</f>
        <v>#REF!</v>
      </c>
      <c r="F142" t="e">
        <f>LEFT(E142,1)</f>
        <v>#REF!</v>
      </c>
      <c r="G142" s="31" t="e">
        <f>TRUNC(C140)</f>
        <v>#REF!</v>
      </c>
      <c r="H142" s="18" t="e">
        <f>FIXED(C140-G142,I142)</f>
        <v>#REF!</v>
      </c>
      <c r="I142" t="e">
        <f>ABS(G145-H145)</f>
        <v>#REF!</v>
      </c>
      <c r="J142" t="e">
        <f>RIGHT(C140,I142)</f>
        <v>#REF!</v>
      </c>
      <c r="K142">
        <v>5.0000000000000001E-3</v>
      </c>
      <c r="L142" s="32" t="e">
        <f>(C140-K142)</f>
        <v>#REF!</v>
      </c>
      <c r="M142" s="41" t="e">
        <f>IF(E144=5,IF(AND(G140=0,F145=FALSE),L142,L143),L143)</f>
        <v>#REF!</v>
      </c>
    </row>
    <row r="143" spans="3:13" ht="18.600000000000001" hidden="1" thickBot="1" x14ac:dyDescent="0.4">
      <c r="C143" s="25"/>
      <c r="E143" t="e">
        <f>RIGHT(E142,1)</f>
        <v>#REF!</v>
      </c>
      <c r="F143" t="e">
        <f>F142+0</f>
        <v>#REF!</v>
      </c>
      <c r="L143" t="e">
        <f>FIXED(C140,2)</f>
        <v>#REF!</v>
      </c>
      <c r="M143" s="41"/>
    </row>
    <row r="144" spans="3:13" ht="15" hidden="1" thickBot="1" x14ac:dyDescent="0.35">
      <c r="C144" s="25"/>
      <c r="E144" t="e">
        <f>E143+0</f>
        <v>#REF!</v>
      </c>
      <c r="F144" t="s">
        <v>38</v>
      </c>
      <c r="G144" t="s">
        <v>39</v>
      </c>
      <c r="H144" t="s">
        <v>40</v>
      </c>
      <c r="M144" s="35"/>
    </row>
    <row r="145" spans="3:13" ht="15" hidden="1" thickBot="1" x14ac:dyDescent="0.35">
      <c r="C145" s="25"/>
      <c r="F145" t="e">
        <f>ISODD(F142)</f>
        <v>#REF!</v>
      </c>
      <c r="G145" t="e">
        <f>LEN(C140)</f>
        <v>#REF!</v>
      </c>
      <c r="H145" t="e">
        <f>LEN(G142)+1</f>
        <v>#REF!</v>
      </c>
      <c r="M145" s="35"/>
    </row>
    <row r="146" spans="3:13" ht="15" hidden="1" thickBot="1" x14ac:dyDescent="0.35">
      <c r="C146" s="25"/>
      <c r="M146" s="35"/>
    </row>
    <row r="147" spans="3:13" ht="15" hidden="1" thickBot="1" x14ac:dyDescent="0.35">
      <c r="C147" s="205" t="s">
        <v>43</v>
      </c>
      <c r="D147" s="206"/>
      <c r="E147" s="206"/>
      <c r="F147" s="206"/>
      <c r="G147" s="206"/>
      <c r="H147" s="206"/>
      <c r="I147" s="206"/>
      <c r="J147" s="206"/>
      <c r="K147" s="206"/>
      <c r="L147" s="206"/>
      <c r="M147" s="207"/>
    </row>
    <row r="148" spans="3:13" ht="15" hidden="1" thickBot="1" x14ac:dyDescent="0.35">
      <c r="C148" s="42" t="e">
        <f>M142</f>
        <v>#REF!</v>
      </c>
      <c r="E148" t="e">
        <f>FIXED(C140,3)</f>
        <v>#REF!</v>
      </c>
      <c r="F148" t="e">
        <f>RIGHT(E148,1)</f>
        <v>#REF!</v>
      </c>
      <c r="G148" t="e">
        <f>F148+0</f>
        <v>#REF!</v>
      </c>
      <c r="M148" s="35"/>
    </row>
    <row r="149" spans="3:13" ht="29.4" hidden="1" thickBot="1" x14ac:dyDescent="0.35">
      <c r="C149" s="25"/>
      <c r="E149" t="s">
        <v>29</v>
      </c>
      <c r="F149" t="s">
        <v>30</v>
      </c>
      <c r="G149" t="s">
        <v>31</v>
      </c>
      <c r="H149" t="s">
        <v>32</v>
      </c>
      <c r="I149" s="29" t="s">
        <v>33</v>
      </c>
      <c r="J149" s="29" t="s">
        <v>34</v>
      </c>
      <c r="K149" s="29" t="s">
        <v>35</v>
      </c>
      <c r="L149" s="29" t="s">
        <v>36</v>
      </c>
      <c r="M149" s="37" t="s">
        <v>37</v>
      </c>
    </row>
    <row r="150" spans="3:13" ht="18.600000000000001" hidden="1" thickBot="1" x14ac:dyDescent="0.4">
      <c r="C150" s="25"/>
      <c r="E150" t="e">
        <f>RIGHT(C148,2)</f>
        <v>#REF!</v>
      </c>
      <c r="F150" t="e">
        <f>LEFT(E150,1)</f>
        <v>#REF!</v>
      </c>
      <c r="G150" s="31" t="e">
        <f>TRUNC(C148)</f>
        <v>#REF!</v>
      </c>
      <c r="H150" s="18" t="e">
        <f>FIXED(C148-G150,I150)</f>
        <v>#REF!</v>
      </c>
      <c r="I150" t="e">
        <f>ABS(G153-H153)</f>
        <v>#REF!</v>
      </c>
      <c r="J150" t="e">
        <f>RIGHT(C148,I150)</f>
        <v>#REF!</v>
      </c>
      <c r="K150">
        <v>0.05</v>
      </c>
      <c r="L150" s="32" t="e">
        <f>(C148-K150)</f>
        <v>#REF!</v>
      </c>
      <c r="M150" s="41" t="e">
        <f>IF(E152=5,IF(AND(G148=0,F153=FALSE),L150,L151),L151)</f>
        <v>#REF!</v>
      </c>
    </row>
    <row r="151" spans="3:13" ht="15" hidden="1" thickBot="1" x14ac:dyDescent="0.35">
      <c r="C151" s="25"/>
      <c r="E151" t="e">
        <f>RIGHT(E150,1)</f>
        <v>#REF!</v>
      </c>
      <c r="F151" t="e">
        <f>F150+0</f>
        <v>#REF!</v>
      </c>
      <c r="L151" t="e">
        <f>FIXED(C148,1)</f>
        <v>#REF!</v>
      </c>
      <c r="M151" s="43"/>
    </row>
    <row r="152" spans="3:13" ht="15" hidden="1" thickBot="1" x14ac:dyDescent="0.35">
      <c r="C152" s="25"/>
      <c r="E152" t="e">
        <f>E151+0</f>
        <v>#REF!</v>
      </c>
      <c r="F152" t="s">
        <v>38</v>
      </c>
      <c r="G152" t="s">
        <v>39</v>
      </c>
      <c r="H152" t="s">
        <v>40</v>
      </c>
      <c r="M152" s="35"/>
    </row>
    <row r="153" spans="3:13" ht="15" hidden="1" thickBot="1" x14ac:dyDescent="0.35">
      <c r="C153" s="25"/>
      <c r="F153" t="e">
        <f>ISODD(F150)</f>
        <v>#REF!</v>
      </c>
      <c r="G153" t="e">
        <f>LEN(C148)</f>
        <v>#REF!</v>
      </c>
      <c r="H153" t="e">
        <f>LEN(G150)+1</f>
        <v>#REF!</v>
      </c>
      <c r="M153" s="35"/>
    </row>
    <row r="154" spans="3:13" ht="15" hidden="1" thickBot="1" x14ac:dyDescent="0.35">
      <c r="C154" s="25"/>
      <c r="M154" s="35"/>
    </row>
    <row r="155" spans="3:13" ht="15" hidden="1" thickBot="1" x14ac:dyDescent="0.35">
      <c r="C155" s="205" t="s">
        <v>44</v>
      </c>
      <c r="D155" s="206"/>
      <c r="E155" s="206"/>
      <c r="F155" s="206"/>
      <c r="G155" s="206"/>
      <c r="H155" s="206"/>
      <c r="I155" s="206"/>
      <c r="J155" s="206"/>
      <c r="K155" s="206"/>
      <c r="L155" s="206"/>
      <c r="M155" s="207"/>
    </row>
    <row r="156" spans="3:13" ht="15" hidden="1" thickBot="1" x14ac:dyDescent="0.35">
      <c r="C156" s="42" t="e">
        <f>M150</f>
        <v>#REF!</v>
      </c>
      <c r="E156" t="e">
        <f>FIXED(C148,2)</f>
        <v>#REF!</v>
      </c>
      <c r="F156" t="e">
        <f>RIGHT(E156,1)</f>
        <v>#REF!</v>
      </c>
      <c r="G156" t="e">
        <f>F156+0</f>
        <v>#REF!</v>
      </c>
      <c r="M156" s="35"/>
    </row>
    <row r="157" spans="3:13" ht="29.4" hidden="1" thickBot="1" x14ac:dyDescent="0.35">
      <c r="C157" s="25"/>
      <c r="E157" t="s">
        <v>29</v>
      </c>
      <c r="F157" t="s">
        <v>30</v>
      </c>
      <c r="G157" t="s">
        <v>31</v>
      </c>
      <c r="H157" t="s">
        <v>32</v>
      </c>
      <c r="I157" s="29" t="s">
        <v>33</v>
      </c>
      <c r="J157" s="29" t="s">
        <v>34</v>
      </c>
      <c r="K157" s="29" t="s">
        <v>35</v>
      </c>
      <c r="L157" s="29" t="s">
        <v>36</v>
      </c>
      <c r="M157" s="37" t="s">
        <v>37</v>
      </c>
    </row>
    <row r="158" spans="3:13" ht="18.600000000000001" hidden="1" thickBot="1" x14ac:dyDescent="0.4">
      <c r="C158" s="25"/>
      <c r="E158" t="e">
        <f>RIGHT(C156,2)</f>
        <v>#REF!</v>
      </c>
      <c r="F158" t="e">
        <f>RIGHT(G158,1)</f>
        <v>#REF!</v>
      </c>
      <c r="G158" s="31" t="e">
        <f>TRUNC(C156)</f>
        <v>#REF!</v>
      </c>
      <c r="H158" s="18" t="e">
        <f>FIXED(C156-G158,I158)</f>
        <v>#REF!</v>
      </c>
      <c r="I158" t="e">
        <f>ABS(G161-H161)</f>
        <v>#REF!</v>
      </c>
      <c r="J158" t="e">
        <f>RIGHT(C156,I158)</f>
        <v>#REF!</v>
      </c>
      <c r="K158">
        <v>0.5</v>
      </c>
      <c r="L158" s="16" t="e">
        <f>(C156-K158)</f>
        <v>#REF!</v>
      </c>
      <c r="M158" s="44" t="e">
        <f>IF(E160=5,IF(AND(G156=0,F161=FALSE),L158,L159),L159)</f>
        <v>#REF!</v>
      </c>
    </row>
    <row r="159" spans="3:13" ht="15" hidden="1" thickBot="1" x14ac:dyDescent="0.35">
      <c r="C159" s="25"/>
      <c r="E159" t="e">
        <f>RIGHT(E158,1)</f>
        <v>#REF!</v>
      </c>
      <c r="F159" t="e">
        <f>F158+0</f>
        <v>#REF!</v>
      </c>
      <c r="L159" t="e">
        <f>FIXED(C156,0)</f>
        <v>#REF!</v>
      </c>
      <c r="M159" s="45"/>
    </row>
    <row r="160" spans="3:13" ht="15" hidden="1" thickBot="1" x14ac:dyDescent="0.35">
      <c r="C160" s="25"/>
      <c r="E160" t="e">
        <f>E159+0</f>
        <v>#REF!</v>
      </c>
      <c r="F160" t="s">
        <v>38</v>
      </c>
      <c r="G160" t="s">
        <v>39</v>
      </c>
      <c r="H160" t="s">
        <v>40</v>
      </c>
      <c r="M160" s="35"/>
    </row>
    <row r="161" spans="3:13" ht="15" hidden="1" thickBot="1" x14ac:dyDescent="0.35">
      <c r="C161" s="33"/>
      <c r="D161" s="33"/>
      <c r="E161" s="33"/>
      <c r="F161" s="33" t="e">
        <f>ISODD(F158)</f>
        <v>#REF!</v>
      </c>
      <c r="G161" s="33" t="e">
        <f>LEN(C156)</f>
        <v>#REF!</v>
      </c>
      <c r="H161" s="33" t="e">
        <f>LEN(G158)+1</f>
        <v>#REF!</v>
      </c>
      <c r="I161" s="33"/>
      <c r="J161" s="33"/>
      <c r="K161" s="33"/>
      <c r="L161" s="33"/>
      <c r="M161" s="46"/>
    </row>
    <row r="162" spans="3:13" ht="15" hidden="1" thickBot="1" x14ac:dyDescent="0.35">
      <c r="C162" s="208" t="s">
        <v>49</v>
      </c>
      <c r="D162" s="209"/>
      <c r="E162" s="209"/>
      <c r="F162" s="209"/>
      <c r="G162" s="209"/>
      <c r="H162" s="209"/>
      <c r="I162" s="209"/>
      <c r="J162" s="209"/>
      <c r="K162" s="209"/>
      <c r="L162" s="209"/>
      <c r="M162" s="210"/>
    </row>
    <row r="163" spans="3:13" ht="15" hidden="1" thickBot="1" x14ac:dyDescent="0.35">
      <c r="C163" s="25" t="s">
        <v>26</v>
      </c>
      <c r="E163" t="str">
        <f>FIXED(C164,6)</f>
        <v>22,507260</v>
      </c>
      <c r="F163" t="str">
        <f>RIGHT(E163,1)</f>
        <v>0</v>
      </c>
      <c r="G163">
        <f>F163/1000000</f>
        <v>0</v>
      </c>
      <c r="H163" s="34">
        <f>C164-G163</f>
        <v>22.507259999999999</v>
      </c>
      <c r="J163" t="str">
        <f>IF(E168=5,IF(AND(F164=0,F169=FALSE),L166,L167),L167)</f>
        <v>22,5073</v>
      </c>
      <c r="M163" s="35"/>
    </row>
    <row r="164" spans="3:13" ht="18.600000000000001" hidden="1" thickBot="1" x14ac:dyDescent="0.4">
      <c r="C164" s="26">
        <v>22.507259999999999</v>
      </c>
      <c r="D164" s="19" t="s">
        <v>27</v>
      </c>
      <c r="E164" t="s">
        <v>28</v>
      </c>
      <c r="F164">
        <f>F163+0</f>
        <v>0</v>
      </c>
      <c r="M164" s="35"/>
    </row>
    <row r="165" spans="3:13" ht="29.4" hidden="1" thickBot="1" x14ac:dyDescent="0.35">
      <c r="C165" s="27"/>
      <c r="D165" s="28" t="str">
        <f>IF(C164&gt;=10,M198,IF(C164&gt;=1,M190,IF(C164&gt;=0.1,M182,IF(C164&gt;=0.01,M174,IF(C164&gt;=0.001,M166)))))</f>
        <v>23</v>
      </c>
      <c r="E165" t="s">
        <v>29</v>
      </c>
      <c r="F165" t="s">
        <v>30</v>
      </c>
      <c r="G165" t="s">
        <v>31</v>
      </c>
      <c r="H165" t="s">
        <v>32</v>
      </c>
      <c r="I165" s="29" t="s">
        <v>33</v>
      </c>
      <c r="J165" s="29" t="s">
        <v>34</v>
      </c>
      <c r="K165" s="29" t="s">
        <v>35</v>
      </c>
      <c r="L165" s="29" t="s">
        <v>36</v>
      </c>
      <c r="M165" s="37" t="s">
        <v>37</v>
      </c>
    </row>
    <row r="166" spans="3:13" ht="18.600000000000001" hidden="1" thickBot="1" x14ac:dyDescent="0.4">
      <c r="C166" s="30"/>
      <c r="E166" t="str">
        <f>RIGHT(H163,2)</f>
        <v>26</v>
      </c>
      <c r="F166" t="str">
        <f>LEFT(E166,1)</f>
        <v>2</v>
      </c>
      <c r="G166" s="34">
        <f>TRUNC(C164)</f>
        <v>22</v>
      </c>
      <c r="H166" s="18" t="str">
        <f>FIXED(C164-G166,I166)</f>
        <v>0,50726</v>
      </c>
      <c r="I166">
        <f>ABS(G169-H169)</f>
        <v>5</v>
      </c>
      <c r="J166" t="str">
        <f>RIGHT(C164,I166)</f>
        <v>50726</v>
      </c>
      <c r="K166">
        <v>5.0000000000000002E-5</v>
      </c>
      <c r="L166" s="18">
        <f>(C164-K166)</f>
        <v>22.507209999999997</v>
      </c>
      <c r="M166" s="38" t="str">
        <f>IF(E168=5,IF(AND(F164=0,F169=FALSE),L166,L167),L167)</f>
        <v>22,5073</v>
      </c>
    </row>
    <row r="167" spans="3:13" ht="15" hidden="1" thickBot="1" x14ac:dyDescent="0.35">
      <c r="C167" s="25"/>
      <c r="E167" t="str">
        <f>RIGHT(E166,1)</f>
        <v>6</v>
      </c>
      <c r="F167">
        <f>F166+0</f>
        <v>2</v>
      </c>
      <c r="L167" t="str">
        <f>FIXED(C164,4)</f>
        <v>22,5073</v>
      </c>
      <c r="M167" s="35"/>
    </row>
    <row r="168" spans="3:13" ht="15" hidden="1" thickBot="1" x14ac:dyDescent="0.35">
      <c r="C168" s="25"/>
      <c r="E168">
        <f>E167+0</f>
        <v>6</v>
      </c>
      <c r="F168" t="s">
        <v>38</v>
      </c>
      <c r="G168" t="s">
        <v>39</v>
      </c>
      <c r="H168" t="s">
        <v>40</v>
      </c>
      <c r="M168" s="35"/>
    </row>
    <row r="169" spans="3:13" ht="15" hidden="1" thickBot="1" x14ac:dyDescent="0.35">
      <c r="C169" s="25"/>
      <c r="F169" t="b">
        <f>ISODD(F166)</f>
        <v>0</v>
      </c>
      <c r="G169">
        <f>LEN(C164)</f>
        <v>8</v>
      </c>
      <c r="H169">
        <f>LEN(G166)+1</f>
        <v>3</v>
      </c>
      <c r="M169" s="35"/>
    </row>
    <row r="170" spans="3:13" ht="15" hidden="1" thickBot="1" x14ac:dyDescent="0.35">
      <c r="C170" s="25"/>
      <c r="M170" s="35"/>
    </row>
    <row r="171" spans="3:13" ht="15" hidden="1" thickBot="1" x14ac:dyDescent="0.35">
      <c r="C171" s="205" t="s">
        <v>41</v>
      </c>
      <c r="D171" s="206"/>
      <c r="E171" s="206"/>
      <c r="F171" s="206"/>
      <c r="G171" s="206"/>
      <c r="H171" s="206"/>
      <c r="I171" s="206"/>
      <c r="J171" s="206"/>
      <c r="K171" s="206"/>
      <c r="L171" s="206"/>
      <c r="M171" s="207"/>
    </row>
    <row r="172" spans="3:13" ht="15" hidden="1" thickBot="1" x14ac:dyDescent="0.35">
      <c r="C172" s="39" t="str">
        <f>M166</f>
        <v>22,5073</v>
      </c>
      <c r="E172" t="str">
        <f>FIXED(C164,5)</f>
        <v>22,50726</v>
      </c>
      <c r="F172" t="str">
        <f>RIGHT(E172,1)</f>
        <v>6</v>
      </c>
      <c r="G172">
        <f>F172+0</f>
        <v>6</v>
      </c>
      <c r="M172" s="35"/>
    </row>
    <row r="173" spans="3:13" ht="29.4" hidden="1" thickBot="1" x14ac:dyDescent="0.35">
      <c r="C173" s="25"/>
      <c r="E173" t="s">
        <v>29</v>
      </c>
      <c r="F173" t="s">
        <v>30</v>
      </c>
      <c r="G173" t="s">
        <v>31</v>
      </c>
      <c r="H173" t="s">
        <v>32</v>
      </c>
      <c r="I173" s="29" t="s">
        <v>33</v>
      </c>
      <c r="J173" s="29" t="s">
        <v>34</v>
      </c>
      <c r="K173" s="29" t="s">
        <v>35</v>
      </c>
      <c r="L173" s="29" t="s">
        <v>36</v>
      </c>
      <c r="M173" s="37" t="s">
        <v>37</v>
      </c>
    </row>
    <row r="174" spans="3:13" ht="18.600000000000001" hidden="1" thickBot="1" x14ac:dyDescent="0.4">
      <c r="C174" s="25"/>
      <c r="E174" t="str">
        <f>RIGHT(C172,2)</f>
        <v>73</v>
      </c>
      <c r="F174" t="str">
        <f>LEFT(E174,1)</f>
        <v>7</v>
      </c>
      <c r="G174" s="31">
        <f>TRUNC(C172)</f>
        <v>22</v>
      </c>
      <c r="H174" s="18" t="str">
        <f>FIXED(C172-G174,I174)</f>
        <v>0,5073</v>
      </c>
      <c r="I174">
        <f>ABS(G177-H177)</f>
        <v>4</v>
      </c>
      <c r="J174" t="str">
        <f>RIGHT(C172,I174)</f>
        <v>5073</v>
      </c>
      <c r="K174">
        <v>5.0000000000000001E-4</v>
      </c>
      <c r="L174" s="20">
        <f>(C172-K174)</f>
        <v>22.506800000000002</v>
      </c>
      <c r="M174" s="40" t="str">
        <f>IF(E176=5,IF(AND(G172=0,F177=FALSE),L174,L175),L175)</f>
        <v>22,507</v>
      </c>
    </row>
    <row r="175" spans="3:13" ht="15" hidden="1" thickBot="1" x14ac:dyDescent="0.35">
      <c r="C175" s="25"/>
      <c r="E175" t="str">
        <f>RIGHT(E174,1)</f>
        <v>3</v>
      </c>
      <c r="F175">
        <f>F174+0</f>
        <v>7</v>
      </c>
      <c r="L175" t="str">
        <f>FIXED(C172,3)</f>
        <v>22,507</v>
      </c>
      <c r="M175" s="35"/>
    </row>
    <row r="176" spans="3:13" ht="15" hidden="1" thickBot="1" x14ac:dyDescent="0.35">
      <c r="C176" s="25"/>
      <c r="E176">
        <f>E175+0</f>
        <v>3</v>
      </c>
      <c r="F176" t="s">
        <v>38</v>
      </c>
      <c r="G176" t="s">
        <v>39</v>
      </c>
      <c r="H176" t="s">
        <v>40</v>
      </c>
      <c r="M176" s="35"/>
    </row>
    <row r="177" spans="3:13" ht="15" hidden="1" thickBot="1" x14ac:dyDescent="0.35">
      <c r="C177" s="25"/>
      <c r="F177" t="b">
        <f>ISODD(F174)</f>
        <v>1</v>
      </c>
      <c r="G177">
        <f>LEN(C172)</f>
        <v>7</v>
      </c>
      <c r="H177">
        <f>LEN(G174)+1</f>
        <v>3</v>
      </c>
      <c r="M177" s="35"/>
    </row>
    <row r="178" spans="3:13" ht="15" hidden="1" thickBot="1" x14ac:dyDescent="0.35">
      <c r="C178" s="25"/>
      <c r="M178" s="35"/>
    </row>
    <row r="179" spans="3:13" ht="15" hidden="1" thickBot="1" x14ac:dyDescent="0.35">
      <c r="C179" s="205" t="s">
        <v>42</v>
      </c>
      <c r="D179" s="206"/>
      <c r="E179" s="206"/>
      <c r="F179" s="206"/>
      <c r="G179" s="206"/>
      <c r="H179" s="206"/>
      <c r="I179" s="206"/>
      <c r="J179" s="206"/>
      <c r="K179" s="206"/>
      <c r="L179" s="206"/>
      <c r="M179" s="207"/>
    </row>
    <row r="180" spans="3:13" ht="15" hidden="1" thickBot="1" x14ac:dyDescent="0.35">
      <c r="C180" s="39" t="str">
        <f>M174</f>
        <v>22,507</v>
      </c>
      <c r="E180" t="str">
        <f>FIXED(C172,4)</f>
        <v>22,5073</v>
      </c>
      <c r="F180" t="str">
        <f>RIGHT(E180,1)</f>
        <v>3</v>
      </c>
      <c r="G180">
        <f>F180+0</f>
        <v>3</v>
      </c>
      <c r="M180" s="35"/>
    </row>
    <row r="181" spans="3:13" ht="29.4" hidden="1" thickBot="1" x14ac:dyDescent="0.35">
      <c r="C181" s="25"/>
      <c r="E181" t="s">
        <v>29</v>
      </c>
      <c r="F181" t="s">
        <v>30</v>
      </c>
      <c r="G181" t="s">
        <v>31</v>
      </c>
      <c r="H181" t="s">
        <v>32</v>
      </c>
      <c r="I181" s="29" t="s">
        <v>33</v>
      </c>
      <c r="J181" s="29" t="s">
        <v>34</v>
      </c>
      <c r="K181" s="29" t="s">
        <v>35</v>
      </c>
      <c r="L181" s="29" t="s">
        <v>36</v>
      </c>
      <c r="M181" s="37" t="s">
        <v>37</v>
      </c>
    </row>
    <row r="182" spans="3:13" ht="18.600000000000001" hidden="1" thickBot="1" x14ac:dyDescent="0.4">
      <c r="C182" s="25"/>
      <c r="E182" t="str">
        <f>RIGHT(C180,2)</f>
        <v>07</v>
      </c>
      <c r="F182" t="str">
        <f>LEFT(E182,1)</f>
        <v>0</v>
      </c>
      <c r="G182" s="31">
        <f>TRUNC(C180)</f>
        <v>22</v>
      </c>
      <c r="H182" s="18" t="str">
        <f>FIXED(C180-G182,I182)</f>
        <v>0,507</v>
      </c>
      <c r="I182">
        <f>ABS(G185-H185)</f>
        <v>3</v>
      </c>
      <c r="J182" t="str">
        <f>RIGHT(C180,I182)</f>
        <v>507</v>
      </c>
      <c r="K182">
        <v>5.0000000000000001E-3</v>
      </c>
      <c r="L182" s="32">
        <f>(C180-K182)</f>
        <v>22.502000000000002</v>
      </c>
      <c r="M182" s="41" t="str">
        <f>IF(E184=5,IF(AND(G180=0,F185=FALSE),L182,L183),L183)</f>
        <v>22,51</v>
      </c>
    </row>
    <row r="183" spans="3:13" ht="18.600000000000001" hidden="1" thickBot="1" x14ac:dyDescent="0.4">
      <c r="C183" s="25"/>
      <c r="E183" t="str">
        <f>RIGHT(E182,1)</f>
        <v>7</v>
      </c>
      <c r="F183">
        <f>F182+0</f>
        <v>0</v>
      </c>
      <c r="L183" t="str">
        <f>FIXED(C180,2)</f>
        <v>22,51</v>
      </c>
      <c r="M183" s="41"/>
    </row>
    <row r="184" spans="3:13" ht="15" hidden="1" thickBot="1" x14ac:dyDescent="0.35">
      <c r="C184" s="25"/>
      <c r="E184">
        <f>E183+0</f>
        <v>7</v>
      </c>
      <c r="F184" t="s">
        <v>38</v>
      </c>
      <c r="G184" t="s">
        <v>39</v>
      </c>
      <c r="H184" t="s">
        <v>40</v>
      </c>
      <c r="M184" s="35"/>
    </row>
    <row r="185" spans="3:13" ht="15" hidden="1" thickBot="1" x14ac:dyDescent="0.35">
      <c r="C185" s="25"/>
      <c r="F185" t="b">
        <f>ISODD(F182)</f>
        <v>0</v>
      </c>
      <c r="G185">
        <f>LEN(C180)</f>
        <v>6</v>
      </c>
      <c r="H185">
        <f>LEN(G182)+1</f>
        <v>3</v>
      </c>
      <c r="M185" s="35"/>
    </row>
    <row r="186" spans="3:13" ht="15" hidden="1" thickBot="1" x14ac:dyDescent="0.35">
      <c r="C186" s="25"/>
      <c r="M186" s="35"/>
    </row>
    <row r="187" spans="3:13" ht="15" hidden="1" thickBot="1" x14ac:dyDescent="0.35">
      <c r="C187" s="205" t="s">
        <v>43</v>
      </c>
      <c r="D187" s="206"/>
      <c r="E187" s="206"/>
      <c r="F187" s="206"/>
      <c r="G187" s="206"/>
      <c r="H187" s="206"/>
      <c r="I187" s="206"/>
      <c r="J187" s="206"/>
      <c r="K187" s="206"/>
      <c r="L187" s="206"/>
      <c r="M187" s="207"/>
    </row>
    <row r="188" spans="3:13" ht="15" hidden="1" thickBot="1" x14ac:dyDescent="0.35">
      <c r="C188" s="42" t="str">
        <f>M182</f>
        <v>22,51</v>
      </c>
      <c r="E188" t="str">
        <f>FIXED(C180,3)</f>
        <v>22,507</v>
      </c>
      <c r="F188" t="str">
        <f>RIGHT(E188,1)</f>
        <v>7</v>
      </c>
      <c r="G188">
        <f>F188+0</f>
        <v>7</v>
      </c>
      <c r="M188" s="35"/>
    </row>
    <row r="189" spans="3:13" ht="29.4" hidden="1" thickBot="1" x14ac:dyDescent="0.35">
      <c r="C189" s="25"/>
      <c r="E189" t="s">
        <v>29</v>
      </c>
      <c r="F189" t="s">
        <v>30</v>
      </c>
      <c r="G189" t="s">
        <v>31</v>
      </c>
      <c r="H189" t="s">
        <v>32</v>
      </c>
      <c r="I189" s="29" t="s">
        <v>33</v>
      </c>
      <c r="J189" s="29" t="s">
        <v>34</v>
      </c>
      <c r="K189" s="29" t="s">
        <v>35</v>
      </c>
      <c r="L189" s="29" t="s">
        <v>36</v>
      </c>
      <c r="M189" s="37" t="s">
        <v>37</v>
      </c>
    </row>
    <row r="190" spans="3:13" ht="18.600000000000001" hidden="1" thickBot="1" x14ac:dyDescent="0.4">
      <c r="C190" s="25"/>
      <c r="E190" t="str">
        <f>RIGHT(C188,2)</f>
        <v>51</v>
      </c>
      <c r="F190" t="str">
        <f>LEFT(E190,1)</f>
        <v>5</v>
      </c>
      <c r="G190" s="31">
        <f>TRUNC(C188)</f>
        <v>22</v>
      </c>
      <c r="H190" s="18" t="str">
        <f>FIXED(C188-G190,I190)</f>
        <v>0,51</v>
      </c>
      <c r="I190">
        <f>ABS(G193-H193)</f>
        <v>2</v>
      </c>
      <c r="J190" t="str">
        <f>RIGHT(C188,I190)</f>
        <v>51</v>
      </c>
      <c r="K190">
        <v>0.05</v>
      </c>
      <c r="L190" s="32">
        <f>(C188-K190)</f>
        <v>22.46</v>
      </c>
      <c r="M190" s="41" t="str">
        <f>IF(E192=5,IF(AND(G188=0,F193=FALSE),L190,L191),L191)</f>
        <v>22,5</v>
      </c>
    </row>
    <row r="191" spans="3:13" ht="15" hidden="1" thickBot="1" x14ac:dyDescent="0.35">
      <c r="C191" s="25"/>
      <c r="E191" t="str">
        <f>RIGHT(E190,1)</f>
        <v>1</v>
      </c>
      <c r="F191">
        <f>F190+0</f>
        <v>5</v>
      </c>
      <c r="L191" t="str">
        <f>FIXED(C188,1)</f>
        <v>22,5</v>
      </c>
      <c r="M191" s="43"/>
    </row>
    <row r="192" spans="3:13" ht="15" hidden="1" thickBot="1" x14ac:dyDescent="0.35">
      <c r="C192" s="25"/>
      <c r="E192">
        <f>E191+0</f>
        <v>1</v>
      </c>
      <c r="F192" t="s">
        <v>38</v>
      </c>
      <c r="G192" t="s">
        <v>39</v>
      </c>
      <c r="H192" t="s">
        <v>40</v>
      </c>
      <c r="M192" s="35"/>
    </row>
    <row r="193" spans="3:13" ht="15" hidden="1" thickBot="1" x14ac:dyDescent="0.35">
      <c r="C193" s="25"/>
      <c r="F193" t="b">
        <f>ISODD(F190)</f>
        <v>1</v>
      </c>
      <c r="G193">
        <f>LEN(C188)</f>
        <v>5</v>
      </c>
      <c r="H193">
        <f>LEN(G190)+1</f>
        <v>3</v>
      </c>
      <c r="M193" s="35"/>
    </row>
    <row r="194" spans="3:13" ht="15" hidden="1" thickBot="1" x14ac:dyDescent="0.35">
      <c r="C194" s="25"/>
      <c r="M194" s="35"/>
    </row>
    <row r="195" spans="3:13" ht="15" hidden="1" thickBot="1" x14ac:dyDescent="0.35">
      <c r="C195" s="205" t="s">
        <v>44</v>
      </c>
      <c r="D195" s="206"/>
      <c r="E195" s="206"/>
      <c r="F195" s="206"/>
      <c r="G195" s="206"/>
      <c r="H195" s="206"/>
      <c r="I195" s="206"/>
      <c r="J195" s="206"/>
      <c r="K195" s="206"/>
      <c r="L195" s="206"/>
      <c r="M195" s="207"/>
    </row>
    <row r="196" spans="3:13" ht="15" hidden="1" thickBot="1" x14ac:dyDescent="0.35">
      <c r="C196" s="42" t="str">
        <f>M190</f>
        <v>22,5</v>
      </c>
      <c r="E196" t="str">
        <f>FIXED(C188,2)</f>
        <v>22,51</v>
      </c>
      <c r="F196" t="str">
        <f>RIGHT(E196,1)</f>
        <v>1</v>
      </c>
      <c r="G196">
        <f>F196+0</f>
        <v>1</v>
      </c>
      <c r="M196" s="35"/>
    </row>
    <row r="197" spans="3:13" ht="29.4" hidden="1" thickBot="1" x14ac:dyDescent="0.35">
      <c r="C197" s="25"/>
      <c r="E197" t="s">
        <v>29</v>
      </c>
      <c r="F197" t="s">
        <v>30</v>
      </c>
      <c r="G197" t="s">
        <v>31</v>
      </c>
      <c r="H197" t="s">
        <v>32</v>
      </c>
      <c r="I197" s="29" t="s">
        <v>33</v>
      </c>
      <c r="J197" s="29" t="s">
        <v>34</v>
      </c>
      <c r="K197" s="29" t="s">
        <v>35</v>
      </c>
      <c r="L197" s="29" t="s">
        <v>36</v>
      </c>
      <c r="M197" s="37" t="s">
        <v>37</v>
      </c>
    </row>
    <row r="198" spans="3:13" ht="18.600000000000001" hidden="1" thickBot="1" x14ac:dyDescent="0.4">
      <c r="C198" s="25"/>
      <c r="E198" t="str">
        <f>RIGHT(C196,2)</f>
        <v>,5</v>
      </c>
      <c r="F198" t="str">
        <f>RIGHT(G198,1)</f>
        <v>2</v>
      </c>
      <c r="G198" s="31">
        <f>TRUNC(C196)</f>
        <v>22</v>
      </c>
      <c r="H198" s="18" t="str">
        <f>FIXED(C196-G198,I198)</f>
        <v>0,5</v>
      </c>
      <c r="I198">
        <f>ABS(G201-H201)</f>
        <v>1</v>
      </c>
      <c r="J198" t="str">
        <f>RIGHT(C196,I198)</f>
        <v>5</v>
      </c>
      <c r="K198">
        <v>0.5</v>
      </c>
      <c r="L198" s="16">
        <f>(C196-K198)</f>
        <v>22</v>
      </c>
      <c r="M198" s="44" t="str">
        <f>IF(E200=5,IF(AND(G196=0,F201=FALSE),L198,L199),L199)</f>
        <v>23</v>
      </c>
    </row>
    <row r="199" spans="3:13" ht="15" hidden="1" thickBot="1" x14ac:dyDescent="0.35">
      <c r="C199" s="25"/>
      <c r="E199" t="str">
        <f>RIGHT(E198,1)</f>
        <v>5</v>
      </c>
      <c r="F199">
        <f>F198+0</f>
        <v>2</v>
      </c>
      <c r="L199" t="str">
        <f>FIXED(C196,0)</f>
        <v>23</v>
      </c>
      <c r="M199" s="45"/>
    </row>
    <row r="200" spans="3:13" ht="15" hidden="1" thickBot="1" x14ac:dyDescent="0.35">
      <c r="C200" s="25"/>
      <c r="E200">
        <f>E199+0</f>
        <v>5</v>
      </c>
      <c r="F200" t="s">
        <v>38</v>
      </c>
      <c r="G200" t="s">
        <v>39</v>
      </c>
      <c r="H200" t="s">
        <v>40</v>
      </c>
      <c r="M200" s="35"/>
    </row>
    <row r="201" spans="3:13" ht="15" hidden="1" thickBot="1" x14ac:dyDescent="0.35">
      <c r="C201" s="33"/>
      <c r="D201" s="33"/>
      <c r="E201" s="33"/>
      <c r="F201" s="33" t="b">
        <f>ISODD(F198)</f>
        <v>0</v>
      </c>
      <c r="G201" s="33">
        <f>LEN(C196)</f>
        <v>4</v>
      </c>
      <c r="H201" s="33">
        <f>LEN(G198)+1</f>
        <v>3</v>
      </c>
      <c r="I201" s="33"/>
      <c r="J201" s="33"/>
      <c r="K201" s="33"/>
      <c r="L201" s="33"/>
      <c r="M201" s="46"/>
    </row>
    <row r="202" spans="3:13" ht="15" thickBot="1" x14ac:dyDescent="0.35">
      <c r="C202" s="208" t="s">
        <v>49</v>
      </c>
      <c r="D202" s="209"/>
      <c r="E202" s="209"/>
      <c r="F202" s="209"/>
      <c r="G202" s="209"/>
      <c r="H202" s="209"/>
      <c r="I202" s="209"/>
      <c r="J202" s="209"/>
      <c r="K202" s="209"/>
      <c r="L202" s="209"/>
      <c r="M202" s="210"/>
    </row>
    <row r="203" spans="3:13" ht="15" thickBot="1" x14ac:dyDescent="0.35">
      <c r="C203" s="25" t="s">
        <v>26</v>
      </c>
      <c r="D203" s="19" t="s">
        <v>27</v>
      </c>
      <c r="E203" t="e">
        <f>FIXED(C204,6)</f>
        <v>#REF!</v>
      </c>
      <c r="F203" t="e">
        <f>RIGHT(E203,1)</f>
        <v>#REF!</v>
      </c>
      <c r="G203" t="e">
        <f>F203/1000000</f>
        <v>#REF!</v>
      </c>
      <c r="H203" s="34" t="e">
        <f>C204-G203</f>
        <v>#REF!</v>
      </c>
      <c r="J203" t="e">
        <f>IF(E208=5,IF(AND(F204=0,F209=FALSE),L206,L207),L207)</f>
        <v>#REF!</v>
      </c>
      <c r="M203" s="35"/>
    </row>
    <row r="204" spans="3:13" ht="18.600000000000001" thickBot="1" x14ac:dyDescent="0.4">
      <c r="C204" s="26" t="e">
        <f>INCERTIDUMBRE!M9</f>
        <v>#REF!</v>
      </c>
      <c r="D204" s="36" t="e">
        <f>IF(C204&gt;=10,M238,IF(C204&gt;=1,M230,IF(C204&gt;=0.1,M222,IF(C204&gt;=0.01,M214,IF(C204&gt;=0.001,M206)))))</f>
        <v>#REF!</v>
      </c>
      <c r="E204" t="s">
        <v>28</v>
      </c>
      <c r="F204" t="e">
        <f>F203+0</f>
        <v>#REF!</v>
      </c>
      <c r="M204" s="35"/>
    </row>
    <row r="205" spans="3:13" ht="29.4" hidden="1" thickBot="1" x14ac:dyDescent="0.35">
      <c r="C205" s="27"/>
      <c r="D205" s="27"/>
      <c r="E205" t="s">
        <v>29</v>
      </c>
      <c r="F205" t="s">
        <v>30</v>
      </c>
      <c r="G205" t="s">
        <v>31</v>
      </c>
      <c r="H205" t="s">
        <v>32</v>
      </c>
      <c r="I205" s="29" t="s">
        <v>33</v>
      </c>
      <c r="J205" s="29" t="s">
        <v>34</v>
      </c>
      <c r="K205" s="29" t="s">
        <v>35</v>
      </c>
      <c r="L205" s="29" t="s">
        <v>36</v>
      </c>
      <c r="M205" s="37" t="s">
        <v>37</v>
      </c>
    </row>
    <row r="206" spans="3:13" ht="18.600000000000001" hidden="1" thickBot="1" x14ac:dyDescent="0.4">
      <c r="C206" s="30"/>
      <c r="E206" t="e">
        <f>RIGHT(H203,2)</f>
        <v>#REF!</v>
      </c>
      <c r="F206" t="e">
        <f>LEFT(E206,1)</f>
        <v>#REF!</v>
      </c>
      <c r="G206" s="34" t="e">
        <f>TRUNC(C204)</f>
        <v>#REF!</v>
      </c>
      <c r="H206" s="18" t="e">
        <f>FIXED(C204-G206,I206)</f>
        <v>#REF!</v>
      </c>
      <c r="I206" t="e">
        <f>ABS(G209-H209)</f>
        <v>#REF!</v>
      </c>
      <c r="J206" t="e">
        <f>RIGHT(C204,I206)</f>
        <v>#REF!</v>
      </c>
      <c r="K206">
        <v>5.0000000000000002E-5</v>
      </c>
      <c r="L206" s="18" t="e">
        <f>(C204-K206)</f>
        <v>#REF!</v>
      </c>
      <c r="M206" s="38" t="e">
        <f>IF(E208=5,IF(AND(F204=0,F209=FALSE),L206,L207),L207)</f>
        <v>#REF!</v>
      </c>
    </row>
    <row r="207" spans="3:13" ht="15" hidden="1" thickBot="1" x14ac:dyDescent="0.35">
      <c r="C207" s="25"/>
      <c r="E207" t="e">
        <f>RIGHT(E206,1)</f>
        <v>#REF!</v>
      </c>
      <c r="F207" t="e">
        <f>F206+0</f>
        <v>#REF!</v>
      </c>
      <c r="L207" t="e">
        <f>FIXED(C204,4)</f>
        <v>#REF!</v>
      </c>
      <c r="M207" s="35"/>
    </row>
    <row r="208" spans="3:13" ht="15" hidden="1" thickBot="1" x14ac:dyDescent="0.35">
      <c r="C208" s="25"/>
      <c r="E208" t="e">
        <f>E207+0</f>
        <v>#REF!</v>
      </c>
      <c r="F208" t="s">
        <v>38</v>
      </c>
      <c r="G208" t="s">
        <v>39</v>
      </c>
      <c r="H208" t="s">
        <v>40</v>
      </c>
      <c r="M208" s="35"/>
    </row>
    <row r="209" spans="3:13" ht="15" hidden="1" thickBot="1" x14ac:dyDescent="0.35">
      <c r="C209" s="25"/>
      <c r="F209" t="e">
        <f>ISODD(F206)</f>
        <v>#REF!</v>
      </c>
      <c r="G209" t="e">
        <f>LEN(C204)</f>
        <v>#REF!</v>
      </c>
      <c r="H209" t="e">
        <f>LEN(G206)+1</f>
        <v>#REF!</v>
      </c>
      <c r="M209" s="35"/>
    </row>
    <row r="210" spans="3:13" ht="15" hidden="1" thickBot="1" x14ac:dyDescent="0.35">
      <c r="C210" s="25"/>
      <c r="M210" s="35"/>
    </row>
    <row r="211" spans="3:13" ht="15" hidden="1" thickBot="1" x14ac:dyDescent="0.35">
      <c r="C211" s="205" t="s">
        <v>41</v>
      </c>
      <c r="D211" s="206"/>
      <c r="E211" s="206"/>
      <c r="F211" s="206"/>
      <c r="G211" s="206"/>
      <c r="H211" s="206"/>
      <c r="I211" s="206"/>
      <c r="J211" s="206"/>
      <c r="K211" s="206"/>
      <c r="L211" s="206"/>
      <c r="M211" s="207"/>
    </row>
    <row r="212" spans="3:13" ht="15" hidden="1" thickBot="1" x14ac:dyDescent="0.35">
      <c r="C212" s="39" t="e">
        <f>M206</f>
        <v>#REF!</v>
      </c>
      <c r="E212" t="e">
        <f>FIXED(C204,5)</f>
        <v>#REF!</v>
      </c>
      <c r="F212" t="e">
        <f>RIGHT(E212,1)</f>
        <v>#REF!</v>
      </c>
      <c r="G212" t="e">
        <f>F212+0</f>
        <v>#REF!</v>
      </c>
      <c r="M212" s="35"/>
    </row>
    <row r="213" spans="3:13" ht="29.4" hidden="1" thickBot="1" x14ac:dyDescent="0.35">
      <c r="C213" s="25"/>
      <c r="E213" t="s">
        <v>29</v>
      </c>
      <c r="F213" t="s">
        <v>30</v>
      </c>
      <c r="G213" t="s">
        <v>31</v>
      </c>
      <c r="H213" t="s">
        <v>32</v>
      </c>
      <c r="I213" s="29" t="s">
        <v>33</v>
      </c>
      <c r="J213" s="29" t="s">
        <v>34</v>
      </c>
      <c r="K213" s="29" t="s">
        <v>35</v>
      </c>
      <c r="L213" s="29" t="s">
        <v>36</v>
      </c>
      <c r="M213" s="37" t="s">
        <v>37</v>
      </c>
    </row>
    <row r="214" spans="3:13" ht="18.600000000000001" hidden="1" thickBot="1" x14ac:dyDescent="0.4">
      <c r="C214" s="25"/>
      <c r="E214" t="e">
        <f>RIGHT(C212,2)</f>
        <v>#REF!</v>
      </c>
      <c r="F214" t="e">
        <f>LEFT(E214,1)</f>
        <v>#REF!</v>
      </c>
      <c r="G214" s="31" t="e">
        <f>TRUNC(C212)</f>
        <v>#REF!</v>
      </c>
      <c r="H214" s="18" t="e">
        <f>FIXED(C212-G214,I214)</f>
        <v>#REF!</v>
      </c>
      <c r="I214" t="e">
        <f>ABS(G217-H217)</f>
        <v>#REF!</v>
      </c>
      <c r="J214" t="e">
        <f>RIGHT(C212,I214)</f>
        <v>#REF!</v>
      </c>
      <c r="K214">
        <v>5.0000000000000001E-4</v>
      </c>
      <c r="L214" s="20" t="e">
        <f>(C212-K214)</f>
        <v>#REF!</v>
      </c>
      <c r="M214" s="40" t="e">
        <f>IF(E216=5,IF(AND(G212=0,F217=FALSE),L214,L215),L215)</f>
        <v>#REF!</v>
      </c>
    </row>
    <row r="215" spans="3:13" ht="15" hidden="1" thickBot="1" x14ac:dyDescent="0.35">
      <c r="C215" s="25"/>
      <c r="E215" t="e">
        <f>RIGHT(E214,1)</f>
        <v>#REF!</v>
      </c>
      <c r="F215" t="e">
        <f>F214+0</f>
        <v>#REF!</v>
      </c>
      <c r="L215" t="e">
        <f>FIXED(C212,3)</f>
        <v>#REF!</v>
      </c>
      <c r="M215" s="35"/>
    </row>
    <row r="216" spans="3:13" ht="15" hidden="1" thickBot="1" x14ac:dyDescent="0.35">
      <c r="C216" s="25"/>
      <c r="E216" t="e">
        <f>E215+0</f>
        <v>#REF!</v>
      </c>
      <c r="F216" t="s">
        <v>38</v>
      </c>
      <c r="G216" t="s">
        <v>39</v>
      </c>
      <c r="H216" t="s">
        <v>40</v>
      </c>
      <c r="M216" s="35"/>
    </row>
    <row r="217" spans="3:13" ht="15" hidden="1" thickBot="1" x14ac:dyDescent="0.35">
      <c r="C217" s="25"/>
      <c r="F217" t="e">
        <f>ISODD(F214)</f>
        <v>#REF!</v>
      </c>
      <c r="G217" t="e">
        <f>LEN(C212)</f>
        <v>#REF!</v>
      </c>
      <c r="H217" t="e">
        <f>LEN(G214)+1</f>
        <v>#REF!</v>
      </c>
      <c r="M217" s="35"/>
    </row>
    <row r="218" spans="3:13" ht="15" hidden="1" thickBot="1" x14ac:dyDescent="0.35">
      <c r="C218" s="25"/>
      <c r="M218" s="35"/>
    </row>
    <row r="219" spans="3:13" ht="15" hidden="1" thickBot="1" x14ac:dyDescent="0.35">
      <c r="C219" s="205" t="s">
        <v>42</v>
      </c>
      <c r="D219" s="206"/>
      <c r="E219" s="206"/>
      <c r="F219" s="206"/>
      <c r="G219" s="206"/>
      <c r="H219" s="206"/>
      <c r="I219" s="206"/>
      <c r="J219" s="206"/>
      <c r="K219" s="206"/>
      <c r="L219" s="206"/>
      <c r="M219" s="207"/>
    </row>
    <row r="220" spans="3:13" ht="15" hidden="1" thickBot="1" x14ac:dyDescent="0.35">
      <c r="C220" s="39" t="e">
        <f>M214</f>
        <v>#REF!</v>
      </c>
      <c r="E220" t="e">
        <f>FIXED(C212,4)</f>
        <v>#REF!</v>
      </c>
      <c r="F220" t="e">
        <f>RIGHT(E220,1)</f>
        <v>#REF!</v>
      </c>
      <c r="G220" t="e">
        <f>F220+0</f>
        <v>#REF!</v>
      </c>
      <c r="M220" s="35"/>
    </row>
    <row r="221" spans="3:13" ht="29.4" hidden="1" thickBot="1" x14ac:dyDescent="0.35">
      <c r="C221" s="25"/>
      <c r="E221" t="s">
        <v>29</v>
      </c>
      <c r="F221" t="s">
        <v>30</v>
      </c>
      <c r="G221" t="s">
        <v>31</v>
      </c>
      <c r="H221" t="s">
        <v>32</v>
      </c>
      <c r="I221" s="29" t="s">
        <v>33</v>
      </c>
      <c r="J221" s="29" t="s">
        <v>34</v>
      </c>
      <c r="K221" s="29" t="s">
        <v>35</v>
      </c>
      <c r="L221" s="29" t="s">
        <v>36</v>
      </c>
      <c r="M221" s="37" t="s">
        <v>37</v>
      </c>
    </row>
    <row r="222" spans="3:13" ht="18.600000000000001" hidden="1" thickBot="1" x14ac:dyDescent="0.4">
      <c r="C222" s="25"/>
      <c r="E222" t="e">
        <f>RIGHT(C220,2)</f>
        <v>#REF!</v>
      </c>
      <c r="F222" t="e">
        <f>LEFT(E222,1)</f>
        <v>#REF!</v>
      </c>
      <c r="G222" s="31" t="e">
        <f>TRUNC(C220)</f>
        <v>#REF!</v>
      </c>
      <c r="H222" s="18" t="e">
        <f>FIXED(C220-G222,I222)</f>
        <v>#REF!</v>
      </c>
      <c r="I222" t="e">
        <f>ABS(G225-H225)</f>
        <v>#REF!</v>
      </c>
      <c r="J222" t="e">
        <f>RIGHT(C220,I222)</f>
        <v>#REF!</v>
      </c>
      <c r="K222">
        <v>5.0000000000000001E-3</v>
      </c>
      <c r="L222" s="32" t="e">
        <f>(C220-K222)</f>
        <v>#REF!</v>
      </c>
      <c r="M222" s="41" t="e">
        <f>IF(E224=5,IF(AND(G220=0,F225=FALSE),L222,L223),L223)</f>
        <v>#REF!</v>
      </c>
    </row>
    <row r="223" spans="3:13" ht="18.600000000000001" hidden="1" thickBot="1" x14ac:dyDescent="0.4">
      <c r="C223" s="25"/>
      <c r="E223" t="e">
        <f>RIGHT(E222,1)</f>
        <v>#REF!</v>
      </c>
      <c r="F223" t="e">
        <f>F222+0</f>
        <v>#REF!</v>
      </c>
      <c r="L223" t="e">
        <f>FIXED(C220,2)</f>
        <v>#REF!</v>
      </c>
      <c r="M223" s="41"/>
    </row>
    <row r="224" spans="3:13" ht="15" hidden="1" thickBot="1" x14ac:dyDescent="0.35">
      <c r="C224" s="25"/>
      <c r="E224" t="e">
        <f>E223+0</f>
        <v>#REF!</v>
      </c>
      <c r="F224" t="s">
        <v>38</v>
      </c>
      <c r="G224" t="s">
        <v>39</v>
      </c>
      <c r="H224" t="s">
        <v>40</v>
      </c>
      <c r="M224" s="35"/>
    </row>
    <row r="225" spans="3:13" ht="15" hidden="1" thickBot="1" x14ac:dyDescent="0.35">
      <c r="C225" s="25"/>
      <c r="F225" t="e">
        <f>ISODD(F222)</f>
        <v>#REF!</v>
      </c>
      <c r="G225" t="e">
        <f>LEN(C220)</f>
        <v>#REF!</v>
      </c>
      <c r="H225" t="e">
        <f>LEN(G222)+1</f>
        <v>#REF!</v>
      </c>
      <c r="M225" s="35"/>
    </row>
    <row r="226" spans="3:13" ht="15" hidden="1" thickBot="1" x14ac:dyDescent="0.35">
      <c r="C226" s="25"/>
      <c r="M226" s="35"/>
    </row>
    <row r="227" spans="3:13" ht="15" hidden="1" thickBot="1" x14ac:dyDescent="0.35">
      <c r="C227" s="205" t="s">
        <v>43</v>
      </c>
      <c r="D227" s="206"/>
      <c r="E227" s="206"/>
      <c r="F227" s="206"/>
      <c r="G227" s="206"/>
      <c r="H227" s="206"/>
      <c r="I227" s="206"/>
      <c r="J227" s="206"/>
      <c r="K227" s="206"/>
      <c r="L227" s="206"/>
      <c r="M227" s="207"/>
    </row>
    <row r="228" spans="3:13" ht="15" hidden="1" thickBot="1" x14ac:dyDescent="0.35">
      <c r="C228" s="42" t="e">
        <f>M222</f>
        <v>#REF!</v>
      </c>
      <c r="E228" t="e">
        <f>FIXED(C220,3)</f>
        <v>#REF!</v>
      </c>
      <c r="F228" t="e">
        <f>RIGHT(E228,1)</f>
        <v>#REF!</v>
      </c>
      <c r="G228" t="e">
        <f>F228+0</f>
        <v>#REF!</v>
      </c>
      <c r="M228" s="35"/>
    </row>
    <row r="229" spans="3:13" ht="29.4" hidden="1" thickBot="1" x14ac:dyDescent="0.35">
      <c r="C229" s="25"/>
      <c r="E229" t="s">
        <v>29</v>
      </c>
      <c r="F229" t="s">
        <v>30</v>
      </c>
      <c r="G229" t="s">
        <v>31</v>
      </c>
      <c r="H229" t="s">
        <v>32</v>
      </c>
      <c r="I229" s="29" t="s">
        <v>33</v>
      </c>
      <c r="J229" s="29" t="s">
        <v>34</v>
      </c>
      <c r="K229" s="29" t="s">
        <v>35</v>
      </c>
      <c r="L229" s="29" t="s">
        <v>36</v>
      </c>
      <c r="M229" s="37" t="s">
        <v>37</v>
      </c>
    </row>
    <row r="230" spans="3:13" ht="18.600000000000001" hidden="1" thickBot="1" x14ac:dyDescent="0.4">
      <c r="C230" s="25"/>
      <c r="E230" t="e">
        <f>RIGHT(C228,2)</f>
        <v>#REF!</v>
      </c>
      <c r="F230" t="e">
        <f>LEFT(E230,1)</f>
        <v>#REF!</v>
      </c>
      <c r="G230" s="31" t="e">
        <f>TRUNC(C228)</f>
        <v>#REF!</v>
      </c>
      <c r="H230" s="18" t="e">
        <f>FIXED(C228-G230,I230)</f>
        <v>#REF!</v>
      </c>
      <c r="I230" t="e">
        <f>ABS(G233-H233)</f>
        <v>#REF!</v>
      </c>
      <c r="J230" t="e">
        <f>RIGHT(C228,I230)</f>
        <v>#REF!</v>
      </c>
      <c r="K230">
        <v>0.05</v>
      </c>
      <c r="L230" s="32" t="e">
        <f>(C228-K230)</f>
        <v>#REF!</v>
      </c>
      <c r="M230" s="41" t="e">
        <f>IF(E232=5,IF(AND(G228=0,F233=FALSE),L230,L231),L231)</f>
        <v>#REF!</v>
      </c>
    </row>
    <row r="231" spans="3:13" ht="15" hidden="1" thickBot="1" x14ac:dyDescent="0.35">
      <c r="C231" s="25"/>
      <c r="E231" t="e">
        <f>RIGHT(E230,1)</f>
        <v>#REF!</v>
      </c>
      <c r="F231" t="e">
        <f>F230+0</f>
        <v>#REF!</v>
      </c>
      <c r="L231" t="e">
        <f>FIXED(C228,1)</f>
        <v>#REF!</v>
      </c>
      <c r="M231" s="43"/>
    </row>
    <row r="232" spans="3:13" ht="15" hidden="1" thickBot="1" x14ac:dyDescent="0.35">
      <c r="C232" s="25"/>
      <c r="E232" t="e">
        <f>E231+0</f>
        <v>#REF!</v>
      </c>
      <c r="F232" t="s">
        <v>38</v>
      </c>
      <c r="G232" t="s">
        <v>39</v>
      </c>
      <c r="H232" t="s">
        <v>40</v>
      </c>
      <c r="M232" s="35"/>
    </row>
    <row r="233" spans="3:13" ht="15" hidden="1" thickBot="1" x14ac:dyDescent="0.35">
      <c r="C233" s="25"/>
      <c r="F233" t="e">
        <f>ISODD(F230)</f>
        <v>#REF!</v>
      </c>
      <c r="G233" t="e">
        <f>LEN(C228)</f>
        <v>#REF!</v>
      </c>
      <c r="H233" t="e">
        <f>LEN(G230)+1</f>
        <v>#REF!</v>
      </c>
      <c r="M233" s="35"/>
    </row>
    <row r="234" spans="3:13" ht="15" hidden="1" thickBot="1" x14ac:dyDescent="0.35">
      <c r="C234" s="25"/>
      <c r="M234" s="35"/>
    </row>
    <row r="235" spans="3:13" ht="15" hidden="1" thickBot="1" x14ac:dyDescent="0.35">
      <c r="C235" s="205" t="s">
        <v>44</v>
      </c>
      <c r="D235" s="206"/>
      <c r="E235" s="206"/>
      <c r="F235" s="206"/>
      <c r="G235" s="206"/>
      <c r="H235" s="206"/>
      <c r="I235" s="206"/>
      <c r="J235" s="206"/>
      <c r="K235" s="206"/>
      <c r="L235" s="206"/>
      <c r="M235" s="207"/>
    </row>
    <row r="236" spans="3:13" ht="15" hidden="1" thickBot="1" x14ac:dyDescent="0.35">
      <c r="C236" s="42" t="e">
        <f>M230</f>
        <v>#REF!</v>
      </c>
      <c r="E236" t="e">
        <f>FIXED(C228,2)</f>
        <v>#REF!</v>
      </c>
      <c r="F236" t="e">
        <f>RIGHT(E236,1)</f>
        <v>#REF!</v>
      </c>
      <c r="G236" t="e">
        <f>F236+0</f>
        <v>#REF!</v>
      </c>
      <c r="M236" s="35"/>
    </row>
    <row r="237" spans="3:13" ht="29.4" hidden="1" thickBot="1" x14ac:dyDescent="0.35">
      <c r="C237" s="25"/>
      <c r="E237" t="s">
        <v>29</v>
      </c>
      <c r="F237" t="s">
        <v>30</v>
      </c>
      <c r="G237" t="s">
        <v>31</v>
      </c>
      <c r="H237" t="s">
        <v>32</v>
      </c>
      <c r="I237" s="29" t="s">
        <v>33</v>
      </c>
      <c r="J237" s="29" t="s">
        <v>34</v>
      </c>
      <c r="K237" s="29" t="s">
        <v>35</v>
      </c>
      <c r="L237" s="29" t="s">
        <v>36</v>
      </c>
      <c r="M237" s="37" t="s">
        <v>37</v>
      </c>
    </row>
    <row r="238" spans="3:13" ht="18.600000000000001" hidden="1" thickBot="1" x14ac:dyDescent="0.4">
      <c r="C238" s="25"/>
      <c r="E238" t="e">
        <f>RIGHT(C236,2)</f>
        <v>#REF!</v>
      </c>
      <c r="F238" t="e">
        <f>RIGHT(G238,1)</f>
        <v>#REF!</v>
      </c>
      <c r="G238" s="31" t="e">
        <f>TRUNC(C236)</f>
        <v>#REF!</v>
      </c>
      <c r="H238" s="18" t="e">
        <f>FIXED(C236-G238,I238)</f>
        <v>#REF!</v>
      </c>
      <c r="I238" t="e">
        <f>ABS(G241-H241)</f>
        <v>#REF!</v>
      </c>
      <c r="J238" t="e">
        <f>RIGHT(C236,I238)</f>
        <v>#REF!</v>
      </c>
      <c r="K238">
        <v>0.5</v>
      </c>
      <c r="L238" s="16" t="e">
        <f>(C236-K238)</f>
        <v>#REF!</v>
      </c>
      <c r="M238" s="44" t="e">
        <f>IF(E240=5,IF(AND(G236=0,F241=FALSE),L238,L239),L239)</f>
        <v>#REF!</v>
      </c>
    </row>
    <row r="239" spans="3:13" ht="15" hidden="1" thickBot="1" x14ac:dyDescent="0.35">
      <c r="C239" s="25"/>
      <c r="E239" t="e">
        <f>RIGHT(E238,1)</f>
        <v>#REF!</v>
      </c>
      <c r="F239" t="e">
        <f>F238+0</f>
        <v>#REF!</v>
      </c>
      <c r="L239" t="e">
        <f>FIXED(C236,0)</f>
        <v>#REF!</v>
      </c>
      <c r="M239" s="45"/>
    </row>
    <row r="240" spans="3:13" ht="15" hidden="1" thickBot="1" x14ac:dyDescent="0.35">
      <c r="C240" s="25"/>
      <c r="E240" t="e">
        <f>E239+0</f>
        <v>#REF!</v>
      </c>
      <c r="F240" t="s">
        <v>38</v>
      </c>
      <c r="G240" t="s">
        <v>39</v>
      </c>
      <c r="H240" t="s">
        <v>40</v>
      </c>
      <c r="M240" s="35"/>
    </row>
    <row r="241" spans="3:13" ht="15" hidden="1" thickBot="1" x14ac:dyDescent="0.35">
      <c r="C241" s="33"/>
      <c r="D241" s="33"/>
      <c r="E241" s="33"/>
      <c r="F241" s="33" t="e">
        <f>ISODD(F238)</f>
        <v>#REF!</v>
      </c>
      <c r="G241" s="33" t="e">
        <f>LEN(C236)</f>
        <v>#REF!</v>
      </c>
      <c r="H241" s="33" t="e">
        <f>LEN(G238)+1</f>
        <v>#REF!</v>
      </c>
      <c r="I241" s="33"/>
      <c r="J241" s="33"/>
      <c r="K241" s="33"/>
      <c r="L241" s="33"/>
      <c r="M241" s="46"/>
    </row>
    <row r="242" spans="3:13" ht="15" thickBot="1" x14ac:dyDescent="0.35">
      <c r="C242" s="208" t="s">
        <v>50</v>
      </c>
      <c r="D242" s="209"/>
      <c r="E242" s="209"/>
      <c r="F242" s="209"/>
      <c r="G242" s="209"/>
      <c r="H242" s="209"/>
      <c r="I242" s="209"/>
      <c r="J242" s="209"/>
      <c r="K242" s="209"/>
      <c r="L242" s="209"/>
      <c r="M242" s="210"/>
    </row>
    <row r="243" spans="3:13" ht="15" thickBot="1" x14ac:dyDescent="0.35">
      <c r="C243" s="25" t="s">
        <v>26</v>
      </c>
      <c r="D243" s="19" t="s">
        <v>27</v>
      </c>
      <c r="E243" t="e">
        <f>FIXED(C244,6)</f>
        <v>#REF!</v>
      </c>
      <c r="F243" t="e">
        <f>RIGHT(E243,1)</f>
        <v>#REF!</v>
      </c>
      <c r="G243" t="e">
        <f>F243/1000000</f>
        <v>#REF!</v>
      </c>
      <c r="H243" s="34" t="e">
        <f>C244-G243</f>
        <v>#REF!</v>
      </c>
      <c r="J243" t="e">
        <f>IF(E248=5,IF(AND(F244=0,F249=FALSE),L246,L247),L247)</f>
        <v>#REF!</v>
      </c>
      <c r="M243" s="35"/>
    </row>
    <row r="244" spans="3:13" ht="18.600000000000001" thickBot="1" x14ac:dyDescent="0.4">
      <c r="C244" s="26" t="e">
        <f>INCERTIDUMBRE!M10</f>
        <v>#REF!</v>
      </c>
      <c r="D244" s="36" t="e">
        <f>IF(C244&gt;=10,M278,IF(C244&gt;=1,M270,IF(C244&gt;=0.1,M262,IF(C244&gt;=0.01,M254,IF(C244&gt;=0.001,M246)))))</f>
        <v>#REF!</v>
      </c>
      <c r="E244" t="s">
        <v>28</v>
      </c>
      <c r="F244" t="e">
        <f>F243+0</f>
        <v>#REF!</v>
      </c>
      <c r="M244" s="35"/>
    </row>
    <row r="245" spans="3:13" ht="29.4" hidden="1" thickBot="1" x14ac:dyDescent="0.35">
      <c r="C245" s="27"/>
      <c r="D245" s="27"/>
      <c r="E245" t="s">
        <v>29</v>
      </c>
      <c r="F245" t="s">
        <v>30</v>
      </c>
      <c r="G245" t="s">
        <v>31</v>
      </c>
      <c r="H245" t="s">
        <v>32</v>
      </c>
      <c r="I245" s="29" t="s">
        <v>33</v>
      </c>
      <c r="J245" s="29" t="s">
        <v>34</v>
      </c>
      <c r="K245" s="29" t="s">
        <v>35</v>
      </c>
      <c r="L245" s="29" t="s">
        <v>36</v>
      </c>
      <c r="M245" s="37" t="s">
        <v>37</v>
      </c>
    </row>
    <row r="246" spans="3:13" ht="18.600000000000001" hidden="1" thickBot="1" x14ac:dyDescent="0.4">
      <c r="C246" s="30"/>
      <c r="E246" t="e">
        <f>RIGHT(H243,2)</f>
        <v>#REF!</v>
      </c>
      <c r="F246" t="e">
        <f>LEFT(E246,1)</f>
        <v>#REF!</v>
      </c>
      <c r="G246" s="34" t="e">
        <f>TRUNC(C244)</f>
        <v>#REF!</v>
      </c>
      <c r="H246" s="18" t="e">
        <f>FIXED(C244-G246,I246)</f>
        <v>#REF!</v>
      </c>
      <c r="I246" t="e">
        <f>ABS(G249-H249)</f>
        <v>#REF!</v>
      </c>
      <c r="J246" t="e">
        <f>RIGHT(C244,I246)</f>
        <v>#REF!</v>
      </c>
      <c r="K246">
        <v>5.0000000000000002E-5</v>
      </c>
      <c r="L246" s="18" t="e">
        <f>(C244-K246)</f>
        <v>#REF!</v>
      </c>
      <c r="M246" s="38" t="e">
        <f>IF(E248=5,IF(AND(F244=0,F249=FALSE),L246,L247),L247)</f>
        <v>#REF!</v>
      </c>
    </row>
    <row r="247" spans="3:13" ht="15" hidden="1" thickBot="1" x14ac:dyDescent="0.35">
      <c r="C247" s="25"/>
      <c r="E247" t="e">
        <f>RIGHT(E246,1)</f>
        <v>#REF!</v>
      </c>
      <c r="F247" t="e">
        <f>F246+0</f>
        <v>#REF!</v>
      </c>
      <c r="L247" t="e">
        <f>FIXED(C244,4)</f>
        <v>#REF!</v>
      </c>
      <c r="M247" s="35"/>
    </row>
    <row r="248" spans="3:13" ht="15" hidden="1" thickBot="1" x14ac:dyDescent="0.35">
      <c r="C248" s="25"/>
      <c r="E248" t="e">
        <f>E247+0</f>
        <v>#REF!</v>
      </c>
      <c r="F248" t="s">
        <v>38</v>
      </c>
      <c r="G248" t="s">
        <v>39</v>
      </c>
      <c r="H248" t="s">
        <v>40</v>
      </c>
      <c r="M248" s="35"/>
    </row>
    <row r="249" spans="3:13" ht="15" hidden="1" thickBot="1" x14ac:dyDescent="0.35">
      <c r="C249" s="25"/>
      <c r="F249" t="e">
        <f>ISODD(F246)</f>
        <v>#REF!</v>
      </c>
      <c r="G249" t="e">
        <f>LEN(C244)</f>
        <v>#REF!</v>
      </c>
      <c r="H249" t="e">
        <f>LEN(G246)+1</f>
        <v>#REF!</v>
      </c>
      <c r="M249" s="35"/>
    </row>
    <row r="250" spans="3:13" ht="15" hidden="1" thickBot="1" x14ac:dyDescent="0.35">
      <c r="C250" s="25"/>
      <c r="M250" s="35"/>
    </row>
    <row r="251" spans="3:13" ht="15" hidden="1" thickBot="1" x14ac:dyDescent="0.35">
      <c r="C251" s="205" t="s">
        <v>41</v>
      </c>
      <c r="D251" s="206"/>
      <c r="E251" s="206"/>
      <c r="F251" s="206"/>
      <c r="G251" s="206"/>
      <c r="H251" s="206"/>
      <c r="I251" s="206"/>
      <c r="J251" s="206"/>
      <c r="K251" s="206"/>
      <c r="L251" s="206"/>
      <c r="M251" s="207"/>
    </row>
    <row r="252" spans="3:13" ht="15" hidden="1" thickBot="1" x14ac:dyDescent="0.35">
      <c r="C252" s="39" t="e">
        <f>M246</f>
        <v>#REF!</v>
      </c>
      <c r="E252" t="e">
        <f>FIXED(C244,5)</f>
        <v>#REF!</v>
      </c>
      <c r="F252" t="e">
        <f>RIGHT(E252,1)</f>
        <v>#REF!</v>
      </c>
      <c r="G252" t="e">
        <f>F252+0</f>
        <v>#REF!</v>
      </c>
      <c r="M252" s="35"/>
    </row>
    <row r="253" spans="3:13" ht="29.4" hidden="1" thickBot="1" x14ac:dyDescent="0.35">
      <c r="C253" s="25"/>
      <c r="E253" t="s">
        <v>29</v>
      </c>
      <c r="F253" t="s">
        <v>30</v>
      </c>
      <c r="G253" t="s">
        <v>31</v>
      </c>
      <c r="H253" t="s">
        <v>32</v>
      </c>
      <c r="I253" s="29" t="s">
        <v>33</v>
      </c>
      <c r="J253" s="29" t="s">
        <v>34</v>
      </c>
      <c r="K253" s="29" t="s">
        <v>35</v>
      </c>
      <c r="L253" s="29" t="s">
        <v>36</v>
      </c>
      <c r="M253" s="37" t="s">
        <v>37</v>
      </c>
    </row>
    <row r="254" spans="3:13" ht="18.600000000000001" hidden="1" thickBot="1" x14ac:dyDescent="0.4">
      <c r="C254" s="25"/>
      <c r="E254" t="e">
        <f>RIGHT(C252,2)</f>
        <v>#REF!</v>
      </c>
      <c r="F254" t="e">
        <f>LEFT(E254,1)</f>
        <v>#REF!</v>
      </c>
      <c r="G254" s="31" t="e">
        <f>TRUNC(C252)</f>
        <v>#REF!</v>
      </c>
      <c r="H254" s="18" t="e">
        <f>FIXED(C252-G254,I254)</f>
        <v>#REF!</v>
      </c>
      <c r="I254" t="e">
        <f>ABS(G257-H257)</f>
        <v>#REF!</v>
      </c>
      <c r="J254" t="e">
        <f>RIGHT(C252,I254)</f>
        <v>#REF!</v>
      </c>
      <c r="K254">
        <v>5.0000000000000001E-4</v>
      </c>
      <c r="L254" s="20" t="e">
        <f>(C252-K254)</f>
        <v>#REF!</v>
      </c>
      <c r="M254" s="40" t="e">
        <f>IF(E256=5,IF(AND(G252=0,F257=FALSE),L254,L255),L255)</f>
        <v>#REF!</v>
      </c>
    </row>
    <row r="255" spans="3:13" ht="15" hidden="1" thickBot="1" x14ac:dyDescent="0.35">
      <c r="C255" s="25"/>
      <c r="E255" t="e">
        <f>RIGHT(E254,1)</f>
        <v>#REF!</v>
      </c>
      <c r="F255" t="e">
        <f>F254+0</f>
        <v>#REF!</v>
      </c>
      <c r="L255" t="e">
        <f>FIXED(C252,3)</f>
        <v>#REF!</v>
      </c>
      <c r="M255" s="35"/>
    </row>
    <row r="256" spans="3:13" ht="15" hidden="1" thickBot="1" x14ac:dyDescent="0.35">
      <c r="C256" s="25"/>
      <c r="E256" t="e">
        <f>E255+0</f>
        <v>#REF!</v>
      </c>
      <c r="F256" t="s">
        <v>38</v>
      </c>
      <c r="G256" t="s">
        <v>39</v>
      </c>
      <c r="H256" t="s">
        <v>40</v>
      </c>
      <c r="M256" s="35"/>
    </row>
    <row r="257" spans="3:13" ht="15" hidden="1" thickBot="1" x14ac:dyDescent="0.35">
      <c r="C257" s="25"/>
      <c r="F257" t="e">
        <f>ISODD(F254)</f>
        <v>#REF!</v>
      </c>
      <c r="G257" t="e">
        <f>LEN(C252)</f>
        <v>#REF!</v>
      </c>
      <c r="H257" t="e">
        <f>LEN(G254)+1</f>
        <v>#REF!</v>
      </c>
      <c r="M257" s="35"/>
    </row>
    <row r="258" spans="3:13" ht="15" hidden="1" thickBot="1" x14ac:dyDescent="0.35">
      <c r="C258" s="25"/>
      <c r="M258" s="35"/>
    </row>
    <row r="259" spans="3:13" ht="15" hidden="1" thickBot="1" x14ac:dyDescent="0.35">
      <c r="C259" s="205" t="s">
        <v>42</v>
      </c>
      <c r="D259" s="206"/>
      <c r="E259" s="206"/>
      <c r="F259" s="206"/>
      <c r="G259" s="206"/>
      <c r="H259" s="206"/>
      <c r="I259" s="206"/>
      <c r="J259" s="206"/>
      <c r="K259" s="206"/>
      <c r="L259" s="206"/>
      <c r="M259" s="207"/>
    </row>
    <row r="260" spans="3:13" ht="15" hidden="1" thickBot="1" x14ac:dyDescent="0.35">
      <c r="C260" s="39" t="e">
        <f>M254</f>
        <v>#REF!</v>
      </c>
      <c r="E260" t="e">
        <f>FIXED(C252,4)</f>
        <v>#REF!</v>
      </c>
      <c r="F260" t="e">
        <f>RIGHT(E260,1)</f>
        <v>#REF!</v>
      </c>
      <c r="G260" t="e">
        <f>F260+0</f>
        <v>#REF!</v>
      </c>
      <c r="M260" s="35"/>
    </row>
    <row r="261" spans="3:13" ht="29.4" hidden="1" thickBot="1" x14ac:dyDescent="0.35">
      <c r="C261" s="25"/>
      <c r="E261" t="s">
        <v>29</v>
      </c>
      <c r="F261" t="s">
        <v>30</v>
      </c>
      <c r="G261" t="s">
        <v>31</v>
      </c>
      <c r="H261" t="s">
        <v>32</v>
      </c>
      <c r="I261" s="29" t="s">
        <v>33</v>
      </c>
      <c r="J261" s="29" t="s">
        <v>34</v>
      </c>
      <c r="K261" s="29" t="s">
        <v>35</v>
      </c>
      <c r="L261" s="29" t="s">
        <v>36</v>
      </c>
      <c r="M261" s="37" t="s">
        <v>37</v>
      </c>
    </row>
    <row r="262" spans="3:13" ht="18.600000000000001" hidden="1" thickBot="1" x14ac:dyDescent="0.4">
      <c r="C262" s="25"/>
      <c r="E262" t="e">
        <f>RIGHT(C260,2)</f>
        <v>#REF!</v>
      </c>
      <c r="F262" t="e">
        <f>LEFT(E262,1)</f>
        <v>#REF!</v>
      </c>
      <c r="G262" s="31" t="e">
        <f>TRUNC(C260)</f>
        <v>#REF!</v>
      </c>
      <c r="H262" s="18" t="e">
        <f>FIXED(C260-G262,I262)</f>
        <v>#REF!</v>
      </c>
      <c r="I262" t="e">
        <f>ABS(G265-H265)</f>
        <v>#REF!</v>
      </c>
      <c r="J262" t="e">
        <f>RIGHT(C260,I262)</f>
        <v>#REF!</v>
      </c>
      <c r="K262">
        <v>5.0000000000000001E-3</v>
      </c>
      <c r="L262" s="32" t="e">
        <f>(C260-K262)</f>
        <v>#REF!</v>
      </c>
      <c r="M262" s="41" t="e">
        <f>IF(E264=5,IF(AND(G260=0,F265=FALSE),L262,L263),L263)</f>
        <v>#REF!</v>
      </c>
    </row>
    <row r="263" spans="3:13" ht="18.600000000000001" hidden="1" thickBot="1" x14ac:dyDescent="0.4">
      <c r="C263" s="25"/>
      <c r="E263" t="e">
        <f>RIGHT(E262,1)</f>
        <v>#REF!</v>
      </c>
      <c r="F263" t="e">
        <f>F262+0</f>
        <v>#REF!</v>
      </c>
      <c r="L263" t="e">
        <f>FIXED(C260,2)</f>
        <v>#REF!</v>
      </c>
      <c r="M263" s="41"/>
    </row>
    <row r="264" spans="3:13" ht="15" hidden="1" thickBot="1" x14ac:dyDescent="0.35">
      <c r="C264" s="25"/>
      <c r="E264" t="e">
        <f>E263+0</f>
        <v>#REF!</v>
      </c>
      <c r="F264" t="s">
        <v>38</v>
      </c>
      <c r="G264" t="s">
        <v>39</v>
      </c>
      <c r="H264" t="s">
        <v>40</v>
      </c>
      <c r="M264" s="35"/>
    </row>
    <row r="265" spans="3:13" ht="15" hidden="1" thickBot="1" x14ac:dyDescent="0.35">
      <c r="C265" s="25"/>
      <c r="F265" t="e">
        <f>ISODD(F262)</f>
        <v>#REF!</v>
      </c>
      <c r="G265" t="e">
        <f>LEN(C260)</f>
        <v>#REF!</v>
      </c>
      <c r="H265" t="e">
        <f>LEN(G262)+1</f>
        <v>#REF!</v>
      </c>
      <c r="M265" s="35"/>
    </row>
    <row r="266" spans="3:13" ht="15" hidden="1" thickBot="1" x14ac:dyDescent="0.35">
      <c r="C266" s="25"/>
      <c r="M266" s="35"/>
    </row>
    <row r="267" spans="3:13" ht="15" hidden="1" thickBot="1" x14ac:dyDescent="0.35">
      <c r="C267" s="205" t="s">
        <v>43</v>
      </c>
      <c r="D267" s="206"/>
      <c r="E267" s="206"/>
      <c r="F267" s="206"/>
      <c r="G267" s="206"/>
      <c r="H267" s="206"/>
      <c r="I267" s="206"/>
      <c r="J267" s="206"/>
      <c r="K267" s="206"/>
      <c r="L267" s="206"/>
      <c r="M267" s="207"/>
    </row>
    <row r="268" spans="3:13" ht="15" hidden="1" thickBot="1" x14ac:dyDescent="0.35">
      <c r="C268" s="42" t="e">
        <f>M262</f>
        <v>#REF!</v>
      </c>
      <c r="E268" t="e">
        <f>FIXED(C260,3)</f>
        <v>#REF!</v>
      </c>
      <c r="F268" t="e">
        <f>RIGHT(E268,1)</f>
        <v>#REF!</v>
      </c>
      <c r="G268" t="e">
        <f>F268+0</f>
        <v>#REF!</v>
      </c>
      <c r="M268" s="35"/>
    </row>
    <row r="269" spans="3:13" ht="29.4" hidden="1" thickBot="1" x14ac:dyDescent="0.35">
      <c r="C269" s="25"/>
      <c r="E269" t="s">
        <v>29</v>
      </c>
      <c r="F269" t="s">
        <v>30</v>
      </c>
      <c r="G269" t="s">
        <v>31</v>
      </c>
      <c r="H269" t="s">
        <v>32</v>
      </c>
      <c r="I269" s="29" t="s">
        <v>33</v>
      </c>
      <c r="J269" s="29" t="s">
        <v>34</v>
      </c>
      <c r="K269" s="29" t="s">
        <v>35</v>
      </c>
      <c r="L269" s="29" t="s">
        <v>36</v>
      </c>
      <c r="M269" s="37" t="s">
        <v>37</v>
      </c>
    </row>
    <row r="270" spans="3:13" ht="18.600000000000001" hidden="1" thickBot="1" x14ac:dyDescent="0.4">
      <c r="C270" s="25"/>
      <c r="E270" t="e">
        <f>RIGHT(C268,2)</f>
        <v>#REF!</v>
      </c>
      <c r="F270" t="e">
        <f>LEFT(E270,1)</f>
        <v>#REF!</v>
      </c>
      <c r="G270" s="31" t="e">
        <f>TRUNC(C268)</f>
        <v>#REF!</v>
      </c>
      <c r="H270" s="18" t="e">
        <f>FIXED(C268-G270,I270)</f>
        <v>#REF!</v>
      </c>
      <c r="I270" t="e">
        <f>ABS(G273-H273)</f>
        <v>#REF!</v>
      </c>
      <c r="J270" t="e">
        <f>RIGHT(C268,I270)</f>
        <v>#REF!</v>
      </c>
      <c r="K270">
        <v>0.05</v>
      </c>
      <c r="L270" s="32" t="e">
        <f>(C268-K270)</f>
        <v>#REF!</v>
      </c>
      <c r="M270" s="41" t="e">
        <f>IF(E272=5,IF(AND(G268=0,F273=FALSE),L270,L271),L271)</f>
        <v>#REF!</v>
      </c>
    </row>
    <row r="271" spans="3:13" ht="15" hidden="1" thickBot="1" x14ac:dyDescent="0.35">
      <c r="C271" s="25"/>
      <c r="E271" t="e">
        <f>RIGHT(E270,1)</f>
        <v>#REF!</v>
      </c>
      <c r="F271" t="e">
        <f>F270+0</f>
        <v>#REF!</v>
      </c>
      <c r="L271" t="e">
        <f>FIXED(C268,1)</f>
        <v>#REF!</v>
      </c>
      <c r="M271" s="43"/>
    </row>
    <row r="272" spans="3:13" ht="15" hidden="1" thickBot="1" x14ac:dyDescent="0.35">
      <c r="C272" s="25"/>
      <c r="E272" t="e">
        <f>E271+0</f>
        <v>#REF!</v>
      </c>
      <c r="F272" t="s">
        <v>38</v>
      </c>
      <c r="G272" t="s">
        <v>39</v>
      </c>
      <c r="H272" t="s">
        <v>40</v>
      </c>
      <c r="M272" s="35"/>
    </row>
    <row r="273" spans="3:13" ht="15" hidden="1" thickBot="1" x14ac:dyDescent="0.35">
      <c r="C273" s="25"/>
      <c r="F273" t="e">
        <f>ISODD(F270)</f>
        <v>#REF!</v>
      </c>
      <c r="G273" t="e">
        <f>LEN(C268)</f>
        <v>#REF!</v>
      </c>
      <c r="H273" t="e">
        <f>LEN(G270)+1</f>
        <v>#REF!</v>
      </c>
      <c r="M273" s="35"/>
    </row>
    <row r="274" spans="3:13" ht="15" hidden="1" thickBot="1" x14ac:dyDescent="0.35">
      <c r="C274" s="25"/>
      <c r="M274" s="35"/>
    </row>
    <row r="275" spans="3:13" ht="15" hidden="1" thickBot="1" x14ac:dyDescent="0.35">
      <c r="C275" s="205" t="s">
        <v>44</v>
      </c>
      <c r="D275" s="206"/>
      <c r="E275" s="206"/>
      <c r="F275" s="206"/>
      <c r="G275" s="206"/>
      <c r="H275" s="206"/>
      <c r="I275" s="206"/>
      <c r="J275" s="206"/>
      <c r="K275" s="206"/>
      <c r="L275" s="206"/>
      <c r="M275" s="207"/>
    </row>
    <row r="276" spans="3:13" ht="15" hidden="1" thickBot="1" x14ac:dyDescent="0.35">
      <c r="C276" s="42" t="e">
        <f>M270</f>
        <v>#REF!</v>
      </c>
      <c r="E276" t="e">
        <f>FIXED(C268,2)</f>
        <v>#REF!</v>
      </c>
      <c r="F276" t="e">
        <f>RIGHT(E276,1)</f>
        <v>#REF!</v>
      </c>
      <c r="G276" t="e">
        <f>F276+0</f>
        <v>#REF!</v>
      </c>
      <c r="M276" s="35"/>
    </row>
    <row r="277" spans="3:13" ht="29.4" hidden="1" thickBot="1" x14ac:dyDescent="0.35">
      <c r="C277" s="25"/>
      <c r="E277" t="s">
        <v>29</v>
      </c>
      <c r="F277" t="s">
        <v>30</v>
      </c>
      <c r="G277" t="s">
        <v>31</v>
      </c>
      <c r="H277" t="s">
        <v>32</v>
      </c>
      <c r="I277" s="29" t="s">
        <v>33</v>
      </c>
      <c r="J277" s="29" t="s">
        <v>34</v>
      </c>
      <c r="K277" s="29" t="s">
        <v>35</v>
      </c>
      <c r="L277" s="29" t="s">
        <v>36</v>
      </c>
      <c r="M277" s="37" t="s">
        <v>37</v>
      </c>
    </row>
    <row r="278" spans="3:13" ht="18.600000000000001" hidden="1" thickBot="1" x14ac:dyDescent="0.4">
      <c r="C278" s="25"/>
      <c r="E278" t="e">
        <f>RIGHT(C276,2)</f>
        <v>#REF!</v>
      </c>
      <c r="F278" t="e">
        <f>RIGHT(G278,1)</f>
        <v>#REF!</v>
      </c>
      <c r="G278" s="31" t="e">
        <f>TRUNC(C276)</f>
        <v>#REF!</v>
      </c>
      <c r="H278" s="18" t="e">
        <f>FIXED(C276-G278,I278)</f>
        <v>#REF!</v>
      </c>
      <c r="I278" t="e">
        <f>ABS(G281-H281)</f>
        <v>#REF!</v>
      </c>
      <c r="J278" t="e">
        <f>RIGHT(C276,I278)</f>
        <v>#REF!</v>
      </c>
      <c r="K278">
        <v>0.5</v>
      </c>
      <c r="L278" s="16" t="e">
        <f>(C276-K278)</f>
        <v>#REF!</v>
      </c>
      <c r="M278" s="44" t="e">
        <f>IF(E280=5,IF(AND(G276=0,F281=FALSE),L278,L279),L279)</f>
        <v>#REF!</v>
      </c>
    </row>
    <row r="279" spans="3:13" ht="15" hidden="1" thickBot="1" x14ac:dyDescent="0.35">
      <c r="C279" s="25"/>
      <c r="E279" t="e">
        <f>RIGHT(E278,1)</f>
        <v>#REF!</v>
      </c>
      <c r="F279" t="e">
        <f>F278+0</f>
        <v>#REF!</v>
      </c>
      <c r="L279" t="e">
        <f>FIXED(C276,0)</f>
        <v>#REF!</v>
      </c>
      <c r="M279" s="45"/>
    </row>
    <row r="280" spans="3:13" ht="15" hidden="1" thickBot="1" x14ac:dyDescent="0.35">
      <c r="C280" s="25"/>
      <c r="E280" t="e">
        <f>E279+0</f>
        <v>#REF!</v>
      </c>
      <c r="F280" t="s">
        <v>38</v>
      </c>
      <c r="G280" t="s">
        <v>39</v>
      </c>
      <c r="H280" t="s">
        <v>40</v>
      </c>
      <c r="M280" s="35"/>
    </row>
    <row r="281" spans="3:13" ht="15" hidden="1" thickBot="1" x14ac:dyDescent="0.35">
      <c r="C281" s="33"/>
      <c r="D281" s="33"/>
      <c r="E281" s="33"/>
      <c r="F281" s="33" t="e">
        <f>ISODD(F278)</f>
        <v>#REF!</v>
      </c>
      <c r="G281" s="33" t="e">
        <f>LEN(C276)</f>
        <v>#REF!</v>
      </c>
      <c r="H281" s="33" t="e">
        <f>LEN(G278)+1</f>
        <v>#REF!</v>
      </c>
      <c r="I281" s="33"/>
      <c r="J281" s="33"/>
      <c r="K281" s="33"/>
      <c r="L281" s="33"/>
      <c r="M281" s="46"/>
    </row>
    <row r="282" spans="3:13" ht="15" thickBot="1" x14ac:dyDescent="0.35">
      <c r="C282" s="208" t="s">
        <v>51</v>
      </c>
      <c r="D282" s="209"/>
      <c r="E282" s="209"/>
      <c r="F282" s="209"/>
      <c r="G282" s="209"/>
      <c r="H282" s="209"/>
      <c r="I282" s="209"/>
      <c r="J282" s="209"/>
      <c r="K282" s="209"/>
      <c r="L282" s="209"/>
      <c r="M282" s="210"/>
    </row>
    <row r="283" spans="3:13" ht="15" thickBot="1" x14ac:dyDescent="0.35">
      <c r="C283" s="25" t="s">
        <v>26</v>
      </c>
      <c r="D283" s="19" t="s">
        <v>27</v>
      </c>
      <c r="E283" t="e">
        <f>FIXED(C284,6)</f>
        <v>#REF!</v>
      </c>
      <c r="F283" t="e">
        <f>RIGHT(E283,1)</f>
        <v>#REF!</v>
      </c>
      <c r="G283" t="e">
        <f>F283/1000000</f>
        <v>#REF!</v>
      </c>
      <c r="H283" s="34" t="e">
        <f>C284-G283</f>
        <v>#REF!</v>
      </c>
      <c r="J283" t="e">
        <f>IF(E288=5,IF(AND(F284=0,F289=FALSE),L286,L287),L287)</f>
        <v>#REF!</v>
      </c>
      <c r="M283" s="35"/>
    </row>
    <row r="284" spans="3:13" ht="18.600000000000001" thickBot="1" x14ac:dyDescent="0.4">
      <c r="C284" s="26" t="e">
        <f>INCERTIDUMBRE!M11</f>
        <v>#REF!</v>
      </c>
      <c r="D284" s="36" t="e">
        <f>IF(C284&gt;=10,M318,IF(C284&gt;=1,M310,IF(C284&gt;=0.1,M302,IF(C284&gt;=0.01,M294,IF(C284&gt;=0.001,M286)))))</f>
        <v>#REF!</v>
      </c>
      <c r="E284" t="s">
        <v>28</v>
      </c>
      <c r="F284" t="e">
        <f>F283+0</f>
        <v>#REF!</v>
      </c>
      <c r="M284" s="35"/>
    </row>
    <row r="285" spans="3:13" ht="29.4" hidden="1" thickBot="1" x14ac:dyDescent="0.35">
      <c r="C285" s="27"/>
      <c r="D285" s="27"/>
      <c r="E285" t="s">
        <v>29</v>
      </c>
      <c r="F285" t="s">
        <v>30</v>
      </c>
      <c r="G285" t="s">
        <v>31</v>
      </c>
      <c r="H285" t="s">
        <v>32</v>
      </c>
      <c r="I285" s="29" t="s">
        <v>33</v>
      </c>
      <c r="J285" s="29" t="s">
        <v>34</v>
      </c>
      <c r="K285" s="29" t="s">
        <v>35</v>
      </c>
      <c r="L285" s="29" t="s">
        <v>36</v>
      </c>
      <c r="M285" s="37" t="s">
        <v>37</v>
      </c>
    </row>
    <row r="286" spans="3:13" ht="18.600000000000001" hidden="1" thickBot="1" x14ac:dyDescent="0.4">
      <c r="C286" s="30"/>
      <c r="E286" t="e">
        <f>RIGHT(H283,2)</f>
        <v>#REF!</v>
      </c>
      <c r="F286" t="e">
        <f>LEFT(E286,1)</f>
        <v>#REF!</v>
      </c>
      <c r="G286" s="34" t="e">
        <f>TRUNC(C284)</f>
        <v>#REF!</v>
      </c>
      <c r="H286" s="18" t="e">
        <f>FIXED(C284-G286,I286)</f>
        <v>#REF!</v>
      </c>
      <c r="I286" t="e">
        <f>ABS(G289-H289)</f>
        <v>#REF!</v>
      </c>
      <c r="J286" t="e">
        <f>RIGHT(C284,I286)</f>
        <v>#REF!</v>
      </c>
      <c r="K286">
        <v>5.0000000000000002E-5</v>
      </c>
      <c r="L286" s="18" t="e">
        <f>(C284-K286)</f>
        <v>#REF!</v>
      </c>
      <c r="M286" s="38" t="e">
        <f>IF(E288=5,IF(AND(F284=0,F289=FALSE),L286,L287),L287)</f>
        <v>#REF!</v>
      </c>
    </row>
    <row r="287" spans="3:13" ht="15" hidden="1" thickBot="1" x14ac:dyDescent="0.35">
      <c r="C287" s="25"/>
      <c r="E287" t="e">
        <f>RIGHT(E286,1)</f>
        <v>#REF!</v>
      </c>
      <c r="F287" t="e">
        <f>F286+0</f>
        <v>#REF!</v>
      </c>
      <c r="L287" t="e">
        <f>FIXED(C284,4)</f>
        <v>#REF!</v>
      </c>
      <c r="M287" s="35"/>
    </row>
    <row r="288" spans="3:13" ht="15" hidden="1" thickBot="1" x14ac:dyDescent="0.35">
      <c r="C288" s="25"/>
      <c r="E288" t="e">
        <f>E287+0</f>
        <v>#REF!</v>
      </c>
      <c r="F288" t="s">
        <v>38</v>
      </c>
      <c r="G288" t="s">
        <v>39</v>
      </c>
      <c r="H288" t="s">
        <v>40</v>
      </c>
      <c r="M288" s="35"/>
    </row>
    <row r="289" spans="3:13" ht="15" hidden="1" thickBot="1" x14ac:dyDescent="0.35">
      <c r="C289" s="25"/>
      <c r="F289" t="e">
        <f>ISODD(F286)</f>
        <v>#REF!</v>
      </c>
      <c r="G289" t="e">
        <f>LEN(C284)</f>
        <v>#REF!</v>
      </c>
      <c r="H289" t="e">
        <f>LEN(G286)+1</f>
        <v>#REF!</v>
      </c>
      <c r="M289" s="35"/>
    </row>
    <row r="290" spans="3:13" ht="15" hidden="1" thickBot="1" x14ac:dyDescent="0.35">
      <c r="C290" s="25"/>
      <c r="M290" s="35"/>
    </row>
    <row r="291" spans="3:13" ht="15" hidden="1" thickBot="1" x14ac:dyDescent="0.35">
      <c r="C291" s="205" t="s">
        <v>41</v>
      </c>
      <c r="D291" s="206"/>
      <c r="E291" s="206"/>
      <c r="F291" s="206"/>
      <c r="G291" s="206"/>
      <c r="H291" s="206"/>
      <c r="I291" s="206"/>
      <c r="J291" s="206"/>
      <c r="K291" s="206"/>
      <c r="L291" s="206"/>
      <c r="M291" s="207"/>
    </row>
    <row r="292" spans="3:13" ht="15" hidden="1" thickBot="1" x14ac:dyDescent="0.35">
      <c r="C292" s="39" t="e">
        <f>M286</f>
        <v>#REF!</v>
      </c>
      <c r="E292" t="e">
        <f>FIXED(C284,5)</f>
        <v>#REF!</v>
      </c>
      <c r="F292" t="e">
        <f>RIGHT(E292,1)</f>
        <v>#REF!</v>
      </c>
      <c r="G292" t="e">
        <f>F292+0</f>
        <v>#REF!</v>
      </c>
      <c r="M292" s="35"/>
    </row>
    <row r="293" spans="3:13" ht="29.4" hidden="1" thickBot="1" x14ac:dyDescent="0.35">
      <c r="C293" s="25"/>
      <c r="E293" t="s">
        <v>29</v>
      </c>
      <c r="F293" t="s">
        <v>30</v>
      </c>
      <c r="G293" t="s">
        <v>31</v>
      </c>
      <c r="H293" t="s">
        <v>32</v>
      </c>
      <c r="I293" s="29" t="s">
        <v>33</v>
      </c>
      <c r="J293" s="29" t="s">
        <v>34</v>
      </c>
      <c r="K293" s="29" t="s">
        <v>35</v>
      </c>
      <c r="L293" s="29" t="s">
        <v>36</v>
      </c>
      <c r="M293" s="37" t="s">
        <v>37</v>
      </c>
    </row>
    <row r="294" spans="3:13" ht="18.600000000000001" hidden="1" thickBot="1" x14ac:dyDescent="0.4">
      <c r="C294" s="25"/>
      <c r="E294" t="e">
        <f>RIGHT(C292,2)</f>
        <v>#REF!</v>
      </c>
      <c r="F294" t="e">
        <f>LEFT(E294,1)</f>
        <v>#REF!</v>
      </c>
      <c r="G294" s="31" t="e">
        <f>TRUNC(C292)</f>
        <v>#REF!</v>
      </c>
      <c r="H294" s="18" t="e">
        <f>FIXED(C292-G294,I294)</f>
        <v>#REF!</v>
      </c>
      <c r="I294" t="e">
        <f>ABS(G297-H297)</f>
        <v>#REF!</v>
      </c>
      <c r="J294" t="e">
        <f>RIGHT(C292,I294)</f>
        <v>#REF!</v>
      </c>
      <c r="K294">
        <v>5.0000000000000001E-4</v>
      </c>
      <c r="L294" s="20" t="e">
        <f>(C292-K294)</f>
        <v>#REF!</v>
      </c>
      <c r="M294" s="40" t="e">
        <f>IF(E296=5,IF(AND(G292=0,F297=FALSE),L294,L295),L295)</f>
        <v>#REF!</v>
      </c>
    </row>
    <row r="295" spans="3:13" ht="15" hidden="1" thickBot="1" x14ac:dyDescent="0.35">
      <c r="C295" s="25"/>
      <c r="E295" t="e">
        <f>RIGHT(E294,1)</f>
        <v>#REF!</v>
      </c>
      <c r="F295" t="e">
        <f>F294+0</f>
        <v>#REF!</v>
      </c>
      <c r="L295" t="e">
        <f>FIXED(C292,3)</f>
        <v>#REF!</v>
      </c>
      <c r="M295" s="35"/>
    </row>
    <row r="296" spans="3:13" ht="15" hidden="1" thickBot="1" x14ac:dyDescent="0.35">
      <c r="C296" s="25"/>
      <c r="E296" t="e">
        <f>E295+0</f>
        <v>#REF!</v>
      </c>
      <c r="F296" t="s">
        <v>38</v>
      </c>
      <c r="G296" t="s">
        <v>39</v>
      </c>
      <c r="H296" t="s">
        <v>40</v>
      </c>
      <c r="M296" s="35"/>
    </row>
    <row r="297" spans="3:13" ht="15" hidden="1" thickBot="1" x14ac:dyDescent="0.35">
      <c r="C297" s="25"/>
      <c r="F297" t="e">
        <f>ISODD(F294)</f>
        <v>#REF!</v>
      </c>
      <c r="G297" t="e">
        <f>LEN(C292)</f>
        <v>#REF!</v>
      </c>
      <c r="H297" t="e">
        <f>LEN(G294)+1</f>
        <v>#REF!</v>
      </c>
      <c r="M297" s="35"/>
    </row>
    <row r="298" spans="3:13" ht="15" hidden="1" thickBot="1" x14ac:dyDescent="0.35">
      <c r="C298" s="25"/>
      <c r="M298" s="35"/>
    </row>
    <row r="299" spans="3:13" ht="15" hidden="1" thickBot="1" x14ac:dyDescent="0.35">
      <c r="C299" s="205" t="s">
        <v>42</v>
      </c>
      <c r="D299" s="206"/>
      <c r="E299" s="206"/>
      <c r="F299" s="206"/>
      <c r="G299" s="206"/>
      <c r="H299" s="206"/>
      <c r="I299" s="206"/>
      <c r="J299" s="206"/>
      <c r="K299" s="206"/>
      <c r="L299" s="206"/>
      <c r="M299" s="207"/>
    </row>
    <row r="300" spans="3:13" ht="15" hidden="1" thickBot="1" x14ac:dyDescent="0.35">
      <c r="C300" s="39" t="e">
        <f>M294</f>
        <v>#REF!</v>
      </c>
      <c r="E300" t="e">
        <f>FIXED(C292,4)</f>
        <v>#REF!</v>
      </c>
      <c r="F300" t="e">
        <f>RIGHT(E300,1)</f>
        <v>#REF!</v>
      </c>
      <c r="G300" t="e">
        <f>F300+0</f>
        <v>#REF!</v>
      </c>
      <c r="M300" s="35"/>
    </row>
    <row r="301" spans="3:13" ht="29.4" hidden="1" thickBot="1" x14ac:dyDescent="0.35">
      <c r="C301" s="25"/>
      <c r="E301" t="s">
        <v>29</v>
      </c>
      <c r="F301" t="s">
        <v>30</v>
      </c>
      <c r="G301" t="s">
        <v>31</v>
      </c>
      <c r="H301" t="s">
        <v>32</v>
      </c>
      <c r="I301" s="29" t="s">
        <v>33</v>
      </c>
      <c r="J301" s="29" t="s">
        <v>34</v>
      </c>
      <c r="K301" s="29" t="s">
        <v>35</v>
      </c>
      <c r="L301" s="29" t="s">
        <v>36</v>
      </c>
      <c r="M301" s="37" t="s">
        <v>37</v>
      </c>
    </row>
    <row r="302" spans="3:13" ht="18.600000000000001" hidden="1" thickBot="1" x14ac:dyDescent="0.4">
      <c r="C302" s="25"/>
      <c r="E302" t="e">
        <f>RIGHT(C300,2)</f>
        <v>#REF!</v>
      </c>
      <c r="F302" t="e">
        <f>LEFT(E302,1)</f>
        <v>#REF!</v>
      </c>
      <c r="G302" s="31" t="e">
        <f>TRUNC(C300)</f>
        <v>#REF!</v>
      </c>
      <c r="H302" s="18" t="e">
        <f>FIXED(C300-G302,I302)</f>
        <v>#REF!</v>
      </c>
      <c r="I302" t="e">
        <f>ABS(G305-H305)</f>
        <v>#REF!</v>
      </c>
      <c r="J302" t="e">
        <f>RIGHT(C300,I302)</f>
        <v>#REF!</v>
      </c>
      <c r="K302">
        <v>5.0000000000000001E-3</v>
      </c>
      <c r="L302" s="32" t="e">
        <f>(C300-K302)</f>
        <v>#REF!</v>
      </c>
      <c r="M302" s="41" t="e">
        <f>IF(E304=5,IF(AND(G300=0,F305=FALSE),L302,L303),L303)</f>
        <v>#REF!</v>
      </c>
    </row>
    <row r="303" spans="3:13" ht="18.600000000000001" hidden="1" thickBot="1" x14ac:dyDescent="0.4">
      <c r="C303" s="25"/>
      <c r="E303" t="e">
        <f>RIGHT(E302,1)</f>
        <v>#REF!</v>
      </c>
      <c r="F303" t="e">
        <f>F302+0</f>
        <v>#REF!</v>
      </c>
      <c r="L303" t="e">
        <f>FIXED(C300,2)</f>
        <v>#REF!</v>
      </c>
      <c r="M303" s="41"/>
    </row>
    <row r="304" spans="3:13" ht="15" hidden="1" thickBot="1" x14ac:dyDescent="0.35">
      <c r="C304" s="25"/>
      <c r="E304" t="e">
        <f>E303+0</f>
        <v>#REF!</v>
      </c>
      <c r="F304" t="s">
        <v>38</v>
      </c>
      <c r="G304" t="s">
        <v>39</v>
      </c>
      <c r="H304" t="s">
        <v>40</v>
      </c>
      <c r="M304" s="35"/>
    </row>
    <row r="305" spans="3:13" ht="15" hidden="1" thickBot="1" x14ac:dyDescent="0.35">
      <c r="C305" s="25"/>
      <c r="F305" t="e">
        <f>ISODD(F302)</f>
        <v>#REF!</v>
      </c>
      <c r="G305" t="e">
        <f>LEN(C300)</f>
        <v>#REF!</v>
      </c>
      <c r="H305" t="e">
        <f>LEN(G302)+1</f>
        <v>#REF!</v>
      </c>
      <c r="M305" s="35"/>
    </row>
    <row r="306" spans="3:13" ht="15" hidden="1" thickBot="1" x14ac:dyDescent="0.35">
      <c r="C306" s="25"/>
      <c r="M306" s="35"/>
    </row>
    <row r="307" spans="3:13" ht="15" hidden="1" thickBot="1" x14ac:dyDescent="0.35">
      <c r="C307" s="205" t="s">
        <v>43</v>
      </c>
      <c r="D307" s="206"/>
      <c r="E307" s="206"/>
      <c r="F307" s="206"/>
      <c r="G307" s="206"/>
      <c r="H307" s="206"/>
      <c r="I307" s="206"/>
      <c r="J307" s="206"/>
      <c r="K307" s="206"/>
      <c r="L307" s="206"/>
      <c r="M307" s="207"/>
    </row>
    <row r="308" spans="3:13" ht="15" hidden="1" thickBot="1" x14ac:dyDescent="0.35">
      <c r="C308" s="42" t="e">
        <f>M302</f>
        <v>#REF!</v>
      </c>
      <c r="E308" t="e">
        <f>FIXED(C300,3)</f>
        <v>#REF!</v>
      </c>
      <c r="F308" t="e">
        <f>RIGHT(E308,1)</f>
        <v>#REF!</v>
      </c>
      <c r="G308" t="e">
        <f>F308+0</f>
        <v>#REF!</v>
      </c>
      <c r="M308" s="35"/>
    </row>
    <row r="309" spans="3:13" ht="29.4" hidden="1" thickBot="1" x14ac:dyDescent="0.35">
      <c r="C309" s="25"/>
      <c r="E309" t="s">
        <v>29</v>
      </c>
      <c r="F309" t="s">
        <v>30</v>
      </c>
      <c r="G309" t="s">
        <v>31</v>
      </c>
      <c r="H309" t="s">
        <v>32</v>
      </c>
      <c r="I309" s="29" t="s">
        <v>33</v>
      </c>
      <c r="J309" s="29" t="s">
        <v>34</v>
      </c>
      <c r="K309" s="29" t="s">
        <v>35</v>
      </c>
      <c r="L309" s="29" t="s">
        <v>36</v>
      </c>
      <c r="M309" s="37" t="s">
        <v>37</v>
      </c>
    </row>
    <row r="310" spans="3:13" ht="18.600000000000001" hidden="1" thickBot="1" x14ac:dyDescent="0.4">
      <c r="C310" s="25"/>
      <c r="E310" t="e">
        <f>RIGHT(C308,2)</f>
        <v>#REF!</v>
      </c>
      <c r="F310" t="e">
        <f>LEFT(E310,1)</f>
        <v>#REF!</v>
      </c>
      <c r="G310" s="31" t="e">
        <f>TRUNC(C308)</f>
        <v>#REF!</v>
      </c>
      <c r="H310" s="18" t="e">
        <f>FIXED(C308-G310,I310)</f>
        <v>#REF!</v>
      </c>
      <c r="I310" t="e">
        <f>ABS(G313-H313)</f>
        <v>#REF!</v>
      </c>
      <c r="J310" t="e">
        <f>RIGHT(C308,I310)</f>
        <v>#REF!</v>
      </c>
      <c r="K310">
        <v>0.05</v>
      </c>
      <c r="L310" s="32" t="e">
        <f>(C308-K310)</f>
        <v>#REF!</v>
      </c>
      <c r="M310" s="41" t="e">
        <f>IF(E312=5,IF(AND(G308=0,F313=FALSE),L310,L311),L311)</f>
        <v>#REF!</v>
      </c>
    </row>
    <row r="311" spans="3:13" ht="15" hidden="1" thickBot="1" x14ac:dyDescent="0.35">
      <c r="C311" s="25"/>
      <c r="E311" t="e">
        <f>RIGHT(E310,1)</f>
        <v>#REF!</v>
      </c>
      <c r="F311" t="e">
        <f>F310+0</f>
        <v>#REF!</v>
      </c>
      <c r="L311" t="e">
        <f>FIXED(C308,1)</f>
        <v>#REF!</v>
      </c>
      <c r="M311" s="43"/>
    </row>
    <row r="312" spans="3:13" ht="15" hidden="1" thickBot="1" x14ac:dyDescent="0.35">
      <c r="C312" s="25"/>
      <c r="E312" t="e">
        <f>E311+0</f>
        <v>#REF!</v>
      </c>
      <c r="F312" t="s">
        <v>38</v>
      </c>
      <c r="G312" t="s">
        <v>39</v>
      </c>
      <c r="H312" t="s">
        <v>40</v>
      </c>
      <c r="M312" s="35"/>
    </row>
    <row r="313" spans="3:13" ht="15" hidden="1" thickBot="1" x14ac:dyDescent="0.35">
      <c r="C313" s="25"/>
      <c r="F313" t="e">
        <f>ISODD(F310)</f>
        <v>#REF!</v>
      </c>
      <c r="G313" t="e">
        <f>LEN(C308)</f>
        <v>#REF!</v>
      </c>
      <c r="H313" t="e">
        <f>LEN(G310)+1</f>
        <v>#REF!</v>
      </c>
      <c r="M313" s="35"/>
    </row>
    <row r="314" spans="3:13" ht="15" hidden="1" thickBot="1" x14ac:dyDescent="0.35">
      <c r="C314" s="25"/>
      <c r="M314" s="35"/>
    </row>
    <row r="315" spans="3:13" ht="15" hidden="1" thickBot="1" x14ac:dyDescent="0.35">
      <c r="C315" s="205" t="s">
        <v>44</v>
      </c>
      <c r="D315" s="206"/>
      <c r="E315" s="206"/>
      <c r="F315" s="206"/>
      <c r="G315" s="206"/>
      <c r="H315" s="206"/>
      <c r="I315" s="206"/>
      <c r="J315" s="206"/>
      <c r="K315" s="206"/>
      <c r="L315" s="206"/>
      <c r="M315" s="207"/>
    </row>
    <row r="316" spans="3:13" ht="15" hidden="1" thickBot="1" x14ac:dyDescent="0.35">
      <c r="C316" s="42" t="e">
        <f>M310</f>
        <v>#REF!</v>
      </c>
      <c r="E316" t="e">
        <f>FIXED(C308,2)</f>
        <v>#REF!</v>
      </c>
      <c r="F316" t="e">
        <f>RIGHT(E316,1)</f>
        <v>#REF!</v>
      </c>
      <c r="G316" t="e">
        <f>F316+0</f>
        <v>#REF!</v>
      </c>
      <c r="M316" s="35"/>
    </row>
    <row r="317" spans="3:13" ht="29.4" hidden="1" thickBot="1" x14ac:dyDescent="0.35">
      <c r="C317" s="25"/>
      <c r="E317" t="s">
        <v>29</v>
      </c>
      <c r="F317" t="s">
        <v>30</v>
      </c>
      <c r="G317" t="s">
        <v>31</v>
      </c>
      <c r="H317" t="s">
        <v>32</v>
      </c>
      <c r="I317" s="29" t="s">
        <v>33</v>
      </c>
      <c r="J317" s="29" t="s">
        <v>34</v>
      </c>
      <c r="K317" s="29" t="s">
        <v>35</v>
      </c>
      <c r="L317" s="29" t="s">
        <v>36</v>
      </c>
      <c r="M317" s="37" t="s">
        <v>37</v>
      </c>
    </row>
    <row r="318" spans="3:13" ht="18.600000000000001" hidden="1" thickBot="1" x14ac:dyDescent="0.4">
      <c r="C318" s="25"/>
      <c r="E318" t="e">
        <f>RIGHT(C316,2)</f>
        <v>#REF!</v>
      </c>
      <c r="F318" t="e">
        <f>RIGHT(G318,1)</f>
        <v>#REF!</v>
      </c>
      <c r="G318" s="31" t="e">
        <f>TRUNC(C316)</f>
        <v>#REF!</v>
      </c>
      <c r="H318" s="18" t="e">
        <f>FIXED(C316-G318,I318)</f>
        <v>#REF!</v>
      </c>
      <c r="I318" t="e">
        <f>ABS(G321-H321)</f>
        <v>#REF!</v>
      </c>
      <c r="J318" t="e">
        <f>RIGHT(C316,I318)</f>
        <v>#REF!</v>
      </c>
      <c r="K318">
        <v>0.5</v>
      </c>
      <c r="L318" s="16" t="e">
        <f>(C316-K318)</f>
        <v>#REF!</v>
      </c>
      <c r="M318" s="44" t="e">
        <f>IF(E320=5,IF(AND(G316=0,F321=FALSE),L318,L319),L319)</f>
        <v>#REF!</v>
      </c>
    </row>
    <row r="319" spans="3:13" ht="15" hidden="1" thickBot="1" x14ac:dyDescent="0.35">
      <c r="C319" s="25"/>
      <c r="E319" t="e">
        <f>RIGHT(E318,1)</f>
        <v>#REF!</v>
      </c>
      <c r="F319" t="e">
        <f>F318+0</f>
        <v>#REF!</v>
      </c>
      <c r="L319" t="e">
        <f>FIXED(C316,0)</f>
        <v>#REF!</v>
      </c>
      <c r="M319" s="45"/>
    </row>
    <row r="320" spans="3:13" ht="15" hidden="1" thickBot="1" x14ac:dyDescent="0.35">
      <c r="C320" s="25"/>
      <c r="E320" t="e">
        <f>E319+0</f>
        <v>#REF!</v>
      </c>
      <c r="F320" t="s">
        <v>38</v>
      </c>
      <c r="G320" t="s">
        <v>39</v>
      </c>
      <c r="H320" t="s">
        <v>40</v>
      </c>
      <c r="M320" s="35"/>
    </row>
    <row r="321" spans="3:13" ht="15" hidden="1" thickBot="1" x14ac:dyDescent="0.35">
      <c r="C321" s="33"/>
      <c r="D321" s="33"/>
      <c r="E321" s="33"/>
      <c r="F321" s="33" t="e">
        <f>ISODD(F318)</f>
        <v>#REF!</v>
      </c>
      <c r="G321" s="33" t="e">
        <f>LEN(C316)</f>
        <v>#REF!</v>
      </c>
      <c r="H321" s="33" t="e">
        <f>LEN(G318)+1</f>
        <v>#REF!</v>
      </c>
      <c r="I321" s="33"/>
      <c r="J321" s="33"/>
      <c r="K321" s="33"/>
      <c r="L321" s="33"/>
      <c r="M321" s="46"/>
    </row>
    <row r="322" spans="3:13" ht="15" thickBot="1" x14ac:dyDescent="0.35">
      <c r="C322" s="208" t="s">
        <v>52</v>
      </c>
      <c r="D322" s="209"/>
      <c r="E322" s="209"/>
      <c r="F322" s="209"/>
      <c r="G322" s="209"/>
      <c r="H322" s="209"/>
      <c r="I322" s="209"/>
      <c r="J322" s="209"/>
      <c r="K322" s="209"/>
      <c r="L322" s="209"/>
      <c r="M322" s="210"/>
    </row>
    <row r="323" spans="3:13" ht="15" thickBot="1" x14ac:dyDescent="0.35">
      <c r="C323" s="25" t="s">
        <v>26</v>
      </c>
      <c r="D323" s="19" t="s">
        <v>27</v>
      </c>
      <c r="E323" t="str">
        <f>FIXED(C324,6)</f>
        <v>0,000000</v>
      </c>
      <c r="F323" t="str">
        <f>RIGHT(E323,1)</f>
        <v>0</v>
      </c>
      <c r="G323">
        <f>F323/1000000</f>
        <v>0</v>
      </c>
      <c r="H323" s="34">
        <f>C324-G323</f>
        <v>0</v>
      </c>
      <c r="J323" t="str">
        <f>IF(E328=5,IF(AND(F324=0,F329=FALSE),L326,L327),L327)</f>
        <v>0,0000</v>
      </c>
      <c r="M323" s="35"/>
    </row>
    <row r="324" spans="3:13" ht="18.600000000000001" thickBot="1" x14ac:dyDescent="0.4">
      <c r="C324" s="26">
        <f>INCERTIDUMBRE!M12</f>
        <v>0</v>
      </c>
      <c r="D324" s="36" t="b">
        <f>IF(C324&gt;=10,M358,IF(C324&gt;=1,M350,IF(C324&gt;=0.1,M342,IF(C324&gt;=0.01,M334,IF(C324&gt;=0.001,M326)))))</f>
        <v>0</v>
      </c>
      <c r="E324" t="s">
        <v>28</v>
      </c>
      <c r="F324">
        <f>F323+0</f>
        <v>0</v>
      </c>
      <c r="M324" s="35"/>
    </row>
    <row r="325" spans="3:13" ht="29.4" hidden="1" thickBot="1" x14ac:dyDescent="0.35">
      <c r="C325" s="27"/>
      <c r="D325" s="27"/>
      <c r="E325" t="s">
        <v>29</v>
      </c>
      <c r="F325" t="s">
        <v>30</v>
      </c>
      <c r="G325" t="s">
        <v>31</v>
      </c>
      <c r="H325" t="s">
        <v>32</v>
      </c>
      <c r="I325" s="29" t="s">
        <v>33</v>
      </c>
      <c r="J325" s="29" t="s">
        <v>34</v>
      </c>
      <c r="K325" s="29" t="s">
        <v>35</v>
      </c>
      <c r="L325" s="29" t="s">
        <v>36</v>
      </c>
      <c r="M325" s="37" t="s">
        <v>37</v>
      </c>
    </row>
    <row r="326" spans="3:13" ht="18.600000000000001" hidden="1" thickBot="1" x14ac:dyDescent="0.4">
      <c r="C326" s="30"/>
      <c r="E326" t="str">
        <f>RIGHT(H323,2)</f>
        <v>0</v>
      </c>
      <c r="F326" t="str">
        <f>LEFT(E326,1)</f>
        <v>0</v>
      </c>
      <c r="G326" s="34">
        <f>TRUNC(C324)</f>
        <v>0</v>
      </c>
      <c r="H326" s="18" t="str">
        <f>FIXED(C324-G326,I326)</f>
        <v>0,0</v>
      </c>
      <c r="I326">
        <f>ABS(G329-H329)</f>
        <v>1</v>
      </c>
      <c r="J326" t="str">
        <f>RIGHT(C324,I326)</f>
        <v>0</v>
      </c>
      <c r="K326">
        <v>5.0000000000000002E-5</v>
      </c>
      <c r="L326" s="18">
        <f>(C324-K326)</f>
        <v>-5.0000000000000002E-5</v>
      </c>
      <c r="M326" s="38" t="str">
        <f>IF(E328=5,IF(AND(F324=0,F329=FALSE),L326,L327),L327)</f>
        <v>0,0000</v>
      </c>
    </row>
    <row r="327" spans="3:13" ht="15" hidden="1" thickBot="1" x14ac:dyDescent="0.35">
      <c r="C327" s="25"/>
      <c r="E327" t="str">
        <f>RIGHT(E326,1)</f>
        <v>0</v>
      </c>
      <c r="F327">
        <f>F326+0</f>
        <v>0</v>
      </c>
      <c r="L327" t="str">
        <f>FIXED(C324,4)</f>
        <v>0,0000</v>
      </c>
      <c r="M327" s="35"/>
    </row>
    <row r="328" spans="3:13" ht="15" hidden="1" thickBot="1" x14ac:dyDescent="0.35">
      <c r="C328" s="25"/>
      <c r="E328">
        <f>E327+0</f>
        <v>0</v>
      </c>
      <c r="F328" t="s">
        <v>38</v>
      </c>
      <c r="G328" t="s">
        <v>39</v>
      </c>
      <c r="H328" t="s">
        <v>40</v>
      </c>
      <c r="M328" s="35"/>
    </row>
    <row r="329" spans="3:13" ht="15" hidden="1" thickBot="1" x14ac:dyDescent="0.35">
      <c r="C329" s="25"/>
      <c r="F329" t="b">
        <f>ISODD(F326)</f>
        <v>0</v>
      </c>
      <c r="G329">
        <f>LEN(C324)</f>
        <v>1</v>
      </c>
      <c r="H329">
        <f>LEN(G326)+1</f>
        <v>2</v>
      </c>
      <c r="M329" s="35"/>
    </row>
    <row r="330" spans="3:13" ht="15" hidden="1" thickBot="1" x14ac:dyDescent="0.35">
      <c r="C330" s="25"/>
      <c r="M330" s="35"/>
    </row>
    <row r="331" spans="3:13" ht="15" hidden="1" thickBot="1" x14ac:dyDescent="0.35">
      <c r="C331" s="205" t="s">
        <v>41</v>
      </c>
      <c r="D331" s="206"/>
      <c r="E331" s="206"/>
      <c r="F331" s="206"/>
      <c r="G331" s="206"/>
      <c r="H331" s="206"/>
      <c r="I331" s="206"/>
      <c r="J331" s="206"/>
      <c r="K331" s="206"/>
      <c r="L331" s="206"/>
      <c r="M331" s="207"/>
    </row>
    <row r="332" spans="3:13" ht="15" hidden="1" thickBot="1" x14ac:dyDescent="0.35">
      <c r="C332" s="39" t="str">
        <f>M326</f>
        <v>0,0000</v>
      </c>
      <c r="E332" t="str">
        <f>FIXED(C324,5)</f>
        <v>0,00000</v>
      </c>
      <c r="F332" t="str">
        <f>RIGHT(E332,1)</f>
        <v>0</v>
      </c>
      <c r="G332">
        <f>F332+0</f>
        <v>0</v>
      </c>
      <c r="M332" s="35"/>
    </row>
    <row r="333" spans="3:13" ht="29.4" hidden="1" thickBot="1" x14ac:dyDescent="0.35">
      <c r="C333" s="25"/>
      <c r="E333" t="s">
        <v>29</v>
      </c>
      <c r="F333" t="s">
        <v>30</v>
      </c>
      <c r="G333" t="s">
        <v>31</v>
      </c>
      <c r="H333" t="s">
        <v>32</v>
      </c>
      <c r="I333" s="29" t="s">
        <v>33</v>
      </c>
      <c r="J333" s="29" t="s">
        <v>34</v>
      </c>
      <c r="K333" s="29" t="s">
        <v>35</v>
      </c>
      <c r="L333" s="29" t="s">
        <v>36</v>
      </c>
      <c r="M333" s="37" t="s">
        <v>37</v>
      </c>
    </row>
    <row r="334" spans="3:13" ht="18.600000000000001" hidden="1" thickBot="1" x14ac:dyDescent="0.4">
      <c r="C334" s="25"/>
      <c r="E334" t="str">
        <f>RIGHT(C332,2)</f>
        <v>00</v>
      </c>
      <c r="F334" t="str">
        <f>LEFT(E334,1)</f>
        <v>0</v>
      </c>
      <c r="G334" s="31">
        <f>TRUNC(C332)</f>
        <v>0</v>
      </c>
      <c r="H334" s="18" t="str">
        <f>FIXED(C332-G334,I334)</f>
        <v>0,0000</v>
      </c>
      <c r="I334">
        <f>ABS(G337-H337)</f>
        <v>4</v>
      </c>
      <c r="J334" t="str">
        <f>RIGHT(C332,I334)</f>
        <v>0000</v>
      </c>
      <c r="K334">
        <v>5.0000000000000001E-4</v>
      </c>
      <c r="L334" s="20">
        <f>(C332-K334)</f>
        <v>-5.0000000000000001E-4</v>
      </c>
      <c r="M334" s="40" t="str">
        <f>IF(E336=5,IF(AND(G332=0,F337=FALSE),L334,L335),L335)</f>
        <v>0,000</v>
      </c>
    </row>
    <row r="335" spans="3:13" ht="15" hidden="1" thickBot="1" x14ac:dyDescent="0.35">
      <c r="C335" s="25"/>
      <c r="E335" t="str">
        <f>RIGHT(E334,1)</f>
        <v>0</v>
      </c>
      <c r="F335">
        <f>F334+0</f>
        <v>0</v>
      </c>
      <c r="L335" t="str">
        <f>FIXED(C332,3)</f>
        <v>0,000</v>
      </c>
      <c r="M335" s="35"/>
    </row>
    <row r="336" spans="3:13" ht="15" hidden="1" thickBot="1" x14ac:dyDescent="0.35">
      <c r="C336" s="25"/>
      <c r="E336">
        <f>E335+0</f>
        <v>0</v>
      </c>
      <c r="F336" t="s">
        <v>38</v>
      </c>
      <c r="G336" t="s">
        <v>39</v>
      </c>
      <c r="H336" t="s">
        <v>40</v>
      </c>
      <c r="M336" s="35"/>
    </row>
    <row r="337" spans="3:13" ht="15" hidden="1" thickBot="1" x14ac:dyDescent="0.35">
      <c r="C337" s="25"/>
      <c r="F337" t="b">
        <f>ISODD(F334)</f>
        <v>0</v>
      </c>
      <c r="G337">
        <f>LEN(C332)</f>
        <v>6</v>
      </c>
      <c r="H337">
        <f>LEN(G334)+1</f>
        <v>2</v>
      </c>
      <c r="M337" s="35"/>
    </row>
    <row r="338" spans="3:13" ht="15" hidden="1" thickBot="1" x14ac:dyDescent="0.35">
      <c r="C338" s="25"/>
      <c r="M338" s="35"/>
    </row>
    <row r="339" spans="3:13" ht="15" hidden="1" thickBot="1" x14ac:dyDescent="0.35">
      <c r="C339" s="205" t="s">
        <v>42</v>
      </c>
      <c r="D339" s="206"/>
      <c r="E339" s="206"/>
      <c r="F339" s="206"/>
      <c r="G339" s="206"/>
      <c r="H339" s="206"/>
      <c r="I339" s="206"/>
      <c r="J339" s="206"/>
      <c r="K339" s="206"/>
      <c r="L339" s="206"/>
      <c r="M339" s="207"/>
    </row>
    <row r="340" spans="3:13" ht="15" hidden="1" thickBot="1" x14ac:dyDescent="0.35">
      <c r="C340" s="39" t="str">
        <f>M334</f>
        <v>0,000</v>
      </c>
      <c r="E340" t="str">
        <f>FIXED(C332,4)</f>
        <v>0,0000</v>
      </c>
      <c r="F340" t="str">
        <f>RIGHT(E340,1)</f>
        <v>0</v>
      </c>
      <c r="G340">
        <f>F340+0</f>
        <v>0</v>
      </c>
      <c r="M340" s="35"/>
    </row>
    <row r="341" spans="3:13" ht="29.4" hidden="1" thickBot="1" x14ac:dyDescent="0.35">
      <c r="C341" s="25"/>
      <c r="E341" t="s">
        <v>29</v>
      </c>
      <c r="F341" t="s">
        <v>30</v>
      </c>
      <c r="G341" t="s">
        <v>31</v>
      </c>
      <c r="H341" t="s">
        <v>32</v>
      </c>
      <c r="I341" s="29" t="s">
        <v>33</v>
      </c>
      <c r="J341" s="29" t="s">
        <v>34</v>
      </c>
      <c r="K341" s="29" t="s">
        <v>35</v>
      </c>
      <c r="L341" s="29" t="s">
        <v>36</v>
      </c>
      <c r="M341" s="37" t="s">
        <v>37</v>
      </c>
    </row>
    <row r="342" spans="3:13" ht="18.600000000000001" hidden="1" thickBot="1" x14ac:dyDescent="0.4">
      <c r="C342" s="25"/>
      <c r="E342" t="str">
        <f>RIGHT(C340,2)</f>
        <v>00</v>
      </c>
      <c r="F342" t="str">
        <f>LEFT(E342,1)</f>
        <v>0</v>
      </c>
      <c r="G342" s="31">
        <f>TRUNC(C340)</f>
        <v>0</v>
      </c>
      <c r="H342" s="18" t="str">
        <f>FIXED(C340-G342,I342)</f>
        <v>0,000</v>
      </c>
      <c r="I342">
        <f>ABS(G345-H345)</f>
        <v>3</v>
      </c>
      <c r="J342" t="str">
        <f>RIGHT(C340,I342)</f>
        <v>000</v>
      </c>
      <c r="K342">
        <v>5.0000000000000001E-3</v>
      </c>
      <c r="L342" s="32">
        <f>(C340-K342)</f>
        <v>-5.0000000000000001E-3</v>
      </c>
      <c r="M342" s="41" t="str">
        <f>IF(E344=5,IF(AND(G340=0,F345=FALSE),L342,L343),L343)</f>
        <v>0,00</v>
      </c>
    </row>
    <row r="343" spans="3:13" ht="18.600000000000001" hidden="1" thickBot="1" x14ac:dyDescent="0.4">
      <c r="C343" s="25"/>
      <c r="E343" t="str">
        <f>RIGHT(E342,1)</f>
        <v>0</v>
      </c>
      <c r="F343">
        <f>F342+0</f>
        <v>0</v>
      </c>
      <c r="L343" t="str">
        <f>FIXED(C340,2)</f>
        <v>0,00</v>
      </c>
      <c r="M343" s="41"/>
    </row>
    <row r="344" spans="3:13" ht="15" hidden="1" thickBot="1" x14ac:dyDescent="0.35">
      <c r="C344" s="25"/>
      <c r="E344">
        <f>E343+0</f>
        <v>0</v>
      </c>
      <c r="F344" t="s">
        <v>38</v>
      </c>
      <c r="G344" t="s">
        <v>39</v>
      </c>
      <c r="H344" t="s">
        <v>40</v>
      </c>
      <c r="M344" s="35"/>
    </row>
    <row r="345" spans="3:13" ht="15" hidden="1" thickBot="1" x14ac:dyDescent="0.35">
      <c r="C345" s="25"/>
      <c r="F345" t="b">
        <f>ISODD(F342)</f>
        <v>0</v>
      </c>
      <c r="G345">
        <f>LEN(C340)</f>
        <v>5</v>
      </c>
      <c r="H345">
        <f>LEN(G342)+1</f>
        <v>2</v>
      </c>
      <c r="M345" s="35"/>
    </row>
    <row r="346" spans="3:13" ht="15" hidden="1" thickBot="1" x14ac:dyDescent="0.35">
      <c r="C346" s="25"/>
      <c r="M346" s="35"/>
    </row>
    <row r="347" spans="3:13" ht="15" hidden="1" thickBot="1" x14ac:dyDescent="0.35">
      <c r="C347" s="205" t="s">
        <v>43</v>
      </c>
      <c r="D347" s="206"/>
      <c r="E347" s="206"/>
      <c r="F347" s="206"/>
      <c r="G347" s="206"/>
      <c r="H347" s="206"/>
      <c r="I347" s="206"/>
      <c r="J347" s="206"/>
      <c r="K347" s="206"/>
      <c r="L347" s="206"/>
      <c r="M347" s="207"/>
    </row>
    <row r="348" spans="3:13" ht="15" hidden="1" thickBot="1" x14ac:dyDescent="0.35">
      <c r="C348" s="42" t="str">
        <f>M342</f>
        <v>0,00</v>
      </c>
      <c r="E348" t="str">
        <f>FIXED(C340,3)</f>
        <v>0,000</v>
      </c>
      <c r="F348" t="str">
        <f>RIGHT(E348,1)</f>
        <v>0</v>
      </c>
      <c r="G348">
        <f>F348+0</f>
        <v>0</v>
      </c>
      <c r="M348" s="35"/>
    </row>
    <row r="349" spans="3:13" ht="29.4" hidden="1" thickBot="1" x14ac:dyDescent="0.35">
      <c r="C349" s="25"/>
      <c r="E349" t="s">
        <v>29</v>
      </c>
      <c r="F349" t="s">
        <v>30</v>
      </c>
      <c r="G349" t="s">
        <v>31</v>
      </c>
      <c r="H349" t="s">
        <v>32</v>
      </c>
      <c r="I349" s="29" t="s">
        <v>33</v>
      </c>
      <c r="J349" s="29" t="s">
        <v>34</v>
      </c>
      <c r="K349" s="29" t="s">
        <v>35</v>
      </c>
      <c r="L349" s="29" t="s">
        <v>36</v>
      </c>
      <c r="M349" s="37" t="s">
        <v>37</v>
      </c>
    </row>
    <row r="350" spans="3:13" ht="18.600000000000001" hidden="1" thickBot="1" x14ac:dyDescent="0.4">
      <c r="C350" s="25"/>
      <c r="E350" t="str">
        <f>RIGHT(C348,2)</f>
        <v>00</v>
      </c>
      <c r="F350" t="str">
        <f>LEFT(E350,1)</f>
        <v>0</v>
      </c>
      <c r="G350" s="31">
        <f>TRUNC(C348)</f>
        <v>0</v>
      </c>
      <c r="H350" s="18" t="str">
        <f>FIXED(C348-G350,I350)</f>
        <v>0,00</v>
      </c>
      <c r="I350">
        <f>ABS(G353-H353)</f>
        <v>2</v>
      </c>
      <c r="J350" t="str">
        <f>RIGHT(C348,I350)</f>
        <v>00</v>
      </c>
      <c r="K350">
        <v>0.05</v>
      </c>
      <c r="L350" s="32">
        <f>(C348-K350)</f>
        <v>-0.05</v>
      </c>
      <c r="M350" s="41" t="str">
        <f>IF(E352=5,IF(AND(G348=0,F353=FALSE),L350,L351),L351)</f>
        <v>0,0</v>
      </c>
    </row>
    <row r="351" spans="3:13" ht="15" hidden="1" thickBot="1" x14ac:dyDescent="0.35">
      <c r="C351" s="25"/>
      <c r="E351" t="str">
        <f>RIGHT(E350,1)</f>
        <v>0</v>
      </c>
      <c r="F351">
        <f>F350+0</f>
        <v>0</v>
      </c>
      <c r="L351" t="str">
        <f>FIXED(C348,1)</f>
        <v>0,0</v>
      </c>
      <c r="M351" s="43"/>
    </row>
    <row r="352" spans="3:13" ht="15" hidden="1" thickBot="1" x14ac:dyDescent="0.35">
      <c r="C352" s="25"/>
      <c r="E352">
        <f>E351+0</f>
        <v>0</v>
      </c>
      <c r="F352" t="s">
        <v>38</v>
      </c>
      <c r="G352" t="s">
        <v>39</v>
      </c>
      <c r="H352" t="s">
        <v>40</v>
      </c>
      <c r="M352" s="35"/>
    </row>
    <row r="353" spans="3:13" ht="15" hidden="1" thickBot="1" x14ac:dyDescent="0.35">
      <c r="C353" s="25"/>
      <c r="F353" t="b">
        <f>ISODD(F350)</f>
        <v>0</v>
      </c>
      <c r="G353">
        <f>LEN(C348)</f>
        <v>4</v>
      </c>
      <c r="H353">
        <f>LEN(G350)+1</f>
        <v>2</v>
      </c>
      <c r="M353" s="35"/>
    </row>
    <row r="354" spans="3:13" ht="15" hidden="1" thickBot="1" x14ac:dyDescent="0.35">
      <c r="C354" s="25"/>
      <c r="M354" s="35"/>
    </row>
    <row r="355" spans="3:13" ht="15" hidden="1" thickBot="1" x14ac:dyDescent="0.35">
      <c r="C355" s="205" t="s">
        <v>44</v>
      </c>
      <c r="D355" s="206"/>
      <c r="E355" s="206"/>
      <c r="F355" s="206"/>
      <c r="G355" s="206"/>
      <c r="H355" s="206"/>
      <c r="I355" s="206"/>
      <c r="J355" s="206"/>
      <c r="K355" s="206"/>
      <c r="L355" s="206"/>
      <c r="M355" s="207"/>
    </row>
    <row r="356" spans="3:13" ht="15" hidden="1" thickBot="1" x14ac:dyDescent="0.35">
      <c r="C356" s="42" t="str">
        <f>M350</f>
        <v>0,0</v>
      </c>
      <c r="E356" t="str">
        <f>FIXED(C348,2)</f>
        <v>0,00</v>
      </c>
      <c r="F356" t="str">
        <f>RIGHT(E356,1)</f>
        <v>0</v>
      </c>
      <c r="G356">
        <f>F356+0</f>
        <v>0</v>
      </c>
      <c r="M356" s="35"/>
    </row>
    <row r="357" spans="3:13" ht="29.4" hidden="1" thickBot="1" x14ac:dyDescent="0.35">
      <c r="C357" s="25"/>
      <c r="E357" t="s">
        <v>29</v>
      </c>
      <c r="F357" t="s">
        <v>30</v>
      </c>
      <c r="G357" t="s">
        <v>31</v>
      </c>
      <c r="H357" t="s">
        <v>32</v>
      </c>
      <c r="I357" s="29" t="s">
        <v>33</v>
      </c>
      <c r="J357" s="29" t="s">
        <v>34</v>
      </c>
      <c r="K357" s="29" t="s">
        <v>35</v>
      </c>
      <c r="L357" s="29" t="s">
        <v>36</v>
      </c>
      <c r="M357" s="37" t="s">
        <v>37</v>
      </c>
    </row>
    <row r="358" spans="3:13" ht="18.600000000000001" hidden="1" thickBot="1" x14ac:dyDescent="0.4">
      <c r="C358" s="25"/>
      <c r="E358" t="str">
        <f>RIGHT(C356,2)</f>
        <v>,0</v>
      </c>
      <c r="F358" t="str">
        <f>RIGHT(G358,1)</f>
        <v>0</v>
      </c>
      <c r="G358" s="31">
        <f>TRUNC(C356)</f>
        <v>0</v>
      </c>
      <c r="H358" s="18" t="str">
        <f>FIXED(C356-G358,I358)</f>
        <v>0,0</v>
      </c>
      <c r="I358">
        <f>ABS(G361-H361)</f>
        <v>1</v>
      </c>
      <c r="J358" t="str">
        <f>RIGHT(C356,I358)</f>
        <v>0</v>
      </c>
      <c r="K358">
        <v>0.5</v>
      </c>
      <c r="L358" s="16">
        <f>(C356-K358)</f>
        <v>-0.5</v>
      </c>
      <c r="M358" s="44" t="str">
        <f>IF(E360=5,IF(AND(G356=0,F361=FALSE),L358,L359),L359)</f>
        <v>0</v>
      </c>
    </row>
    <row r="359" spans="3:13" ht="15" hidden="1" thickBot="1" x14ac:dyDescent="0.35">
      <c r="C359" s="25"/>
      <c r="E359" t="str">
        <f>RIGHT(E358,1)</f>
        <v>0</v>
      </c>
      <c r="F359">
        <f>F358+0</f>
        <v>0</v>
      </c>
      <c r="L359" t="str">
        <f>FIXED(C356,0)</f>
        <v>0</v>
      </c>
      <c r="M359" s="45"/>
    </row>
    <row r="360" spans="3:13" ht="15" hidden="1" thickBot="1" x14ac:dyDescent="0.35">
      <c r="C360" s="25"/>
      <c r="E360">
        <f>E359+0</f>
        <v>0</v>
      </c>
      <c r="F360" t="s">
        <v>38</v>
      </c>
      <c r="G360" t="s">
        <v>39</v>
      </c>
      <c r="H360" t="s">
        <v>40</v>
      </c>
      <c r="M360" s="35"/>
    </row>
    <row r="361" spans="3:13" ht="15" hidden="1" thickBot="1" x14ac:dyDescent="0.35">
      <c r="C361" s="33"/>
      <c r="D361" s="33"/>
      <c r="E361" s="33"/>
      <c r="F361" s="33" t="b">
        <f>ISODD(F358)</f>
        <v>0</v>
      </c>
      <c r="G361" s="33">
        <f>LEN(C356)</f>
        <v>3</v>
      </c>
      <c r="H361" s="33">
        <f>LEN(G358)+1</f>
        <v>2</v>
      </c>
      <c r="I361" s="33"/>
      <c r="J361" s="33"/>
      <c r="K361" s="33"/>
      <c r="L361" s="33"/>
      <c r="M361" s="46"/>
    </row>
    <row r="362" spans="3:13" ht="15" thickBot="1" x14ac:dyDescent="0.35">
      <c r="C362" s="208" t="s">
        <v>53</v>
      </c>
      <c r="D362" s="209"/>
      <c r="E362" s="209"/>
      <c r="F362" s="209"/>
      <c r="G362" s="209"/>
      <c r="H362" s="209"/>
      <c r="I362" s="209"/>
      <c r="J362" s="209"/>
      <c r="K362" s="209"/>
      <c r="L362" s="209"/>
      <c r="M362" s="210"/>
    </row>
    <row r="363" spans="3:13" ht="15" thickBot="1" x14ac:dyDescent="0.35">
      <c r="C363" s="25" t="s">
        <v>26</v>
      </c>
      <c r="D363" s="19" t="s">
        <v>27</v>
      </c>
      <c r="E363" t="str">
        <f>FIXED(C364,6)</f>
        <v>0,172235</v>
      </c>
      <c r="F363" t="str">
        <f>RIGHT(E363,1)</f>
        <v>5</v>
      </c>
      <c r="G363">
        <f>F363/1000000</f>
        <v>5.0000000000000004E-6</v>
      </c>
      <c r="H363" s="34">
        <f>C364-G363</f>
        <v>0.17222969040820971</v>
      </c>
      <c r="J363" t="str">
        <f>IF(E368=5,IF(AND(F364=0,F369=FALSE),L366,L367),L367)</f>
        <v>0,1722</v>
      </c>
      <c r="M363" s="35"/>
    </row>
    <row r="364" spans="3:13" ht="18.600000000000001" thickBot="1" x14ac:dyDescent="0.4">
      <c r="C364" s="26">
        <v>0.17223469040820971</v>
      </c>
      <c r="D364" s="36" t="str">
        <f>IF(C364&gt;=10,M398,IF(C364&gt;=1,M390,IF(C364&gt;=0.1,M382,IF(C364&gt;=0.01,M374,IF(C364&gt;=0.001,M366)))))</f>
        <v>0,17</v>
      </c>
      <c r="E364" t="s">
        <v>28</v>
      </c>
      <c r="F364">
        <f>F363+0</f>
        <v>5</v>
      </c>
      <c r="M364" s="35"/>
    </row>
    <row r="365" spans="3:13" ht="29.4" hidden="1" thickBot="1" x14ac:dyDescent="0.35">
      <c r="C365" s="27"/>
      <c r="D365" s="27"/>
      <c r="E365" t="s">
        <v>29</v>
      </c>
      <c r="F365" t="s">
        <v>30</v>
      </c>
      <c r="G365" t="s">
        <v>31</v>
      </c>
      <c r="H365" t="s">
        <v>32</v>
      </c>
      <c r="I365" s="29" t="s">
        <v>33</v>
      </c>
      <c r="J365" s="29" t="s">
        <v>34</v>
      </c>
      <c r="K365" s="29" t="s">
        <v>35</v>
      </c>
      <c r="L365" s="29" t="s">
        <v>36</v>
      </c>
      <c r="M365" s="37" t="s">
        <v>37</v>
      </c>
    </row>
    <row r="366" spans="3:13" ht="18.600000000000001" hidden="1" thickBot="1" x14ac:dyDescent="0.4">
      <c r="C366" s="30"/>
      <c r="E366" t="str">
        <f>RIGHT(H363,2)</f>
        <v>21</v>
      </c>
      <c r="F366" t="str">
        <f>LEFT(E366,1)</f>
        <v>2</v>
      </c>
      <c r="G366" s="34">
        <f>TRUNC(C364)</f>
        <v>0</v>
      </c>
      <c r="H366" s="18" t="str">
        <f>FIXED(C364-G366,I366)</f>
        <v>0,17223469040821</v>
      </c>
      <c r="I366">
        <f>ABS(G369-H369)</f>
        <v>14</v>
      </c>
      <c r="J366" t="str">
        <f>RIGHT(C364,I366)</f>
        <v>17223469040821</v>
      </c>
      <c r="K366">
        <v>5.0000000000000002E-5</v>
      </c>
      <c r="L366" s="18">
        <f>(C364-K366)</f>
        <v>0.17218469040820972</v>
      </c>
      <c r="M366" s="38" t="str">
        <f>IF(E368=5,IF(AND(F364=0,F369=FALSE),L366,L367),L367)</f>
        <v>0,1722</v>
      </c>
    </row>
    <row r="367" spans="3:13" ht="15" hidden="1" thickBot="1" x14ac:dyDescent="0.35">
      <c r="C367" s="25"/>
      <c r="E367" t="str">
        <f>RIGHT(E366,1)</f>
        <v>1</v>
      </c>
      <c r="F367">
        <f>F366+0</f>
        <v>2</v>
      </c>
      <c r="L367" t="str">
        <f>FIXED(C364,4)</f>
        <v>0,1722</v>
      </c>
      <c r="M367" s="35"/>
    </row>
    <row r="368" spans="3:13" ht="15" hidden="1" thickBot="1" x14ac:dyDescent="0.35">
      <c r="C368" s="25"/>
      <c r="E368">
        <f>E367+0</f>
        <v>1</v>
      </c>
      <c r="F368" t="s">
        <v>38</v>
      </c>
      <c r="G368" t="s">
        <v>39</v>
      </c>
      <c r="H368" t="s">
        <v>40</v>
      </c>
      <c r="M368" s="35"/>
    </row>
    <row r="369" spans="3:13" ht="15" hidden="1" thickBot="1" x14ac:dyDescent="0.35">
      <c r="C369" s="25"/>
      <c r="F369" t="b">
        <f>ISODD(F366)</f>
        <v>0</v>
      </c>
      <c r="G369">
        <f>LEN(C364)</f>
        <v>16</v>
      </c>
      <c r="H369">
        <f>LEN(G366)+1</f>
        <v>2</v>
      </c>
      <c r="M369" s="35"/>
    </row>
    <row r="370" spans="3:13" ht="15" hidden="1" thickBot="1" x14ac:dyDescent="0.35">
      <c r="C370" s="25"/>
      <c r="M370" s="35"/>
    </row>
    <row r="371" spans="3:13" ht="15" hidden="1" thickBot="1" x14ac:dyDescent="0.35">
      <c r="C371" s="205" t="s">
        <v>41</v>
      </c>
      <c r="D371" s="206"/>
      <c r="E371" s="206"/>
      <c r="F371" s="206"/>
      <c r="G371" s="206"/>
      <c r="H371" s="206"/>
      <c r="I371" s="206"/>
      <c r="J371" s="206"/>
      <c r="K371" s="206"/>
      <c r="L371" s="206"/>
      <c r="M371" s="207"/>
    </row>
    <row r="372" spans="3:13" ht="15" hidden="1" thickBot="1" x14ac:dyDescent="0.35">
      <c r="C372" s="39" t="str">
        <f>M366</f>
        <v>0,1722</v>
      </c>
      <c r="E372" t="str">
        <f>FIXED(C364,5)</f>
        <v>0,17223</v>
      </c>
      <c r="F372" t="str">
        <f>RIGHT(E372,1)</f>
        <v>3</v>
      </c>
      <c r="G372">
        <f>F372+0</f>
        <v>3</v>
      </c>
      <c r="M372" s="35"/>
    </row>
    <row r="373" spans="3:13" ht="29.4" hidden="1" thickBot="1" x14ac:dyDescent="0.35">
      <c r="C373" s="25"/>
      <c r="E373" t="s">
        <v>29</v>
      </c>
      <c r="F373" t="s">
        <v>30</v>
      </c>
      <c r="G373" t="s">
        <v>31</v>
      </c>
      <c r="H373" t="s">
        <v>32</v>
      </c>
      <c r="I373" s="29" t="s">
        <v>33</v>
      </c>
      <c r="J373" s="29" t="s">
        <v>34</v>
      </c>
      <c r="K373" s="29" t="s">
        <v>35</v>
      </c>
      <c r="L373" s="29" t="s">
        <v>36</v>
      </c>
      <c r="M373" s="37" t="s">
        <v>37</v>
      </c>
    </row>
    <row r="374" spans="3:13" ht="18.600000000000001" hidden="1" thickBot="1" x14ac:dyDescent="0.4">
      <c r="C374" s="25"/>
      <c r="E374" t="str">
        <f>RIGHT(C372,2)</f>
        <v>22</v>
      </c>
      <c r="F374" t="str">
        <f>LEFT(E374,1)</f>
        <v>2</v>
      </c>
      <c r="G374" s="31">
        <f>TRUNC(C372)</f>
        <v>0</v>
      </c>
      <c r="H374" s="18" t="str">
        <f>FIXED(C372-G374,I374)</f>
        <v>0,1722</v>
      </c>
      <c r="I374">
        <f>ABS(G377-H377)</f>
        <v>4</v>
      </c>
      <c r="J374" t="str">
        <f>RIGHT(C372,I374)</f>
        <v>1722</v>
      </c>
      <c r="K374">
        <v>5.0000000000000001E-4</v>
      </c>
      <c r="L374" s="20">
        <f>(C372-K374)</f>
        <v>0.17169999999999999</v>
      </c>
      <c r="M374" s="40" t="str">
        <f>IF(E376=5,IF(AND(G372=0,F377=FALSE),L374,L375),L375)</f>
        <v>0,172</v>
      </c>
    </row>
    <row r="375" spans="3:13" ht="15" hidden="1" thickBot="1" x14ac:dyDescent="0.35">
      <c r="C375" s="25"/>
      <c r="E375" t="str">
        <f>RIGHT(E374,1)</f>
        <v>2</v>
      </c>
      <c r="F375">
        <f>F374+0</f>
        <v>2</v>
      </c>
      <c r="L375" t="str">
        <f>FIXED(C372,3)</f>
        <v>0,172</v>
      </c>
      <c r="M375" s="35"/>
    </row>
    <row r="376" spans="3:13" ht="15" hidden="1" thickBot="1" x14ac:dyDescent="0.35">
      <c r="C376" s="25"/>
      <c r="E376">
        <f>E375+0</f>
        <v>2</v>
      </c>
      <c r="F376" t="s">
        <v>38</v>
      </c>
      <c r="G376" t="s">
        <v>39</v>
      </c>
      <c r="H376" t="s">
        <v>40</v>
      </c>
      <c r="M376" s="35"/>
    </row>
    <row r="377" spans="3:13" ht="15" hidden="1" thickBot="1" x14ac:dyDescent="0.35">
      <c r="C377" s="25"/>
      <c r="F377" t="b">
        <f>ISODD(F374)</f>
        <v>0</v>
      </c>
      <c r="G377">
        <f>LEN(C372)</f>
        <v>6</v>
      </c>
      <c r="H377">
        <f>LEN(G374)+1</f>
        <v>2</v>
      </c>
      <c r="M377" s="35"/>
    </row>
    <row r="378" spans="3:13" ht="15" hidden="1" thickBot="1" x14ac:dyDescent="0.35">
      <c r="C378" s="25"/>
      <c r="M378" s="35"/>
    </row>
    <row r="379" spans="3:13" ht="15" hidden="1" thickBot="1" x14ac:dyDescent="0.35">
      <c r="C379" s="205" t="s">
        <v>42</v>
      </c>
      <c r="D379" s="206"/>
      <c r="E379" s="206"/>
      <c r="F379" s="206"/>
      <c r="G379" s="206"/>
      <c r="H379" s="206"/>
      <c r="I379" s="206"/>
      <c r="J379" s="206"/>
      <c r="K379" s="206"/>
      <c r="L379" s="206"/>
      <c r="M379" s="207"/>
    </row>
    <row r="380" spans="3:13" ht="15" hidden="1" thickBot="1" x14ac:dyDescent="0.35">
      <c r="C380" s="39" t="str">
        <f>M374</f>
        <v>0,172</v>
      </c>
      <c r="E380" t="str">
        <f>FIXED(C372,4)</f>
        <v>0,1722</v>
      </c>
      <c r="F380" t="str">
        <f>RIGHT(E380,1)</f>
        <v>2</v>
      </c>
      <c r="G380">
        <f>F380+0</f>
        <v>2</v>
      </c>
      <c r="M380" s="35"/>
    </row>
    <row r="381" spans="3:13" ht="29.4" hidden="1" thickBot="1" x14ac:dyDescent="0.35">
      <c r="C381" s="25"/>
      <c r="E381" t="s">
        <v>29</v>
      </c>
      <c r="F381" t="s">
        <v>30</v>
      </c>
      <c r="G381" t="s">
        <v>31</v>
      </c>
      <c r="H381" t="s">
        <v>32</v>
      </c>
      <c r="I381" s="29" t="s">
        <v>33</v>
      </c>
      <c r="J381" s="29" t="s">
        <v>34</v>
      </c>
      <c r="K381" s="29" t="s">
        <v>35</v>
      </c>
      <c r="L381" s="29" t="s">
        <v>36</v>
      </c>
      <c r="M381" s="37" t="s">
        <v>37</v>
      </c>
    </row>
    <row r="382" spans="3:13" ht="18.600000000000001" hidden="1" thickBot="1" x14ac:dyDescent="0.4">
      <c r="C382" s="25"/>
      <c r="E382" t="str">
        <f>RIGHT(C380,2)</f>
        <v>72</v>
      </c>
      <c r="F382" t="str">
        <f>LEFT(E382,1)</f>
        <v>7</v>
      </c>
      <c r="G382" s="31">
        <f>TRUNC(C380)</f>
        <v>0</v>
      </c>
      <c r="H382" s="18" t="str">
        <f>FIXED(C380-G382,I382)</f>
        <v>0,172</v>
      </c>
      <c r="I382">
        <f>ABS(G385-H385)</f>
        <v>3</v>
      </c>
      <c r="J382" t="str">
        <f>RIGHT(C380,I382)</f>
        <v>172</v>
      </c>
      <c r="K382">
        <v>5.0000000000000001E-3</v>
      </c>
      <c r="L382" s="32">
        <f>(C380-K382)</f>
        <v>0.16699999999999998</v>
      </c>
      <c r="M382" s="41" t="str">
        <f>IF(E384=5,IF(AND(G380=0,F385=FALSE),L382,L383),L383)</f>
        <v>0,17</v>
      </c>
    </row>
    <row r="383" spans="3:13" ht="18.600000000000001" hidden="1" thickBot="1" x14ac:dyDescent="0.4">
      <c r="C383" s="25"/>
      <c r="E383" t="str">
        <f>RIGHT(E382,1)</f>
        <v>2</v>
      </c>
      <c r="F383">
        <f>F382+0</f>
        <v>7</v>
      </c>
      <c r="L383" t="str">
        <f>FIXED(C380,2)</f>
        <v>0,17</v>
      </c>
      <c r="M383" s="41"/>
    </row>
    <row r="384" spans="3:13" ht="15" hidden="1" thickBot="1" x14ac:dyDescent="0.35">
      <c r="C384" s="25"/>
      <c r="E384">
        <f>E383+0</f>
        <v>2</v>
      </c>
      <c r="F384" t="s">
        <v>38</v>
      </c>
      <c r="G384" t="s">
        <v>39</v>
      </c>
      <c r="H384" t="s">
        <v>40</v>
      </c>
      <c r="M384" s="35"/>
    </row>
    <row r="385" spans="3:13" ht="15" hidden="1" thickBot="1" x14ac:dyDescent="0.35">
      <c r="C385" s="25"/>
      <c r="F385" t="b">
        <f>ISODD(F382)</f>
        <v>1</v>
      </c>
      <c r="G385">
        <f>LEN(C380)</f>
        <v>5</v>
      </c>
      <c r="H385">
        <f>LEN(G382)+1</f>
        <v>2</v>
      </c>
      <c r="M385" s="35"/>
    </row>
    <row r="386" spans="3:13" ht="15" hidden="1" thickBot="1" x14ac:dyDescent="0.35">
      <c r="C386" s="25"/>
      <c r="M386" s="35"/>
    </row>
    <row r="387" spans="3:13" ht="15" hidden="1" thickBot="1" x14ac:dyDescent="0.35">
      <c r="C387" s="205" t="s">
        <v>43</v>
      </c>
      <c r="D387" s="206"/>
      <c r="E387" s="206"/>
      <c r="F387" s="206"/>
      <c r="G387" s="206"/>
      <c r="H387" s="206"/>
      <c r="I387" s="206"/>
      <c r="J387" s="206"/>
      <c r="K387" s="206"/>
      <c r="L387" s="206"/>
      <c r="M387" s="207"/>
    </row>
    <row r="388" spans="3:13" ht="15" hidden="1" thickBot="1" x14ac:dyDescent="0.35">
      <c r="C388" s="42" t="str">
        <f>M382</f>
        <v>0,17</v>
      </c>
      <c r="E388" t="str">
        <f>FIXED(C380,3)</f>
        <v>0,172</v>
      </c>
      <c r="F388" t="str">
        <f>RIGHT(E388,1)</f>
        <v>2</v>
      </c>
      <c r="G388">
        <f>F388+0</f>
        <v>2</v>
      </c>
      <c r="M388" s="35"/>
    </row>
    <row r="389" spans="3:13" ht="29.4" hidden="1" thickBot="1" x14ac:dyDescent="0.35">
      <c r="C389" s="25"/>
      <c r="E389" t="s">
        <v>29</v>
      </c>
      <c r="F389" t="s">
        <v>30</v>
      </c>
      <c r="G389" t="s">
        <v>31</v>
      </c>
      <c r="H389" t="s">
        <v>32</v>
      </c>
      <c r="I389" s="29" t="s">
        <v>33</v>
      </c>
      <c r="J389" s="29" t="s">
        <v>34</v>
      </c>
      <c r="K389" s="29" t="s">
        <v>35</v>
      </c>
      <c r="L389" s="29" t="s">
        <v>36</v>
      </c>
      <c r="M389" s="37" t="s">
        <v>37</v>
      </c>
    </row>
    <row r="390" spans="3:13" ht="18.600000000000001" hidden="1" thickBot="1" x14ac:dyDescent="0.4">
      <c r="C390" s="25"/>
      <c r="E390" t="str">
        <f>RIGHT(C388,2)</f>
        <v>17</v>
      </c>
      <c r="F390" t="str">
        <f>LEFT(E390,1)</f>
        <v>1</v>
      </c>
      <c r="G390" s="31">
        <f>TRUNC(C388)</f>
        <v>0</v>
      </c>
      <c r="H390" s="18" t="str">
        <f>FIXED(C388-G390,I390)</f>
        <v>0,17</v>
      </c>
      <c r="I390">
        <f>ABS(G393-H393)</f>
        <v>2</v>
      </c>
      <c r="J390" t="str">
        <f>RIGHT(C388,I390)</f>
        <v>17</v>
      </c>
      <c r="K390">
        <v>0.05</v>
      </c>
      <c r="L390" s="32">
        <f>(C388-K390)</f>
        <v>0.12000000000000001</v>
      </c>
      <c r="M390" s="41" t="str">
        <f>IF(E392=5,IF(AND(G388=0,F393=FALSE),L390,L391),L391)</f>
        <v>0,2</v>
      </c>
    </row>
    <row r="391" spans="3:13" ht="15" hidden="1" thickBot="1" x14ac:dyDescent="0.35">
      <c r="C391" s="25"/>
      <c r="E391" t="str">
        <f>RIGHT(E390,1)</f>
        <v>7</v>
      </c>
      <c r="F391">
        <f>F390+0</f>
        <v>1</v>
      </c>
      <c r="L391" t="str">
        <f>FIXED(C388,1)</f>
        <v>0,2</v>
      </c>
      <c r="M391" s="43"/>
    </row>
    <row r="392" spans="3:13" ht="15" hidden="1" thickBot="1" x14ac:dyDescent="0.35">
      <c r="C392" s="25"/>
      <c r="E392">
        <f>E391+0</f>
        <v>7</v>
      </c>
      <c r="F392" t="s">
        <v>38</v>
      </c>
      <c r="G392" t="s">
        <v>39</v>
      </c>
      <c r="H392" t="s">
        <v>40</v>
      </c>
      <c r="M392" s="35"/>
    </row>
    <row r="393" spans="3:13" ht="15" hidden="1" thickBot="1" x14ac:dyDescent="0.35">
      <c r="C393" s="25"/>
      <c r="F393" t="b">
        <f>ISODD(F390)</f>
        <v>1</v>
      </c>
      <c r="G393">
        <f>LEN(C388)</f>
        <v>4</v>
      </c>
      <c r="H393">
        <f>LEN(G390)+1</f>
        <v>2</v>
      </c>
      <c r="M393" s="35"/>
    </row>
    <row r="394" spans="3:13" ht="15" hidden="1" thickBot="1" x14ac:dyDescent="0.35">
      <c r="C394" s="25"/>
      <c r="M394" s="35"/>
    </row>
    <row r="395" spans="3:13" ht="15" hidden="1" thickBot="1" x14ac:dyDescent="0.35">
      <c r="C395" s="205" t="s">
        <v>44</v>
      </c>
      <c r="D395" s="206"/>
      <c r="E395" s="206"/>
      <c r="F395" s="206"/>
      <c r="G395" s="206"/>
      <c r="H395" s="206"/>
      <c r="I395" s="206"/>
      <c r="J395" s="206"/>
      <c r="K395" s="206"/>
      <c r="L395" s="206"/>
      <c r="M395" s="207"/>
    </row>
    <row r="396" spans="3:13" ht="15" hidden="1" thickBot="1" x14ac:dyDescent="0.35">
      <c r="C396" s="42" t="str">
        <f>M390</f>
        <v>0,2</v>
      </c>
      <c r="E396" t="str">
        <f>FIXED(C388,2)</f>
        <v>0,17</v>
      </c>
      <c r="F396" t="str">
        <f>RIGHT(E396,1)</f>
        <v>7</v>
      </c>
      <c r="G396">
        <f>F396+0</f>
        <v>7</v>
      </c>
      <c r="M396" s="35"/>
    </row>
    <row r="397" spans="3:13" ht="29.4" hidden="1" thickBot="1" x14ac:dyDescent="0.35">
      <c r="C397" s="25"/>
      <c r="E397" t="s">
        <v>29</v>
      </c>
      <c r="F397" t="s">
        <v>30</v>
      </c>
      <c r="G397" t="s">
        <v>31</v>
      </c>
      <c r="H397" t="s">
        <v>32</v>
      </c>
      <c r="I397" s="29" t="s">
        <v>33</v>
      </c>
      <c r="J397" s="29" t="s">
        <v>34</v>
      </c>
      <c r="K397" s="29" t="s">
        <v>35</v>
      </c>
      <c r="L397" s="29" t="s">
        <v>36</v>
      </c>
      <c r="M397" s="37" t="s">
        <v>37</v>
      </c>
    </row>
    <row r="398" spans="3:13" ht="18.600000000000001" hidden="1" thickBot="1" x14ac:dyDescent="0.4">
      <c r="C398" s="25"/>
      <c r="E398" t="str">
        <f>RIGHT(C396,2)</f>
        <v>,2</v>
      </c>
      <c r="F398" t="str">
        <f>RIGHT(G398,1)</f>
        <v>0</v>
      </c>
      <c r="G398" s="31">
        <f>TRUNC(C396)</f>
        <v>0</v>
      </c>
      <c r="H398" s="18" t="str">
        <f>FIXED(C396-G398,I398)</f>
        <v>0,2</v>
      </c>
      <c r="I398">
        <f>ABS(G401-H401)</f>
        <v>1</v>
      </c>
      <c r="J398" t="str">
        <f>RIGHT(C396,I398)</f>
        <v>2</v>
      </c>
      <c r="K398">
        <v>0.5</v>
      </c>
      <c r="L398" s="16">
        <f>(C396-K398)</f>
        <v>-0.3</v>
      </c>
      <c r="M398" s="44" t="str">
        <f>IF(E400=5,IF(AND(G396=0,F401=FALSE),L398,L399),L399)</f>
        <v>0</v>
      </c>
    </row>
    <row r="399" spans="3:13" ht="15" hidden="1" thickBot="1" x14ac:dyDescent="0.35">
      <c r="C399" s="25"/>
      <c r="E399" t="str">
        <f>RIGHT(E398,1)</f>
        <v>2</v>
      </c>
      <c r="F399">
        <f>F398+0</f>
        <v>0</v>
      </c>
      <c r="L399" t="str">
        <f>FIXED(C396,0)</f>
        <v>0</v>
      </c>
      <c r="M399" s="45"/>
    </row>
    <row r="400" spans="3:13" ht="15" hidden="1" thickBot="1" x14ac:dyDescent="0.35">
      <c r="C400" s="25"/>
      <c r="E400">
        <f>E399+0</f>
        <v>2</v>
      </c>
      <c r="F400" t="s">
        <v>38</v>
      </c>
      <c r="G400" t="s">
        <v>39</v>
      </c>
      <c r="H400" t="s">
        <v>40</v>
      </c>
      <c r="M400" s="35"/>
    </row>
    <row r="401" spans="3:13" ht="15" hidden="1" thickBot="1" x14ac:dyDescent="0.35">
      <c r="C401" s="33"/>
      <c r="D401" s="33"/>
      <c r="E401" s="33"/>
      <c r="F401" s="33" t="b">
        <f>ISODD(F398)</f>
        <v>0</v>
      </c>
      <c r="G401" s="33">
        <f>LEN(C396)</f>
        <v>3</v>
      </c>
      <c r="H401" s="33">
        <f>LEN(G398)+1</f>
        <v>2</v>
      </c>
      <c r="I401" s="33"/>
      <c r="J401" s="33"/>
      <c r="K401" s="33"/>
      <c r="L401" s="33"/>
      <c r="M401" s="46"/>
    </row>
    <row r="402" spans="3:13" ht="15" thickBot="1" x14ac:dyDescent="0.35">
      <c r="C402" s="208" t="s">
        <v>54</v>
      </c>
      <c r="D402" s="209"/>
      <c r="E402" s="209"/>
      <c r="F402" s="209"/>
      <c r="G402" s="209"/>
      <c r="H402" s="209"/>
      <c r="I402" s="209"/>
      <c r="J402" s="209"/>
      <c r="K402" s="209"/>
      <c r="L402" s="209"/>
      <c r="M402" s="210"/>
    </row>
    <row r="403" spans="3:13" ht="15" thickBot="1" x14ac:dyDescent="0.35">
      <c r="C403" s="25" t="s">
        <v>26</v>
      </c>
      <c r="D403" s="19" t="s">
        <v>27</v>
      </c>
      <c r="E403" t="str">
        <f>FIXED(C404,6)</f>
        <v>0,187340</v>
      </c>
      <c r="F403" t="str">
        <f>RIGHT(E403,1)</f>
        <v>0</v>
      </c>
      <c r="G403">
        <f>F403/1000000</f>
        <v>0</v>
      </c>
      <c r="H403" s="34">
        <f>C404-G403</f>
        <v>0.18733974233099954</v>
      </c>
      <c r="J403" t="str">
        <f>IF(E408=5,IF(AND(F404=0,F409=FALSE),L406,L407),L407)</f>
        <v>0,1873</v>
      </c>
      <c r="M403" s="35"/>
    </row>
    <row r="404" spans="3:13" ht="18.600000000000001" thickBot="1" x14ac:dyDescent="0.4">
      <c r="C404" s="26">
        <v>0.18733974233099954</v>
      </c>
      <c r="D404" s="36" t="str">
        <f>IF(C404&gt;=10,M438,IF(C404&gt;=1,M430,IF(C404&gt;=0.1,M422,IF(C404&gt;=0.01,M414,IF(C404&gt;=0.001,M406)))))</f>
        <v>0,19</v>
      </c>
      <c r="E404" t="s">
        <v>28</v>
      </c>
      <c r="F404">
        <f>F403+0</f>
        <v>0</v>
      </c>
      <c r="M404" s="35"/>
    </row>
    <row r="405" spans="3:13" ht="29.4" hidden="1" thickBot="1" x14ac:dyDescent="0.35">
      <c r="C405" s="27"/>
      <c r="D405" s="27"/>
      <c r="E405" t="s">
        <v>29</v>
      </c>
      <c r="F405" t="s">
        <v>30</v>
      </c>
      <c r="G405" t="s">
        <v>31</v>
      </c>
      <c r="H405" t="s">
        <v>32</v>
      </c>
      <c r="I405" s="29" t="s">
        <v>33</v>
      </c>
      <c r="J405" s="29" t="s">
        <v>34</v>
      </c>
      <c r="K405" s="29" t="s">
        <v>35</v>
      </c>
      <c r="L405" s="29" t="s">
        <v>36</v>
      </c>
      <c r="M405" s="37" t="s">
        <v>37</v>
      </c>
    </row>
    <row r="406" spans="3:13" ht="18.600000000000001" hidden="1" thickBot="1" x14ac:dyDescent="0.4">
      <c r="C406" s="30"/>
      <c r="E406" t="str">
        <f>RIGHT(H403,2)</f>
        <v>31</v>
      </c>
      <c r="F406" t="str">
        <f>LEFT(E406,1)</f>
        <v>3</v>
      </c>
      <c r="G406" s="34">
        <f>TRUNC(C404)</f>
        <v>0</v>
      </c>
      <c r="H406" s="18" t="str">
        <f>FIXED(C404-G406,I406)</f>
        <v>0,187339742331</v>
      </c>
      <c r="I406">
        <f>ABS(G409-H409)</f>
        <v>12</v>
      </c>
      <c r="J406" t="str">
        <f>RIGHT(C404,I406)</f>
        <v>187339742331</v>
      </c>
      <c r="K406">
        <v>5.0000000000000002E-5</v>
      </c>
      <c r="L406" s="18">
        <f>(C404-K406)</f>
        <v>0.18728974233099954</v>
      </c>
      <c r="M406" s="38" t="str">
        <f>IF(E408=5,IF(AND(F404=0,F409=FALSE),L406,L407),L407)</f>
        <v>0,1873</v>
      </c>
    </row>
    <row r="407" spans="3:13" ht="15" hidden="1" thickBot="1" x14ac:dyDescent="0.35">
      <c r="C407" s="25"/>
      <c r="E407" t="str">
        <f>RIGHT(E406,1)</f>
        <v>1</v>
      </c>
      <c r="F407">
        <f>F406+0</f>
        <v>3</v>
      </c>
      <c r="L407" t="str">
        <f>FIXED(C404,4)</f>
        <v>0,1873</v>
      </c>
      <c r="M407" s="35"/>
    </row>
    <row r="408" spans="3:13" ht="15" hidden="1" thickBot="1" x14ac:dyDescent="0.35">
      <c r="C408" s="25"/>
      <c r="E408">
        <f>E407+0</f>
        <v>1</v>
      </c>
      <c r="F408" t="s">
        <v>38</v>
      </c>
      <c r="G408" t="s">
        <v>39</v>
      </c>
      <c r="H408" t="s">
        <v>40</v>
      </c>
      <c r="M408" s="35"/>
    </row>
    <row r="409" spans="3:13" ht="15" hidden="1" thickBot="1" x14ac:dyDescent="0.35">
      <c r="C409" s="25"/>
      <c r="F409" t="b">
        <f>ISODD(F406)</f>
        <v>1</v>
      </c>
      <c r="G409">
        <f>LEN(C404)</f>
        <v>14</v>
      </c>
      <c r="H409">
        <f>LEN(G406)+1</f>
        <v>2</v>
      </c>
      <c r="M409" s="35"/>
    </row>
    <row r="410" spans="3:13" ht="15" hidden="1" thickBot="1" x14ac:dyDescent="0.35">
      <c r="C410" s="25"/>
      <c r="M410" s="35"/>
    </row>
    <row r="411" spans="3:13" ht="15" hidden="1" thickBot="1" x14ac:dyDescent="0.35">
      <c r="C411" s="205" t="s">
        <v>41</v>
      </c>
      <c r="D411" s="206"/>
      <c r="E411" s="206"/>
      <c r="F411" s="206"/>
      <c r="G411" s="206"/>
      <c r="H411" s="206"/>
      <c r="I411" s="206"/>
      <c r="J411" s="206"/>
      <c r="K411" s="206"/>
      <c r="L411" s="206"/>
      <c r="M411" s="207"/>
    </row>
    <row r="412" spans="3:13" ht="15" hidden="1" thickBot="1" x14ac:dyDescent="0.35">
      <c r="C412" s="39" t="str">
        <f>M406</f>
        <v>0,1873</v>
      </c>
      <c r="E412" t="str">
        <f>FIXED(C404,5)</f>
        <v>0,18734</v>
      </c>
      <c r="F412" t="str">
        <f>RIGHT(E412,1)</f>
        <v>4</v>
      </c>
      <c r="G412">
        <f>F412+0</f>
        <v>4</v>
      </c>
      <c r="M412" s="35"/>
    </row>
    <row r="413" spans="3:13" ht="29.4" hidden="1" thickBot="1" x14ac:dyDescent="0.35">
      <c r="C413" s="25"/>
      <c r="E413" t="s">
        <v>29</v>
      </c>
      <c r="F413" t="s">
        <v>30</v>
      </c>
      <c r="G413" t="s">
        <v>31</v>
      </c>
      <c r="H413" t="s">
        <v>32</v>
      </c>
      <c r="I413" s="29" t="s">
        <v>33</v>
      </c>
      <c r="J413" s="29" t="s">
        <v>34</v>
      </c>
      <c r="K413" s="29" t="s">
        <v>35</v>
      </c>
      <c r="L413" s="29" t="s">
        <v>36</v>
      </c>
      <c r="M413" s="37" t="s">
        <v>37</v>
      </c>
    </row>
    <row r="414" spans="3:13" ht="18.600000000000001" hidden="1" thickBot="1" x14ac:dyDescent="0.4">
      <c r="C414" s="25"/>
      <c r="E414" t="str">
        <f>RIGHT(C412,2)</f>
        <v>73</v>
      </c>
      <c r="F414" t="str">
        <f>LEFT(E414,1)</f>
        <v>7</v>
      </c>
      <c r="G414" s="31">
        <f>TRUNC(C412)</f>
        <v>0</v>
      </c>
      <c r="H414" s="18" t="str">
        <f>FIXED(C412-G414,I414)</f>
        <v>0,1873</v>
      </c>
      <c r="I414">
        <f>ABS(G417-H417)</f>
        <v>4</v>
      </c>
      <c r="J414" t="str">
        <f>RIGHT(C412,I414)</f>
        <v>1873</v>
      </c>
      <c r="K414">
        <v>5.0000000000000001E-4</v>
      </c>
      <c r="L414" s="20">
        <f>(C412-K414)</f>
        <v>0.18679999999999999</v>
      </c>
      <c r="M414" s="40" t="str">
        <f>IF(E416=5,IF(AND(G412=0,F417=FALSE),L414,L415),L415)</f>
        <v>0,187</v>
      </c>
    </row>
    <row r="415" spans="3:13" ht="15" hidden="1" thickBot="1" x14ac:dyDescent="0.35">
      <c r="C415" s="25"/>
      <c r="E415" t="str">
        <f>RIGHT(E414,1)</f>
        <v>3</v>
      </c>
      <c r="F415">
        <f>F414+0</f>
        <v>7</v>
      </c>
      <c r="L415" t="str">
        <f>FIXED(C412,3)</f>
        <v>0,187</v>
      </c>
      <c r="M415" s="35"/>
    </row>
    <row r="416" spans="3:13" ht="15" hidden="1" thickBot="1" x14ac:dyDescent="0.35">
      <c r="C416" s="25"/>
      <c r="E416">
        <f>E415+0</f>
        <v>3</v>
      </c>
      <c r="F416" t="s">
        <v>38</v>
      </c>
      <c r="G416" t="s">
        <v>39</v>
      </c>
      <c r="H416" t="s">
        <v>40</v>
      </c>
      <c r="M416" s="35"/>
    </row>
    <row r="417" spans="3:13" ht="15" hidden="1" thickBot="1" x14ac:dyDescent="0.35">
      <c r="C417" s="25"/>
      <c r="F417" t="b">
        <f>ISODD(F414)</f>
        <v>1</v>
      </c>
      <c r="G417">
        <f>LEN(C412)</f>
        <v>6</v>
      </c>
      <c r="H417">
        <f>LEN(G414)+1</f>
        <v>2</v>
      </c>
      <c r="M417" s="35"/>
    </row>
    <row r="418" spans="3:13" ht="15" hidden="1" thickBot="1" x14ac:dyDescent="0.35">
      <c r="C418" s="25"/>
      <c r="M418" s="35"/>
    </row>
    <row r="419" spans="3:13" ht="15" hidden="1" thickBot="1" x14ac:dyDescent="0.35">
      <c r="C419" s="205" t="s">
        <v>42</v>
      </c>
      <c r="D419" s="206"/>
      <c r="E419" s="206"/>
      <c r="F419" s="206"/>
      <c r="G419" s="206"/>
      <c r="H419" s="206"/>
      <c r="I419" s="206"/>
      <c r="J419" s="206"/>
      <c r="K419" s="206"/>
      <c r="L419" s="206"/>
      <c r="M419" s="207"/>
    </row>
    <row r="420" spans="3:13" ht="15" hidden="1" thickBot="1" x14ac:dyDescent="0.35">
      <c r="C420" s="39" t="str">
        <f>M414</f>
        <v>0,187</v>
      </c>
      <c r="E420" t="str">
        <f>FIXED(C412,4)</f>
        <v>0,1873</v>
      </c>
      <c r="F420" t="str">
        <f>RIGHT(E420,1)</f>
        <v>3</v>
      </c>
      <c r="G420">
        <f>F420+0</f>
        <v>3</v>
      </c>
      <c r="M420" s="35"/>
    </row>
    <row r="421" spans="3:13" ht="29.4" hidden="1" thickBot="1" x14ac:dyDescent="0.35">
      <c r="C421" s="25"/>
      <c r="E421" t="s">
        <v>29</v>
      </c>
      <c r="F421" t="s">
        <v>30</v>
      </c>
      <c r="G421" t="s">
        <v>31</v>
      </c>
      <c r="H421" t="s">
        <v>32</v>
      </c>
      <c r="I421" s="29" t="s">
        <v>33</v>
      </c>
      <c r="J421" s="29" t="s">
        <v>34</v>
      </c>
      <c r="K421" s="29" t="s">
        <v>35</v>
      </c>
      <c r="L421" s="29" t="s">
        <v>36</v>
      </c>
      <c r="M421" s="37" t="s">
        <v>37</v>
      </c>
    </row>
    <row r="422" spans="3:13" ht="18.600000000000001" hidden="1" thickBot="1" x14ac:dyDescent="0.4">
      <c r="C422" s="25"/>
      <c r="E422" t="str">
        <f>RIGHT(C420,2)</f>
        <v>87</v>
      </c>
      <c r="F422" t="str">
        <f>LEFT(E422,1)</f>
        <v>8</v>
      </c>
      <c r="G422" s="31">
        <f>TRUNC(C420)</f>
        <v>0</v>
      </c>
      <c r="H422" s="18" t="str">
        <f>FIXED(C420-G422,I422)</f>
        <v>0,187</v>
      </c>
      <c r="I422">
        <f>ABS(G425-H425)</f>
        <v>3</v>
      </c>
      <c r="J422" t="str">
        <f>RIGHT(C420,I422)</f>
        <v>187</v>
      </c>
      <c r="K422">
        <v>5.0000000000000001E-3</v>
      </c>
      <c r="L422" s="32">
        <f>(C420-K422)</f>
        <v>0.182</v>
      </c>
      <c r="M422" s="41" t="str">
        <f>IF(E424=5,IF(AND(G420=0,F425=FALSE),L422,L423),L423)</f>
        <v>0,19</v>
      </c>
    </row>
    <row r="423" spans="3:13" ht="18.600000000000001" hidden="1" thickBot="1" x14ac:dyDescent="0.4">
      <c r="C423" s="25"/>
      <c r="E423" t="str">
        <f>RIGHT(E422,1)</f>
        <v>7</v>
      </c>
      <c r="F423">
        <f>F422+0</f>
        <v>8</v>
      </c>
      <c r="L423" t="str">
        <f>FIXED(C420,2)</f>
        <v>0,19</v>
      </c>
      <c r="M423" s="41"/>
    </row>
    <row r="424" spans="3:13" ht="15" hidden="1" thickBot="1" x14ac:dyDescent="0.35">
      <c r="C424" s="25"/>
      <c r="E424">
        <f>E423+0</f>
        <v>7</v>
      </c>
      <c r="F424" t="s">
        <v>38</v>
      </c>
      <c r="G424" t="s">
        <v>39</v>
      </c>
      <c r="H424" t="s">
        <v>40</v>
      </c>
      <c r="M424" s="35"/>
    </row>
    <row r="425" spans="3:13" ht="15" hidden="1" thickBot="1" x14ac:dyDescent="0.35">
      <c r="C425" s="25"/>
      <c r="F425" t="b">
        <f>ISODD(F422)</f>
        <v>0</v>
      </c>
      <c r="G425">
        <f>LEN(C420)</f>
        <v>5</v>
      </c>
      <c r="H425">
        <f>LEN(G422)+1</f>
        <v>2</v>
      </c>
      <c r="M425" s="35"/>
    </row>
    <row r="426" spans="3:13" ht="15" hidden="1" thickBot="1" x14ac:dyDescent="0.35">
      <c r="C426" s="25"/>
      <c r="M426" s="35"/>
    </row>
    <row r="427" spans="3:13" ht="15" hidden="1" thickBot="1" x14ac:dyDescent="0.35">
      <c r="C427" s="205" t="s">
        <v>43</v>
      </c>
      <c r="D427" s="206"/>
      <c r="E427" s="206"/>
      <c r="F427" s="206"/>
      <c r="G427" s="206"/>
      <c r="H427" s="206"/>
      <c r="I427" s="206"/>
      <c r="J427" s="206"/>
      <c r="K427" s="206"/>
      <c r="L427" s="206"/>
      <c r="M427" s="207"/>
    </row>
    <row r="428" spans="3:13" ht="15" hidden="1" thickBot="1" x14ac:dyDescent="0.35">
      <c r="C428" s="42" t="str">
        <f>M422</f>
        <v>0,19</v>
      </c>
      <c r="E428" t="str">
        <f>FIXED(C420,3)</f>
        <v>0,187</v>
      </c>
      <c r="F428" t="str">
        <f>RIGHT(E428,1)</f>
        <v>7</v>
      </c>
      <c r="G428">
        <f>F428+0</f>
        <v>7</v>
      </c>
      <c r="M428" s="35"/>
    </row>
    <row r="429" spans="3:13" ht="29.4" hidden="1" thickBot="1" x14ac:dyDescent="0.35">
      <c r="C429" s="25"/>
      <c r="E429" t="s">
        <v>29</v>
      </c>
      <c r="F429" t="s">
        <v>30</v>
      </c>
      <c r="G429" t="s">
        <v>31</v>
      </c>
      <c r="H429" t="s">
        <v>32</v>
      </c>
      <c r="I429" s="29" t="s">
        <v>33</v>
      </c>
      <c r="J429" s="29" t="s">
        <v>34</v>
      </c>
      <c r="K429" s="29" t="s">
        <v>35</v>
      </c>
      <c r="L429" s="29" t="s">
        <v>36</v>
      </c>
      <c r="M429" s="37" t="s">
        <v>37</v>
      </c>
    </row>
    <row r="430" spans="3:13" ht="18.600000000000001" hidden="1" thickBot="1" x14ac:dyDescent="0.4">
      <c r="C430" s="25"/>
      <c r="E430" t="str">
        <f>RIGHT(C428,2)</f>
        <v>19</v>
      </c>
      <c r="F430" t="str">
        <f>LEFT(E430,1)</f>
        <v>1</v>
      </c>
      <c r="G430" s="31">
        <f>TRUNC(C428)</f>
        <v>0</v>
      </c>
      <c r="H430" s="18" t="str">
        <f>FIXED(C428-G430,I430)</f>
        <v>0,19</v>
      </c>
      <c r="I430">
        <f>ABS(G433-H433)</f>
        <v>2</v>
      </c>
      <c r="J430" t="str">
        <f>RIGHT(C428,I430)</f>
        <v>19</v>
      </c>
      <c r="K430">
        <v>0.05</v>
      </c>
      <c r="L430" s="32">
        <f>(C428-K430)</f>
        <v>0.14000000000000001</v>
      </c>
      <c r="M430" s="41" t="str">
        <f>IF(E432=5,IF(AND(G428=0,F433=FALSE),L430,L431),L431)</f>
        <v>0,2</v>
      </c>
    </row>
    <row r="431" spans="3:13" ht="15" hidden="1" thickBot="1" x14ac:dyDescent="0.35">
      <c r="C431" s="25"/>
      <c r="E431" t="str">
        <f>RIGHT(E430,1)</f>
        <v>9</v>
      </c>
      <c r="F431">
        <f>F430+0</f>
        <v>1</v>
      </c>
      <c r="L431" t="str">
        <f>FIXED(C428,1)</f>
        <v>0,2</v>
      </c>
      <c r="M431" s="43"/>
    </row>
    <row r="432" spans="3:13" ht="15" hidden="1" thickBot="1" x14ac:dyDescent="0.35">
      <c r="C432" s="25"/>
      <c r="E432">
        <f>E431+0</f>
        <v>9</v>
      </c>
      <c r="F432" t="s">
        <v>38</v>
      </c>
      <c r="G432" t="s">
        <v>39</v>
      </c>
      <c r="H432" t="s">
        <v>40</v>
      </c>
      <c r="M432" s="35"/>
    </row>
    <row r="433" spans="3:13" ht="15" hidden="1" thickBot="1" x14ac:dyDescent="0.35">
      <c r="C433" s="25"/>
      <c r="F433" t="b">
        <f>ISODD(F430)</f>
        <v>1</v>
      </c>
      <c r="G433">
        <f>LEN(C428)</f>
        <v>4</v>
      </c>
      <c r="H433">
        <f>LEN(G430)+1</f>
        <v>2</v>
      </c>
      <c r="M433" s="35"/>
    </row>
    <row r="434" spans="3:13" ht="15" hidden="1" thickBot="1" x14ac:dyDescent="0.35">
      <c r="C434" s="25"/>
      <c r="M434" s="35"/>
    </row>
    <row r="435" spans="3:13" ht="15" hidden="1" thickBot="1" x14ac:dyDescent="0.35">
      <c r="C435" s="205" t="s">
        <v>44</v>
      </c>
      <c r="D435" s="206"/>
      <c r="E435" s="206"/>
      <c r="F435" s="206"/>
      <c r="G435" s="206"/>
      <c r="H435" s="206"/>
      <c r="I435" s="206"/>
      <c r="J435" s="206"/>
      <c r="K435" s="206"/>
      <c r="L435" s="206"/>
      <c r="M435" s="207"/>
    </row>
    <row r="436" spans="3:13" ht="15" hidden="1" thickBot="1" x14ac:dyDescent="0.35">
      <c r="C436" s="42" t="str">
        <f>M430</f>
        <v>0,2</v>
      </c>
      <c r="E436" t="str">
        <f>FIXED(C428,2)</f>
        <v>0,19</v>
      </c>
      <c r="F436" t="str">
        <f>RIGHT(E436,1)</f>
        <v>9</v>
      </c>
      <c r="G436">
        <f>F436+0</f>
        <v>9</v>
      </c>
      <c r="M436" s="35"/>
    </row>
    <row r="437" spans="3:13" ht="29.4" hidden="1" thickBot="1" x14ac:dyDescent="0.35">
      <c r="C437" s="25"/>
      <c r="E437" t="s">
        <v>29</v>
      </c>
      <c r="F437" t="s">
        <v>30</v>
      </c>
      <c r="G437" t="s">
        <v>31</v>
      </c>
      <c r="H437" t="s">
        <v>32</v>
      </c>
      <c r="I437" s="29" t="s">
        <v>33</v>
      </c>
      <c r="J437" s="29" t="s">
        <v>34</v>
      </c>
      <c r="K437" s="29" t="s">
        <v>35</v>
      </c>
      <c r="L437" s="29" t="s">
        <v>36</v>
      </c>
      <c r="M437" s="37" t="s">
        <v>37</v>
      </c>
    </row>
    <row r="438" spans="3:13" ht="18.600000000000001" hidden="1" thickBot="1" x14ac:dyDescent="0.4">
      <c r="C438" s="25"/>
      <c r="E438" t="str">
        <f>RIGHT(C436,2)</f>
        <v>,2</v>
      </c>
      <c r="F438" t="str">
        <f>RIGHT(G438,1)</f>
        <v>0</v>
      </c>
      <c r="G438" s="31">
        <f>TRUNC(C436)</f>
        <v>0</v>
      </c>
      <c r="H438" s="18" t="str">
        <f>FIXED(C436-G438,I438)</f>
        <v>0,2</v>
      </c>
      <c r="I438">
        <f>ABS(G441-H441)</f>
        <v>1</v>
      </c>
      <c r="J438" t="str">
        <f>RIGHT(C436,I438)</f>
        <v>2</v>
      </c>
      <c r="K438">
        <v>0.5</v>
      </c>
      <c r="L438" s="16">
        <f>(C436-K438)</f>
        <v>-0.3</v>
      </c>
      <c r="M438" s="44" t="str">
        <f>IF(E440=5,IF(AND(G436=0,F441=FALSE),L438,L439),L439)</f>
        <v>0</v>
      </c>
    </row>
    <row r="439" spans="3:13" ht="15" hidden="1" thickBot="1" x14ac:dyDescent="0.35">
      <c r="C439" s="25"/>
      <c r="E439" t="str">
        <f>RIGHT(E438,1)</f>
        <v>2</v>
      </c>
      <c r="F439">
        <f>F438+0</f>
        <v>0</v>
      </c>
      <c r="L439" t="str">
        <f>FIXED(C436,0)</f>
        <v>0</v>
      </c>
      <c r="M439" s="45"/>
    </row>
    <row r="440" spans="3:13" ht="15" hidden="1" thickBot="1" x14ac:dyDescent="0.35">
      <c r="C440" s="25"/>
      <c r="E440">
        <f>E439+0</f>
        <v>2</v>
      </c>
      <c r="F440" t="s">
        <v>38</v>
      </c>
      <c r="G440" t="s">
        <v>39</v>
      </c>
      <c r="H440" t="s">
        <v>40</v>
      </c>
      <c r="M440" s="35"/>
    </row>
    <row r="441" spans="3:13" ht="15" hidden="1" thickBot="1" x14ac:dyDescent="0.35">
      <c r="C441" s="33"/>
      <c r="D441" s="33"/>
      <c r="E441" s="33"/>
      <c r="F441" s="33" t="b">
        <f>ISODD(F438)</f>
        <v>0</v>
      </c>
      <c r="G441" s="33">
        <f>LEN(C436)</f>
        <v>3</v>
      </c>
      <c r="H441" s="33">
        <f>LEN(G438)+1</f>
        <v>2</v>
      </c>
      <c r="I441" s="33"/>
      <c r="J441" s="33"/>
      <c r="K441" s="33"/>
      <c r="L441" s="33"/>
      <c r="M441" s="46"/>
    </row>
    <row r="442" spans="3:13" ht="15" thickBot="1" x14ac:dyDescent="0.35">
      <c r="C442" s="208" t="s">
        <v>55</v>
      </c>
      <c r="D442" s="209"/>
      <c r="E442" s="209"/>
      <c r="F442" s="209"/>
      <c r="G442" s="209"/>
      <c r="H442" s="209"/>
      <c r="I442" s="209"/>
      <c r="J442" s="209"/>
      <c r="K442" s="209"/>
      <c r="L442" s="209"/>
      <c r="M442" s="210"/>
    </row>
    <row r="443" spans="3:13" ht="15" thickBot="1" x14ac:dyDescent="0.35">
      <c r="C443" s="25" t="s">
        <v>26</v>
      </c>
      <c r="D443" s="19" t="s">
        <v>27</v>
      </c>
      <c r="E443" t="str">
        <f>FIXED(C444,6)</f>
        <v>0,202914</v>
      </c>
      <c r="F443" t="str">
        <f>RIGHT(E443,1)</f>
        <v>4</v>
      </c>
      <c r="G443">
        <f>F443/1000000</f>
        <v>3.9999999999999998E-6</v>
      </c>
      <c r="H443" s="34">
        <f>C444-G443</f>
        <v>0.20290974338806086</v>
      </c>
      <c r="J443">
        <f>IF(E448=5,IF(AND(F444=0,F449=FALSE),L446,L447),L447)</f>
        <v>0</v>
      </c>
      <c r="M443" s="35"/>
    </row>
    <row r="444" spans="3:13" ht="18" x14ac:dyDescent="0.35">
      <c r="C444" s="26">
        <v>0.20291374338806087</v>
      </c>
      <c r="D444" s="36">
        <f>IF(C444&gt;=10,M478,IF(C444&gt;=1,M470,IF(C444&gt;=0.1,M462,IF(C444&gt;=0.01,M454,IF(C444&gt;=0.001,M446)))))</f>
        <v>0</v>
      </c>
      <c r="E444" t="s">
        <v>28</v>
      </c>
      <c r="F444">
        <f>F443+0</f>
        <v>4</v>
      </c>
      <c r="M444" s="35"/>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3"/>
  <sheetViews>
    <sheetView zoomScaleNormal="100" workbookViewId="0">
      <selection activeCell="M17" sqref="M17"/>
    </sheetView>
  </sheetViews>
  <sheetFormatPr baseColWidth="10" defaultRowHeight="14.4" x14ac:dyDescent="0.3"/>
  <cols>
    <col min="2" max="2" width="14" bestFit="1" customWidth="1"/>
    <col min="16" max="16" width="14.6640625" customWidth="1"/>
    <col min="20" max="20" width="12.44140625" bestFit="1" customWidth="1"/>
    <col min="24" max="25" width="13.33203125" customWidth="1"/>
  </cols>
  <sheetData>
    <row r="3" spans="2:26" x14ac:dyDescent="0.3">
      <c r="B3" s="8"/>
      <c r="C3" s="8"/>
      <c r="D3" s="8"/>
      <c r="E3" s="211" t="s">
        <v>16</v>
      </c>
      <c r="F3" s="211"/>
      <c r="G3" s="211"/>
      <c r="H3" s="211" t="s">
        <v>17</v>
      </c>
      <c r="I3" s="211"/>
      <c r="J3" s="211"/>
      <c r="L3" s="10" t="s">
        <v>23</v>
      </c>
      <c r="M3" s="8"/>
      <c r="N3" s="10">
        <f>INFORMACIÓN!W12</f>
        <v>0</v>
      </c>
      <c r="O3" s="8"/>
      <c r="P3" s="8"/>
      <c r="Q3" s="8"/>
      <c r="R3" s="8"/>
      <c r="S3" s="8"/>
      <c r="T3" s="8"/>
      <c r="U3" s="8"/>
      <c r="V3" s="8"/>
      <c r="W3" s="8"/>
      <c r="X3" s="9"/>
    </row>
    <row r="4" spans="2:26" ht="39.6" x14ac:dyDescent="0.3">
      <c r="B4" s="4" t="s">
        <v>11</v>
      </c>
      <c r="C4" s="4" t="s">
        <v>22</v>
      </c>
      <c r="D4" s="4" t="s">
        <v>12</v>
      </c>
      <c r="E4" s="11" t="s">
        <v>13</v>
      </c>
      <c r="F4" s="4" t="s">
        <v>19</v>
      </c>
      <c r="G4" s="4" t="s">
        <v>14</v>
      </c>
      <c r="H4" s="4" t="s">
        <v>15</v>
      </c>
      <c r="I4" s="4" t="s">
        <v>18</v>
      </c>
      <c r="J4" s="12" t="s">
        <v>20</v>
      </c>
      <c r="K4" s="4" t="s">
        <v>2</v>
      </c>
      <c r="L4" s="4" t="s">
        <v>1</v>
      </c>
      <c r="M4" s="4" t="s">
        <v>0</v>
      </c>
      <c r="N4" s="29"/>
    </row>
    <row r="5" spans="2:26" x14ac:dyDescent="0.3">
      <c r="B5" s="5">
        <f>MEDIDA!A8</f>
        <v>0</v>
      </c>
      <c r="C5" s="6">
        <f>(MEDIDA!J8+MEDIDA!K8)/2</f>
        <v>0</v>
      </c>
      <c r="D5" s="21" t="e">
        <f>#REF!/2</f>
        <v>#REF!</v>
      </c>
      <c r="E5" s="21" t="e">
        <f>#REF!/SQRT(3)</f>
        <v>#REF!</v>
      </c>
      <c r="F5" s="21">
        <v>0</v>
      </c>
      <c r="G5" s="7" t="e">
        <f>#REF!/SQRT(12)</f>
        <v>#REF!</v>
      </c>
      <c r="H5" s="21">
        <f>ABS(MEDIDA!J8-MEDIDA!K8)/SQRT(12)</f>
        <v>0</v>
      </c>
      <c r="I5" s="6" t="e">
        <f>STDEV(MEDIDA!F8:I8)/SQRT(4)</f>
        <v>#DIV/0!</v>
      </c>
      <c r="J5" s="7" t="e">
        <f t="shared" ref="J5:J11" si="0">SQRT(SUMSQ(D5:I5))</f>
        <v>#REF!</v>
      </c>
      <c r="K5" s="22" t="e">
        <f>J5^4/(D5^4/$D$12+E5^4/$E$12+F5^4/$F$12+G5^4/$G$12+H5^4/$H$12+I5^4/$I$12)</f>
        <v>#REF!</v>
      </c>
      <c r="L5" s="15" t="e">
        <f>TINV(0.0455,K5)</f>
        <v>#REF!</v>
      </c>
      <c r="M5" s="7" t="e">
        <f>J5*L5</f>
        <v>#REF!</v>
      </c>
      <c r="N5" t="e">
        <f>Redondeo!D3</f>
        <v>#REF!</v>
      </c>
    </row>
    <row r="6" spans="2:26" x14ac:dyDescent="0.3">
      <c r="B6" s="5">
        <f>MEDIDA!A9</f>
        <v>0</v>
      </c>
      <c r="C6" s="6">
        <f>(MEDIDA!J9+MEDIDA!K9)/2</f>
        <v>0</v>
      </c>
      <c r="D6" s="21" t="e">
        <f>#REF!/2</f>
        <v>#REF!</v>
      </c>
      <c r="E6" s="21" t="e">
        <f>#REF!/SQRT(3)</f>
        <v>#REF!</v>
      </c>
      <c r="F6" s="21">
        <v>0</v>
      </c>
      <c r="G6" s="7" t="e">
        <f>#REF!/SQRT(12)</f>
        <v>#REF!</v>
      </c>
      <c r="H6" s="21">
        <f>ABS(MEDIDA!J9-MEDIDA!K9)/SQRT(12)</f>
        <v>0</v>
      </c>
      <c r="I6" s="21" t="e">
        <f>STDEV(MEDIDA!F9:I9)/SQRT(4)</f>
        <v>#DIV/0!</v>
      </c>
      <c r="J6" s="7" t="e">
        <f t="shared" si="0"/>
        <v>#REF!</v>
      </c>
      <c r="K6" s="22" t="e">
        <f t="shared" ref="K6:K11" si="1">J6^4/(D6^4/$D$12+E6^4/$E$12+F6^4/$F$12+G6^4/$G$12+H6^4/$H$12+I6^4/$I$12)</f>
        <v>#REF!</v>
      </c>
      <c r="L6" s="15" t="e">
        <f>TINV(0.0455,K6)</f>
        <v>#REF!</v>
      </c>
      <c r="M6" s="7" t="e">
        <f>J6*L6</f>
        <v>#REF!</v>
      </c>
      <c r="N6" s="16" t="e">
        <f>Redondeo!D43</f>
        <v>#REF!</v>
      </c>
      <c r="O6" s="16"/>
    </row>
    <row r="7" spans="2:26" x14ac:dyDescent="0.3">
      <c r="B7" s="5">
        <f>MEDIDA!A10</f>
        <v>0</v>
      </c>
      <c r="C7" s="6">
        <f>(MEDIDA!J10+MEDIDA!K10)/2</f>
        <v>0</v>
      </c>
      <c r="D7" s="21" t="e">
        <f>#REF!/2</f>
        <v>#REF!</v>
      </c>
      <c r="E7" s="21" t="e">
        <f>#REF!/SQRT(3)</f>
        <v>#REF!</v>
      </c>
      <c r="F7" s="21">
        <v>0</v>
      </c>
      <c r="G7" s="7" t="e">
        <f>#REF!/SQRT(12)</f>
        <v>#REF!</v>
      </c>
      <c r="H7" s="21">
        <f>ABS(MEDIDA!J10-MEDIDA!K10)/SQRT(12)</f>
        <v>0</v>
      </c>
      <c r="I7" s="6" t="e">
        <f>STDEV(MEDIDA!F10:I10)/SQRT(4)</f>
        <v>#DIV/0!</v>
      </c>
      <c r="J7" s="7" t="e">
        <f t="shared" si="0"/>
        <v>#REF!</v>
      </c>
      <c r="K7" s="22" t="e">
        <f t="shared" si="1"/>
        <v>#REF!</v>
      </c>
      <c r="L7" s="15" t="e">
        <f t="shared" ref="L7:L11" si="2">TINV(0.0455,K7)</f>
        <v>#REF!</v>
      </c>
      <c r="M7" s="7" t="e">
        <f t="shared" ref="M7:M11" si="3">J7*L7</f>
        <v>#REF!</v>
      </c>
      <c r="N7" s="16" t="e">
        <f>Redondeo!D83</f>
        <v>#REF!</v>
      </c>
      <c r="O7" s="16"/>
    </row>
    <row r="8" spans="2:26" x14ac:dyDescent="0.3">
      <c r="B8" s="5">
        <f>MEDIDA!A11</f>
        <v>0</v>
      </c>
      <c r="C8" s="6">
        <f>(MEDIDA!J11+MEDIDA!K11)/2</f>
        <v>0</v>
      </c>
      <c r="D8" s="21" t="e">
        <f>#REF!/2</f>
        <v>#REF!</v>
      </c>
      <c r="E8" s="21" t="e">
        <f>#REF!/SQRT(3)</f>
        <v>#REF!</v>
      </c>
      <c r="F8" s="21">
        <v>0</v>
      </c>
      <c r="G8" s="7" t="e">
        <f>#REF!/SQRT(12)</f>
        <v>#REF!</v>
      </c>
      <c r="H8" s="21">
        <f>ABS(MEDIDA!J11-MEDIDA!K11)/SQRT(12)</f>
        <v>0</v>
      </c>
      <c r="I8" s="6" t="e">
        <f>STDEV(MEDIDA!F11:I11)/SQRT(4)</f>
        <v>#DIV/0!</v>
      </c>
      <c r="J8" s="7" t="e">
        <f t="shared" si="0"/>
        <v>#REF!</v>
      </c>
      <c r="K8" s="22" t="e">
        <f t="shared" si="1"/>
        <v>#REF!</v>
      </c>
      <c r="L8" s="15" t="e">
        <f t="shared" si="2"/>
        <v>#REF!</v>
      </c>
      <c r="M8" s="7" t="e">
        <f t="shared" si="3"/>
        <v>#REF!</v>
      </c>
      <c r="N8" s="16" t="e">
        <f>Redondeo!D124</f>
        <v>#REF!</v>
      </c>
      <c r="O8" s="16"/>
    </row>
    <row r="9" spans="2:26" x14ac:dyDescent="0.3">
      <c r="B9" s="5">
        <f>MEDIDA!A12</f>
        <v>0</v>
      </c>
      <c r="C9" s="6">
        <f>(MEDIDA!J12+MEDIDA!K12)/2</f>
        <v>0</v>
      </c>
      <c r="D9" s="21" t="e">
        <f>#REF!/2</f>
        <v>#REF!</v>
      </c>
      <c r="E9" s="21" t="e">
        <f>#REF!/SQRT(3)</f>
        <v>#REF!</v>
      </c>
      <c r="F9" s="21">
        <v>0</v>
      </c>
      <c r="G9" s="7" t="e">
        <f>#REF!/SQRT(12)</f>
        <v>#REF!</v>
      </c>
      <c r="H9" s="21">
        <f>ABS(MEDIDA!J12-MEDIDA!K12)/SQRT(12)</f>
        <v>0</v>
      </c>
      <c r="I9" s="6" t="e">
        <f>STDEV(MEDIDA!F12:I12)/SQRT(4)</f>
        <v>#DIV/0!</v>
      </c>
      <c r="J9" s="7" t="e">
        <f t="shared" si="0"/>
        <v>#REF!</v>
      </c>
      <c r="K9" s="22" t="e">
        <f t="shared" si="1"/>
        <v>#REF!</v>
      </c>
      <c r="L9" s="15" t="e">
        <f t="shared" si="2"/>
        <v>#REF!</v>
      </c>
      <c r="M9" s="7" t="e">
        <f t="shared" si="3"/>
        <v>#REF!</v>
      </c>
      <c r="N9" s="16" t="e">
        <f>Redondeo!D204</f>
        <v>#REF!</v>
      </c>
      <c r="O9" s="16"/>
    </row>
    <row r="10" spans="2:26" x14ac:dyDescent="0.3">
      <c r="B10" s="5">
        <f>MEDIDA!A13</f>
        <v>0</v>
      </c>
      <c r="C10" s="6">
        <f>(MEDIDA!J13+MEDIDA!K13)/2</f>
        <v>0</v>
      </c>
      <c r="D10" s="21" t="e">
        <f>#REF!/2</f>
        <v>#REF!</v>
      </c>
      <c r="E10" s="21" t="e">
        <f>#REF!/SQRT(3)</f>
        <v>#REF!</v>
      </c>
      <c r="F10" s="21">
        <v>0</v>
      </c>
      <c r="G10" s="7" t="e">
        <f>#REF!/SQRT(12)</f>
        <v>#REF!</v>
      </c>
      <c r="H10" s="21">
        <f>ABS(MEDIDA!J13-MEDIDA!K13)/SQRT(12)</f>
        <v>0</v>
      </c>
      <c r="I10" s="6" t="e">
        <f>STDEV(MEDIDA!F13:I13)/SQRT(4)</f>
        <v>#DIV/0!</v>
      </c>
      <c r="J10" s="7" t="e">
        <f t="shared" si="0"/>
        <v>#REF!</v>
      </c>
      <c r="K10" s="22" t="e">
        <f t="shared" si="1"/>
        <v>#REF!</v>
      </c>
      <c r="L10" s="15" t="e">
        <f t="shared" si="2"/>
        <v>#REF!</v>
      </c>
      <c r="M10" s="7" t="e">
        <f t="shared" si="3"/>
        <v>#REF!</v>
      </c>
      <c r="N10" s="16" t="e">
        <f>Redondeo!D244</f>
        <v>#REF!</v>
      </c>
      <c r="O10" s="16"/>
    </row>
    <row r="11" spans="2:26" x14ac:dyDescent="0.3">
      <c r="B11" s="5">
        <f>MEDIDA!A14</f>
        <v>0</v>
      </c>
      <c r="C11" s="6">
        <f>(MEDIDA!J14+MEDIDA!K14)/2</f>
        <v>0</v>
      </c>
      <c r="D11" s="21" t="e">
        <f>#REF!/2</f>
        <v>#REF!</v>
      </c>
      <c r="E11" s="21" t="e">
        <f>#REF!/SQRT(3)</f>
        <v>#REF!</v>
      </c>
      <c r="F11" s="21">
        <v>0</v>
      </c>
      <c r="G11" s="7" t="e">
        <f>#REF!/SQRT(12)</f>
        <v>#REF!</v>
      </c>
      <c r="H11" s="21">
        <f>ABS(MEDIDA!J14-MEDIDA!K14)/SQRT(12)</f>
        <v>0</v>
      </c>
      <c r="I11" s="6" t="e">
        <f>STDEV(MEDIDA!F14:I14)/SQRT(4)</f>
        <v>#DIV/0!</v>
      </c>
      <c r="J11" s="7" t="e">
        <f t="shared" si="0"/>
        <v>#REF!</v>
      </c>
      <c r="K11" s="22" t="e">
        <f t="shared" si="1"/>
        <v>#REF!</v>
      </c>
      <c r="L11" s="15" t="e">
        <f t="shared" si="2"/>
        <v>#REF!</v>
      </c>
      <c r="M11" s="7" t="e">
        <f t="shared" si="3"/>
        <v>#REF!</v>
      </c>
      <c r="N11" s="16" t="e">
        <f>Redondeo!D284</f>
        <v>#REF!</v>
      </c>
      <c r="O11" s="16"/>
    </row>
    <row r="12" spans="2:26" x14ac:dyDescent="0.3">
      <c r="D12" s="13">
        <f>0.5*(100%-D13)^-2</f>
        <v>199.99999999999966</v>
      </c>
      <c r="E12" s="13">
        <f t="shared" ref="E12:H12" si="4">0.5*(100%-E13)^-2</f>
        <v>199.99999999999966</v>
      </c>
      <c r="F12" s="13">
        <f t="shared" si="4"/>
        <v>199.99999999999966</v>
      </c>
      <c r="G12" s="13">
        <f t="shared" si="4"/>
        <v>199.99999999999966</v>
      </c>
      <c r="H12" s="13">
        <f t="shared" si="4"/>
        <v>199.99999999999966</v>
      </c>
      <c r="I12" s="13">
        <v>3</v>
      </c>
      <c r="N12" s="16"/>
      <c r="O12" s="16"/>
    </row>
    <row r="13" spans="2:26" x14ac:dyDescent="0.3">
      <c r="D13" s="14">
        <v>0.95</v>
      </c>
      <c r="E13" s="14">
        <v>0.95</v>
      </c>
      <c r="F13" s="14">
        <v>0.95</v>
      </c>
      <c r="G13" s="14">
        <v>0.95</v>
      </c>
      <c r="H13" s="14">
        <v>0.95</v>
      </c>
      <c r="I13" s="14"/>
      <c r="N13" s="16"/>
      <c r="O13" s="16"/>
    </row>
    <row r="14" spans="2:26" x14ac:dyDescent="0.3">
      <c r="Y14" s="16"/>
      <c r="Z14" s="16"/>
    </row>
    <row r="15" spans="2:26" x14ac:dyDescent="0.3">
      <c r="Y15" s="16"/>
      <c r="Z15" s="16"/>
    </row>
    <row r="34" spans="19:25" x14ac:dyDescent="0.3">
      <c r="V34" s="3"/>
      <c r="W34" s="3"/>
      <c r="X34" s="3"/>
    </row>
    <row r="35" spans="19:25" x14ac:dyDescent="0.3">
      <c r="V35" s="3"/>
      <c r="W35" s="1"/>
      <c r="X35" s="1"/>
    </row>
    <row r="38" spans="19:25" x14ac:dyDescent="0.3">
      <c r="Y38" s="3"/>
    </row>
    <row r="39" spans="19:25" x14ac:dyDescent="0.3">
      <c r="Y39" s="1"/>
    </row>
    <row r="40" spans="19:25" x14ac:dyDescent="0.3">
      <c r="S40" s="2"/>
      <c r="T40" s="2"/>
      <c r="U40" s="2"/>
    </row>
    <row r="41" spans="19:25" x14ac:dyDescent="0.3">
      <c r="S41" s="1"/>
      <c r="T41" s="1"/>
      <c r="U41" s="1"/>
    </row>
    <row r="42" spans="19:25" x14ac:dyDescent="0.3">
      <c r="S42" s="1"/>
      <c r="T42" s="1"/>
      <c r="U42" s="1"/>
    </row>
    <row r="43" spans="19:25" x14ac:dyDescent="0.3">
      <c r="S43" s="1"/>
      <c r="T43" s="1"/>
      <c r="U43" s="1"/>
    </row>
    <row r="44" spans="19:25" x14ac:dyDescent="0.3">
      <c r="S44" s="1"/>
      <c r="T44" s="1"/>
      <c r="U44" s="1"/>
    </row>
    <row r="45" spans="19:25" x14ac:dyDescent="0.3">
      <c r="S45" s="1"/>
      <c r="T45" s="1"/>
      <c r="U45" s="1"/>
    </row>
    <row r="46" spans="19:25" x14ac:dyDescent="0.3">
      <c r="S46" s="1"/>
      <c r="T46" s="1"/>
      <c r="U46" s="1"/>
    </row>
    <row r="48" spans="19:25" x14ac:dyDescent="0.3">
      <c r="S48" s="1"/>
      <c r="T48" s="1"/>
      <c r="U48" s="1"/>
    </row>
    <row r="49" spans="19:21" x14ac:dyDescent="0.3">
      <c r="S49" s="1"/>
      <c r="T49" s="1"/>
      <c r="U49" s="1"/>
    </row>
    <row r="50" spans="19:21" x14ac:dyDescent="0.3">
      <c r="S50" s="1"/>
      <c r="T50" s="1"/>
      <c r="U50" s="1"/>
    </row>
    <row r="51" spans="19:21" x14ac:dyDescent="0.3">
      <c r="S51" s="1"/>
      <c r="T51" s="1"/>
      <c r="U51" s="1"/>
    </row>
    <row r="52" spans="19:21" x14ac:dyDescent="0.3">
      <c r="S52" s="1"/>
      <c r="T52" s="1"/>
      <c r="U52" s="1"/>
    </row>
    <row r="53" spans="19:21" x14ac:dyDescent="0.3">
      <c r="S53" s="1"/>
      <c r="T53" s="1"/>
      <c r="U53" s="1"/>
    </row>
  </sheetData>
  <mergeCells count="2">
    <mergeCell ref="E3:G3"/>
    <mergeCell ref="H3:J3"/>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H1:X36"/>
  <sheetViews>
    <sheetView zoomScaleNormal="100" workbookViewId="0">
      <selection activeCell="K5" sqref="K5"/>
    </sheetView>
  </sheetViews>
  <sheetFormatPr baseColWidth="10" defaultColWidth="11.44140625" defaultRowHeight="14.4" x14ac:dyDescent="0.3"/>
  <cols>
    <col min="1" max="1" width="10.33203125" style="23" customWidth="1"/>
    <col min="2" max="2" width="7.109375" style="23" customWidth="1"/>
    <col min="3" max="4" width="6.5546875" style="23" customWidth="1"/>
    <col min="5" max="6" width="7.44140625" style="23" customWidth="1"/>
    <col min="7" max="7" width="9.33203125" style="23" bestFit="1" customWidth="1"/>
    <col min="8" max="10" width="7.44140625" style="23" customWidth="1"/>
    <col min="11" max="12" width="7" style="23" customWidth="1"/>
    <col min="13" max="13" width="6.5546875" style="23" customWidth="1"/>
    <col min="14" max="14" width="7" style="23" customWidth="1"/>
    <col min="15" max="15" width="9.109375" style="23" customWidth="1"/>
    <col min="16" max="16" width="8.33203125" style="23" bestFit="1" customWidth="1"/>
    <col min="17" max="17" width="4.88671875" style="23" bestFit="1" customWidth="1"/>
    <col min="18" max="18" width="9.6640625" style="23" customWidth="1"/>
    <col min="19" max="19" width="5.6640625" style="23" customWidth="1"/>
    <col min="20" max="20" width="8.5546875" style="23" customWidth="1"/>
    <col min="21" max="22" width="5.6640625" style="23" customWidth="1"/>
    <col min="23" max="16384" width="11.44140625" style="23"/>
  </cols>
  <sheetData>
    <row r="1" spans="8:23" customFormat="1" x14ac:dyDescent="0.3"/>
    <row r="2" spans="8:23" customFormat="1" x14ac:dyDescent="0.3"/>
    <row r="3" spans="8:23" customFormat="1" x14ac:dyDescent="0.3">
      <c r="H3" t="s">
        <v>24</v>
      </c>
      <c r="K3" t="s">
        <v>104</v>
      </c>
    </row>
    <row r="4" spans="8:23" customFormat="1" x14ac:dyDescent="0.3">
      <c r="H4" t="s">
        <v>25</v>
      </c>
      <c r="K4" t="s">
        <v>105</v>
      </c>
      <c r="S4" s="1"/>
      <c r="T4" s="1"/>
      <c r="U4" s="1"/>
      <c r="V4" s="1"/>
      <c r="W4" s="1"/>
    </row>
    <row r="5" spans="8:23" customFormat="1" x14ac:dyDescent="0.3">
      <c r="H5" t="s">
        <v>103</v>
      </c>
      <c r="S5" s="1"/>
      <c r="T5" s="1"/>
      <c r="U5" s="1"/>
      <c r="V5" s="1"/>
    </row>
    <row r="6" spans="8:23" customFormat="1" ht="22.95" customHeight="1" x14ac:dyDescent="0.3">
      <c r="S6" s="1"/>
      <c r="T6" s="1"/>
      <c r="U6" s="1"/>
      <c r="V6" s="1"/>
    </row>
    <row r="7" spans="8:23" customFormat="1" x14ac:dyDescent="0.3"/>
    <row r="8" spans="8:23" customFormat="1" ht="18" customHeight="1" x14ac:dyDescent="0.3"/>
    <row r="9" spans="8:23" customFormat="1" x14ac:dyDescent="0.3"/>
    <row r="10" spans="8:23" customFormat="1" x14ac:dyDescent="0.3"/>
    <row r="11" spans="8:23" customFormat="1" x14ac:dyDescent="0.3"/>
    <row r="12" spans="8:23" customFormat="1" x14ac:dyDescent="0.3"/>
    <row r="13" spans="8:23" customFormat="1" x14ac:dyDescent="0.3"/>
    <row r="14" spans="8:23" customFormat="1" ht="17.25" customHeight="1" x14ac:dyDescent="0.3"/>
    <row r="15" spans="8:23" customFormat="1" x14ac:dyDescent="0.3"/>
    <row r="16" spans="8:23" customFormat="1" x14ac:dyDescent="0.3">
      <c r="U16" s="31"/>
      <c r="V16" s="31"/>
    </row>
    <row r="17" spans="20:24" x14ac:dyDescent="0.3">
      <c r="T17"/>
      <c r="U17" s="31"/>
      <c r="V17" s="31"/>
      <c r="W17"/>
      <c r="X17"/>
    </row>
    <row r="18" spans="20:24" x14ac:dyDescent="0.3">
      <c r="T18"/>
      <c r="U18" s="31"/>
      <c r="V18" s="31"/>
      <c r="W18"/>
      <c r="X18"/>
    </row>
    <row r="25" spans="20:24" x14ac:dyDescent="0.3">
      <c r="W25" s="24"/>
    </row>
    <row r="26" spans="20:24" x14ac:dyDescent="0.3">
      <c r="W26" s="24"/>
    </row>
    <row r="27" spans="20:24" x14ac:dyDescent="0.3">
      <c r="W27" s="24"/>
    </row>
    <row r="34" spans="22:22" x14ac:dyDescent="0.3">
      <c r="V34" s="24"/>
    </row>
    <row r="35" spans="22:22" x14ac:dyDescent="0.3">
      <c r="V35" s="24"/>
    </row>
    <row r="36" spans="22:22" x14ac:dyDescent="0.3">
      <c r="V36"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483"/>
  <sheetViews>
    <sheetView tabSelected="1" view="pageLayout" zoomScaleNormal="100" workbookViewId="0">
      <selection activeCell="L271" sqref="L27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86"/>
      <c r="E1" s="86"/>
      <c r="F1" s="85"/>
      <c r="G1" s="84"/>
      <c r="H1" s="83"/>
      <c r="I1" s="184"/>
      <c r="J1" s="184"/>
      <c r="K1" s="184"/>
      <c r="M1" s="53"/>
      <c r="O1" s="183" t="s">
        <v>81</v>
      </c>
      <c r="P1" s="183"/>
      <c r="Q1" s="183"/>
      <c r="R1" s="188" t="str">
        <f>INFORMACIÓN!G3</f>
        <v>JS5788-26</v>
      </c>
      <c r="S1" s="188"/>
    </row>
    <row r="2" spans="1:27" ht="16.95" customHeight="1" x14ac:dyDescent="0.3">
      <c r="G2" s="102"/>
      <c r="H2" s="102"/>
      <c r="I2" s="102"/>
      <c r="J2" s="102"/>
      <c r="K2" s="102"/>
    </row>
    <row r="3" spans="1:27" ht="16.95" customHeight="1" x14ac:dyDescent="0.3">
      <c r="B3" s="82"/>
      <c r="C3" s="185" t="s">
        <v>98</v>
      </c>
      <c r="D3" s="185"/>
      <c r="E3" s="185"/>
      <c r="F3" s="185"/>
      <c r="G3" s="185"/>
      <c r="H3" s="185"/>
      <c r="I3" s="185"/>
      <c r="J3" s="185"/>
      <c r="K3" s="185"/>
      <c r="L3" s="186"/>
      <c r="M3" s="185"/>
      <c r="N3" s="185"/>
      <c r="O3" s="185"/>
      <c r="P3" s="185"/>
      <c r="Q3" s="185"/>
      <c r="R3" s="185"/>
    </row>
    <row r="4" spans="1:27" ht="16.95" customHeight="1" x14ac:dyDescent="0.3">
      <c r="A4" s="81"/>
      <c r="B4" s="81"/>
      <c r="C4" s="81"/>
      <c r="D4" s="81"/>
      <c r="E4" s="81"/>
      <c r="F4" s="81"/>
      <c r="G4" s="81"/>
      <c r="H4" s="81"/>
      <c r="I4" s="81"/>
      <c r="J4" s="81"/>
      <c r="K4" s="81"/>
      <c r="L4" s="116"/>
      <c r="M4" s="81"/>
      <c r="N4" s="81"/>
      <c r="O4" s="81"/>
      <c r="P4" s="81"/>
      <c r="Q4" s="81"/>
      <c r="R4" s="81"/>
    </row>
    <row r="5" spans="1:27" s="79" customFormat="1" ht="16.95" customHeight="1" x14ac:dyDescent="0.3">
      <c r="B5" s="51"/>
      <c r="C5" s="183" t="s">
        <v>80</v>
      </c>
      <c r="D5" s="183"/>
      <c r="E5" s="183"/>
      <c r="F5" s="183"/>
      <c r="G5" s="183"/>
      <c r="H5" s="54"/>
      <c r="I5" s="166" t="str">
        <f>INFORMACIÓN!A3</f>
        <v>NEVERA DE TRANSPORTE</v>
      </c>
      <c r="J5" s="166"/>
      <c r="K5" s="166"/>
      <c r="L5" s="166"/>
      <c r="M5" s="166"/>
      <c r="N5" s="166"/>
      <c r="O5" s="166"/>
      <c r="P5" s="166"/>
      <c r="Q5" s="166"/>
      <c r="R5" s="166"/>
      <c r="S5"/>
      <c r="T5"/>
      <c r="U5"/>
      <c r="V5"/>
      <c r="W5"/>
      <c r="X5"/>
      <c r="Y5"/>
      <c r="Z5"/>
      <c r="AA5"/>
    </row>
    <row r="6" spans="1:27" s="79" customFormat="1" ht="16.95" customHeight="1" x14ac:dyDescent="0.3">
      <c r="B6" s="51"/>
      <c r="C6" s="183" t="s">
        <v>79</v>
      </c>
      <c r="D6" s="183"/>
      <c r="E6" s="183"/>
      <c r="F6" s="183"/>
      <c r="G6" s="183"/>
      <c r="H6" s="54"/>
      <c r="I6" s="166" t="str">
        <f>INFORMACIÓN!B3</f>
        <v>NO REGISTRA</v>
      </c>
      <c r="J6" s="166"/>
      <c r="K6" s="166"/>
      <c r="L6" s="166"/>
      <c r="M6" s="166"/>
      <c r="N6" s="166"/>
      <c r="O6" s="166"/>
      <c r="P6" s="166"/>
      <c r="Q6" s="166"/>
      <c r="R6" s="166"/>
      <c r="S6"/>
      <c r="T6"/>
      <c r="U6"/>
      <c r="V6"/>
      <c r="W6"/>
      <c r="X6"/>
      <c r="Y6"/>
      <c r="Z6"/>
      <c r="AA6"/>
    </row>
    <row r="7" spans="1:27" s="79" customFormat="1" ht="16.95" customHeight="1" x14ac:dyDescent="0.3">
      <c r="B7" s="51"/>
      <c r="C7" s="183" t="s">
        <v>78</v>
      </c>
      <c r="D7" s="183"/>
      <c r="E7" s="183"/>
      <c r="F7" s="183"/>
      <c r="G7" s="183"/>
      <c r="H7" s="54"/>
      <c r="I7" s="166" t="str">
        <f>INFORMACIÓN!C3</f>
        <v>NO REGISTRA</v>
      </c>
      <c r="J7" s="166"/>
      <c r="K7" s="166"/>
      <c r="L7" s="166"/>
      <c r="M7" s="166"/>
      <c r="N7" s="166"/>
      <c r="O7" s="166"/>
      <c r="P7" s="166"/>
      <c r="Q7" s="166"/>
      <c r="R7" s="166"/>
      <c r="S7"/>
      <c r="T7"/>
      <c r="U7"/>
      <c r="V7"/>
      <c r="W7"/>
      <c r="X7"/>
      <c r="Y7"/>
      <c r="Z7"/>
      <c r="AA7"/>
    </row>
    <row r="8" spans="1:27" s="79" customFormat="1" ht="16.95" customHeight="1" x14ac:dyDescent="0.3">
      <c r="B8" s="51"/>
      <c r="C8" s="183" t="s">
        <v>77</v>
      </c>
      <c r="D8" s="183"/>
      <c r="E8" s="183"/>
      <c r="F8" s="183"/>
      <c r="G8" s="183"/>
      <c r="H8" s="54"/>
      <c r="I8" s="167" t="str">
        <f>INFORMACIÓN!D3</f>
        <v>NO REGISTRA</v>
      </c>
      <c r="J8" s="167"/>
      <c r="K8" s="167"/>
      <c r="L8" s="167"/>
      <c r="M8" s="167"/>
      <c r="N8" s="167"/>
      <c r="O8" s="167"/>
      <c r="P8" s="167"/>
      <c r="Q8" s="167"/>
      <c r="R8" s="167"/>
      <c r="S8"/>
      <c r="T8"/>
      <c r="U8"/>
      <c r="V8"/>
      <c r="W8"/>
      <c r="X8"/>
      <c r="Y8"/>
      <c r="Z8"/>
      <c r="AA8"/>
    </row>
    <row r="9" spans="1:27" s="79" customFormat="1" ht="16.95" customHeight="1" x14ac:dyDescent="0.3">
      <c r="B9" s="51"/>
      <c r="C9" s="183" t="s">
        <v>76</v>
      </c>
      <c r="D9" s="183"/>
      <c r="E9" s="183"/>
      <c r="F9" s="183"/>
      <c r="G9" s="183"/>
      <c r="H9" s="54"/>
      <c r="I9" s="187" t="str">
        <f>INFORMACIÓN!F3</f>
        <v>NO REGISTRA</v>
      </c>
      <c r="J9" s="166"/>
      <c r="K9" s="166"/>
      <c r="L9" s="166"/>
      <c r="M9" s="166"/>
      <c r="N9" s="166"/>
      <c r="O9" s="166"/>
      <c r="P9" s="166"/>
      <c r="Q9" s="166"/>
      <c r="R9" s="166"/>
      <c r="S9"/>
      <c r="T9"/>
      <c r="U9"/>
      <c r="V9"/>
      <c r="W9"/>
      <c r="X9"/>
      <c r="Y9"/>
      <c r="Z9"/>
      <c r="AA9"/>
    </row>
    <row r="10" spans="1:27" s="79" customFormat="1" ht="16.95" customHeight="1" x14ac:dyDescent="0.3">
      <c r="B10" s="51"/>
      <c r="C10" s="183" t="s">
        <v>75</v>
      </c>
      <c r="D10" s="183"/>
      <c r="E10" s="183"/>
      <c r="F10" s="183"/>
      <c r="G10" s="183"/>
      <c r="H10" s="54"/>
      <c r="I10" s="167" t="str">
        <f>INFORMACIÓN!E3</f>
        <v>FARMACIA MATERNIDAD</v>
      </c>
      <c r="J10" s="166"/>
      <c r="K10" s="166"/>
      <c r="L10" s="166"/>
      <c r="M10" s="166"/>
      <c r="N10" s="166"/>
      <c r="O10" s="166"/>
      <c r="P10" s="166"/>
      <c r="Q10" s="166"/>
      <c r="R10" s="166"/>
      <c r="S10"/>
      <c r="T10"/>
      <c r="U10"/>
      <c r="V10"/>
      <c r="W10"/>
      <c r="X10"/>
      <c r="Y10"/>
      <c r="Z10"/>
      <c r="AA10"/>
    </row>
    <row r="11" spans="1:27" s="79" customFormat="1" ht="16.95" customHeight="1" x14ac:dyDescent="0.3">
      <c r="B11" s="51"/>
      <c r="C11" s="183" t="s">
        <v>74</v>
      </c>
      <c r="D11" s="183"/>
      <c r="E11" s="183"/>
      <c r="F11" s="183"/>
      <c r="G11" s="183"/>
      <c r="H11" s="54"/>
      <c r="I11" s="166" t="str">
        <f>INFORMACIÓN!B8</f>
        <v>BUEN ESTADO</v>
      </c>
      <c r="J11" s="166"/>
      <c r="K11" s="166"/>
      <c r="L11" s="166"/>
      <c r="M11" s="166"/>
      <c r="N11" s="166"/>
      <c r="O11" s="166"/>
      <c r="P11" s="166"/>
      <c r="Q11" s="166"/>
      <c r="R11" s="166"/>
      <c r="S11"/>
      <c r="T11"/>
      <c r="U11"/>
      <c r="V11"/>
      <c r="W11"/>
      <c r="X11"/>
      <c r="Y11"/>
      <c r="Z11"/>
      <c r="AA11"/>
    </row>
    <row r="12" spans="1:27" s="79" customFormat="1" ht="16.95" customHeight="1" x14ac:dyDescent="0.3">
      <c r="B12" s="51"/>
      <c r="C12" s="183" t="s">
        <v>73</v>
      </c>
      <c r="D12" s="183"/>
      <c r="E12" s="183"/>
      <c r="F12" s="183"/>
      <c r="G12" s="183"/>
      <c r="H12" s="80"/>
      <c r="I12" s="168">
        <f>INFORMACIÓN!H3</f>
        <v>46087</v>
      </c>
      <c r="J12" s="168"/>
      <c r="K12" s="168"/>
      <c r="L12" s="168"/>
      <c r="M12" s="168"/>
      <c r="N12" s="168"/>
      <c r="O12" s="168"/>
      <c r="P12" s="168"/>
      <c r="Q12" s="168"/>
      <c r="R12" s="168"/>
      <c r="S12"/>
      <c r="T12"/>
      <c r="U12"/>
      <c r="V12"/>
      <c r="W12"/>
      <c r="X12"/>
      <c r="Y12"/>
      <c r="Z12"/>
      <c r="AA12"/>
    </row>
    <row r="13" spans="1:27" s="79" customFormat="1" ht="16.95" customHeight="1" x14ac:dyDescent="0.3">
      <c r="B13" s="51"/>
      <c r="C13" s="183" t="s">
        <v>72</v>
      </c>
      <c r="D13" s="183"/>
      <c r="E13" s="183"/>
      <c r="F13" s="183"/>
      <c r="G13" s="183"/>
      <c r="H13" s="80"/>
      <c r="I13" s="168">
        <f>INFORMACIÓN!B9</f>
        <v>46087</v>
      </c>
      <c r="J13" s="168"/>
      <c r="K13" s="168"/>
      <c r="L13" s="168"/>
      <c r="M13" s="168"/>
      <c r="N13" s="168"/>
      <c r="O13" s="168"/>
      <c r="P13" s="168"/>
      <c r="Q13" s="168"/>
      <c r="R13" s="168"/>
      <c r="S13"/>
      <c r="T13"/>
      <c r="U13"/>
      <c r="V13"/>
      <c r="W13"/>
      <c r="X13"/>
      <c r="Y13"/>
      <c r="Z13"/>
      <c r="AA13"/>
    </row>
    <row r="14" spans="1:27" ht="16.95" customHeight="1" x14ac:dyDescent="0.3"/>
    <row r="15" spans="1:27" ht="16.95" customHeight="1" x14ac:dyDescent="0.3">
      <c r="B15" s="53"/>
      <c r="C15" s="117" t="s">
        <v>99</v>
      </c>
      <c r="D15" s="117"/>
      <c r="E15" s="117"/>
      <c r="F15" s="117"/>
      <c r="G15" s="117"/>
      <c r="H15" s="117"/>
      <c r="I15" s="117"/>
      <c r="J15" s="117"/>
      <c r="K15" s="117"/>
      <c r="L15" s="117"/>
      <c r="M15" s="117"/>
      <c r="N15" s="117"/>
      <c r="O15" s="117"/>
      <c r="P15" s="117"/>
      <c r="Q15" s="117"/>
      <c r="R15" s="117"/>
    </row>
    <row r="16" spans="1:27" ht="16.95" customHeight="1" x14ac:dyDescent="0.3"/>
    <row r="17" spans="1:18" ht="16.95" customHeight="1" x14ac:dyDescent="0.3">
      <c r="B17" s="50"/>
      <c r="C17" s="161" t="s">
        <v>71</v>
      </c>
      <c r="D17" s="161"/>
      <c r="E17" s="161"/>
      <c r="F17" s="161"/>
      <c r="G17" s="161"/>
      <c r="H17" s="52"/>
      <c r="I17" s="169" t="str">
        <f>INFORMACIÓN!E7</f>
        <v>CLÍNICA PALERMO</v>
      </c>
      <c r="J17" s="169"/>
      <c r="K17" s="169"/>
      <c r="L17" s="169"/>
      <c r="M17" s="169"/>
      <c r="N17" s="169"/>
      <c r="O17" s="169"/>
      <c r="P17" s="169"/>
      <c r="Q17" s="169"/>
      <c r="R17" s="169"/>
    </row>
    <row r="18" spans="1:18" ht="16.95" customHeight="1" x14ac:dyDescent="0.3">
      <c r="B18" s="50"/>
      <c r="C18" s="161" t="s">
        <v>70</v>
      </c>
      <c r="D18" s="161"/>
      <c r="E18" s="161"/>
      <c r="F18" s="161"/>
      <c r="G18" s="161"/>
      <c r="H18" s="52"/>
      <c r="I18" s="169">
        <f>INFORMACIÓN!E8</f>
        <v>860006745</v>
      </c>
      <c r="J18" s="169"/>
      <c r="K18" s="169"/>
      <c r="L18" s="169"/>
      <c r="M18" s="169"/>
      <c r="N18" s="169"/>
      <c r="O18" s="169"/>
      <c r="P18" s="169"/>
      <c r="Q18" s="169"/>
      <c r="R18" s="169"/>
    </row>
    <row r="19" spans="1:18" ht="16.95" customHeight="1" x14ac:dyDescent="0.3">
      <c r="B19" s="50"/>
      <c r="C19" s="161" t="s">
        <v>69</v>
      </c>
      <c r="D19" s="161"/>
      <c r="E19" s="161"/>
      <c r="F19" s="161"/>
      <c r="G19" s="161"/>
      <c r="H19" s="52"/>
      <c r="I19" s="169">
        <f>INFORMACIÓN!E9</f>
        <v>5727777</v>
      </c>
      <c r="J19" s="169"/>
      <c r="K19" s="169"/>
      <c r="L19" s="169"/>
      <c r="M19" s="169"/>
      <c r="N19" s="169"/>
      <c r="O19" s="169"/>
      <c r="P19" s="169"/>
      <c r="Q19" s="169"/>
      <c r="R19" s="169"/>
    </row>
    <row r="20" spans="1:18" ht="16.95" customHeight="1" x14ac:dyDescent="0.3">
      <c r="B20" s="50"/>
      <c r="C20" s="161" t="s">
        <v>68</v>
      </c>
      <c r="D20" s="161"/>
      <c r="E20" s="161"/>
      <c r="F20" s="161"/>
      <c r="G20" s="161"/>
      <c r="H20" s="52"/>
      <c r="I20" s="169" t="str">
        <f>INFORMACIÓN!E10</f>
        <v>CALLE 45 C # 22-02</v>
      </c>
      <c r="J20" s="169"/>
      <c r="K20" s="169"/>
      <c r="L20" s="169"/>
      <c r="M20" s="169"/>
      <c r="N20" s="169"/>
      <c r="O20" s="169"/>
      <c r="P20" s="169"/>
      <c r="Q20" s="169"/>
      <c r="R20" s="169"/>
    </row>
    <row r="21" spans="1:18" ht="16.95" customHeight="1" x14ac:dyDescent="0.3">
      <c r="B21" s="50"/>
      <c r="C21" s="161" t="s">
        <v>67</v>
      </c>
      <c r="D21" s="161"/>
      <c r="E21" s="161"/>
      <c r="F21" s="161"/>
      <c r="G21" s="161"/>
      <c r="H21" s="52"/>
      <c r="I21" s="169" t="str">
        <f>INFORMACIÓN!E11</f>
        <v>BOGOTÁ</v>
      </c>
      <c r="J21" s="169"/>
      <c r="K21" s="169"/>
      <c r="L21" s="169"/>
      <c r="M21" s="169"/>
      <c r="N21" s="169"/>
      <c r="O21" s="169"/>
      <c r="P21" s="169"/>
      <c r="Q21" s="169"/>
      <c r="R21" s="169"/>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57"/>
      <c r="C23" s="170" t="s">
        <v>176</v>
      </c>
      <c r="D23" s="170"/>
      <c r="E23" s="170"/>
      <c r="F23" s="170"/>
      <c r="G23" s="170"/>
      <c r="H23" s="170"/>
      <c r="I23" s="170"/>
      <c r="J23" s="170"/>
      <c r="K23" s="170"/>
      <c r="L23" s="170"/>
      <c r="M23" s="170"/>
      <c r="N23" s="170"/>
      <c r="O23" s="170"/>
      <c r="P23" s="170"/>
      <c r="Q23" s="170"/>
      <c r="R23" s="170"/>
    </row>
    <row r="24" spans="1:18" ht="16.95" customHeight="1" x14ac:dyDescent="0.3">
      <c r="A24" s="57"/>
      <c r="B24" s="57"/>
      <c r="C24" s="171"/>
      <c r="D24" s="171"/>
      <c r="E24" s="171"/>
      <c r="F24" s="171"/>
      <c r="G24" s="171"/>
      <c r="H24" s="171"/>
      <c r="I24" s="171"/>
      <c r="J24" s="171"/>
      <c r="K24" s="171"/>
      <c r="L24" s="171"/>
      <c r="M24" s="171"/>
      <c r="N24" s="171"/>
      <c r="O24" s="171"/>
      <c r="P24" s="171"/>
      <c r="Q24" s="171"/>
      <c r="R24" s="171"/>
    </row>
    <row r="25" spans="1:18" ht="16.95" customHeight="1" x14ac:dyDescent="0.3">
      <c r="A25" s="57"/>
      <c r="B25" s="57"/>
      <c r="C25" s="171"/>
      <c r="D25" s="171"/>
      <c r="E25" s="171"/>
      <c r="F25" s="171"/>
      <c r="G25" s="171"/>
      <c r="H25" s="171"/>
      <c r="I25" s="171"/>
      <c r="J25" s="171"/>
      <c r="K25" s="171"/>
      <c r="L25" s="171"/>
      <c r="M25" s="171"/>
      <c r="N25" s="171"/>
      <c r="O25" s="171"/>
      <c r="P25" s="171"/>
      <c r="Q25" s="171"/>
      <c r="R25" s="171"/>
    </row>
    <row r="26" spans="1:18" ht="16.95" customHeight="1" x14ac:dyDescent="0.3">
      <c r="A26" s="57"/>
      <c r="B26" s="57"/>
      <c r="C26" s="171"/>
      <c r="D26" s="171"/>
      <c r="E26" s="171"/>
      <c r="F26" s="171"/>
      <c r="G26" s="171"/>
      <c r="H26" s="171"/>
      <c r="I26" s="171"/>
      <c r="J26" s="171"/>
      <c r="K26" s="171"/>
      <c r="L26" s="171"/>
      <c r="M26" s="171"/>
      <c r="N26" s="171"/>
      <c r="O26" s="171"/>
      <c r="P26" s="171"/>
      <c r="Q26" s="171"/>
      <c r="R26" s="171"/>
    </row>
    <row r="27" spans="1:18" ht="16.95" customHeight="1" x14ac:dyDescent="0.3">
      <c r="A27" s="57"/>
      <c r="B27" s="57"/>
      <c r="C27" s="171"/>
      <c r="D27" s="171"/>
      <c r="E27" s="171"/>
      <c r="F27" s="171"/>
      <c r="G27" s="171"/>
      <c r="H27" s="171"/>
      <c r="I27" s="171"/>
      <c r="J27" s="171"/>
      <c r="K27" s="171"/>
      <c r="L27" s="171"/>
      <c r="M27" s="171"/>
      <c r="N27" s="171"/>
      <c r="O27" s="171"/>
      <c r="P27" s="171"/>
      <c r="Q27" s="171"/>
      <c r="R27" s="171"/>
    </row>
    <row r="28" spans="1:18" ht="16.95" customHeight="1" x14ac:dyDescent="0.3">
      <c r="A28" s="57"/>
      <c r="B28" s="57"/>
      <c r="C28" s="172"/>
      <c r="D28" s="172"/>
      <c r="E28" s="172"/>
      <c r="F28" s="172"/>
      <c r="G28" s="172"/>
      <c r="H28" s="172"/>
      <c r="I28" s="172"/>
      <c r="J28" s="172"/>
      <c r="K28" s="172"/>
      <c r="L28" s="172"/>
      <c r="M28" s="172"/>
      <c r="N28" s="172"/>
      <c r="O28" s="172"/>
      <c r="P28" s="172"/>
      <c r="Q28" s="172"/>
      <c r="R28" s="172"/>
    </row>
    <row r="29" spans="1:18" ht="16.95" customHeight="1" x14ac:dyDescent="0.3">
      <c r="A29" s="57"/>
      <c r="B29" s="57"/>
      <c r="C29" s="78"/>
      <c r="D29" s="78"/>
      <c r="E29" s="78"/>
      <c r="F29" s="78"/>
      <c r="G29" s="78"/>
      <c r="H29" s="78"/>
      <c r="I29" s="78"/>
      <c r="J29" s="78"/>
      <c r="K29" s="78"/>
      <c r="L29" s="78"/>
      <c r="M29" s="78"/>
      <c r="N29" s="78"/>
      <c r="O29" s="78"/>
      <c r="P29" s="78"/>
      <c r="Q29" s="78"/>
      <c r="R29" s="78"/>
    </row>
    <row r="30" spans="1:18" ht="16.95" customHeight="1" x14ac:dyDescent="0.3">
      <c r="A30" s="57"/>
      <c r="B30" s="57"/>
      <c r="C30" s="77"/>
      <c r="D30" s="77"/>
      <c r="E30" s="77"/>
      <c r="F30" s="77"/>
      <c r="G30" s="77"/>
      <c r="H30" s="77"/>
      <c r="I30" s="77"/>
      <c r="J30" s="77"/>
      <c r="K30" s="77"/>
      <c r="L30" s="77"/>
      <c r="M30" s="77"/>
      <c r="N30" s="77"/>
      <c r="O30" s="77"/>
      <c r="P30" s="77"/>
      <c r="Q30" s="77"/>
      <c r="R30" s="77"/>
    </row>
    <row r="31" spans="1:18" ht="16.95" customHeight="1" x14ac:dyDescent="0.3">
      <c r="B31" s="52"/>
      <c r="C31" s="50" t="s">
        <v>56</v>
      </c>
      <c r="D31" s="52"/>
      <c r="H31" s="50"/>
      <c r="I31" s="161" t="s">
        <v>106</v>
      </c>
      <c r="J31" s="161"/>
      <c r="K31" s="161"/>
      <c r="L31" s="161"/>
      <c r="M31" s="169" t="str">
        <f>INFORMACIÓN!B15</f>
        <v>ING. GABRIEL DURÁN</v>
      </c>
      <c r="N31" s="169"/>
      <c r="O31" s="169"/>
      <c r="P31" s="169"/>
      <c r="Q31" s="169"/>
      <c r="R31" s="169"/>
    </row>
    <row r="32" spans="1:18" ht="16.95" customHeight="1" x14ac:dyDescent="0.3">
      <c r="F32" s="50"/>
      <c r="G32" s="50"/>
      <c r="H32" s="50"/>
      <c r="I32" s="161" t="s">
        <v>66</v>
      </c>
      <c r="J32" s="161"/>
      <c r="K32" s="161"/>
      <c r="L32" s="161"/>
      <c r="M32" s="194">
        <f>INFORMACIÓN!B10</f>
        <v>46087</v>
      </c>
      <c r="N32" s="194"/>
      <c r="O32" s="194"/>
      <c r="P32" s="73"/>
      <c r="Q32" s="73"/>
      <c r="R32" s="50"/>
    </row>
    <row r="33" spans="1:19" ht="16.95" customHeight="1" x14ac:dyDescent="0.3">
      <c r="I33" s="161" t="s">
        <v>65</v>
      </c>
      <c r="J33" s="161"/>
      <c r="K33" s="161"/>
      <c r="L33" s="161"/>
      <c r="M33" s="76">
        <v>9</v>
      </c>
      <c r="N33" s="52"/>
      <c r="O33" s="52"/>
      <c r="P33" s="52"/>
      <c r="Q33" s="52"/>
      <c r="R33" s="73"/>
    </row>
    <row r="34" spans="1:19" ht="16.95" customHeight="1" x14ac:dyDescent="0.3"/>
    <row r="35" spans="1:19" ht="16.95" customHeight="1" x14ac:dyDescent="0.3">
      <c r="C35" s="75"/>
      <c r="D35" s="75"/>
      <c r="E35" s="75"/>
      <c r="F35" s="75"/>
      <c r="G35" s="75"/>
    </row>
    <row r="36" spans="1:19" x14ac:dyDescent="0.3">
      <c r="B36" s="54"/>
      <c r="C36" s="74" t="s">
        <v>64</v>
      </c>
      <c r="D36" s="54"/>
      <c r="E36" s="54"/>
      <c r="F36" s="54"/>
      <c r="H36" s="50"/>
      <c r="J36" s="50"/>
      <c r="K36" s="50"/>
      <c r="L36" s="50"/>
      <c r="N36" s="73"/>
      <c r="O36" s="73"/>
    </row>
    <row r="37" spans="1:19" ht="13.2" customHeight="1" x14ac:dyDescent="0.3">
      <c r="B37" s="54"/>
      <c r="C37" s="57" t="s">
        <v>63</v>
      </c>
      <c r="D37" s="57"/>
      <c r="E37" s="57"/>
      <c r="F37" s="57"/>
      <c r="G37" s="57"/>
      <c r="J37" s="50"/>
      <c r="K37" s="50"/>
      <c r="L37" s="50"/>
      <c r="N37" s="72"/>
      <c r="O37" s="71"/>
      <c r="P37" s="71"/>
      <c r="Q37" s="71"/>
    </row>
    <row r="38" spans="1:19" ht="16.95" customHeight="1" x14ac:dyDescent="0.3">
      <c r="B38" s="70"/>
      <c r="C38" s="70"/>
      <c r="D38" s="70"/>
      <c r="E38" s="70"/>
      <c r="G38" s="52"/>
      <c r="H38" s="52"/>
      <c r="I38" s="52"/>
      <c r="J38" s="50"/>
      <c r="K38" s="50"/>
      <c r="L38" s="50"/>
      <c r="M38" s="50"/>
      <c r="N38" s="52"/>
      <c r="O38" s="161" t="str">
        <f>O1</f>
        <v>CERTIFICADO N°:</v>
      </c>
      <c r="P38" s="161"/>
      <c r="Q38" s="161"/>
      <c r="R38" s="160" t="str">
        <f>R1</f>
        <v>JS5788-26</v>
      </c>
      <c r="S38" s="160"/>
    </row>
    <row r="39" spans="1:19" ht="16.95" customHeight="1" x14ac:dyDescent="0.3"/>
    <row r="40" spans="1:19" ht="16.95" customHeight="1" x14ac:dyDescent="0.3">
      <c r="B40" s="193" t="s">
        <v>97</v>
      </c>
      <c r="C40" s="193"/>
      <c r="D40" s="193"/>
      <c r="E40" s="193"/>
      <c r="F40" s="193"/>
      <c r="G40" s="193"/>
      <c r="H40" s="193"/>
      <c r="I40" s="193"/>
      <c r="J40" s="193"/>
      <c r="K40" s="193"/>
      <c r="L40" s="193"/>
      <c r="M40" s="193"/>
      <c r="N40" s="193"/>
      <c r="O40" s="193"/>
      <c r="P40" s="193"/>
      <c r="Q40" s="193"/>
      <c r="R40" s="193"/>
      <c r="S40" s="193"/>
    </row>
    <row r="41" spans="1:19" ht="16.95" customHeight="1" x14ac:dyDescent="0.3">
      <c r="B41" s="173" t="s">
        <v>177</v>
      </c>
      <c r="C41" s="173"/>
      <c r="D41" s="173"/>
      <c r="E41" s="173"/>
      <c r="F41" s="173"/>
      <c r="G41" s="173"/>
      <c r="H41" s="173"/>
      <c r="I41" s="173"/>
      <c r="J41" s="173"/>
      <c r="K41" s="173"/>
      <c r="L41" s="173"/>
      <c r="M41" s="173"/>
      <c r="N41" s="173"/>
      <c r="O41" s="173"/>
      <c r="P41" s="173"/>
      <c r="Q41" s="173"/>
      <c r="R41" s="173"/>
      <c r="S41" s="173"/>
    </row>
    <row r="42" spans="1:19" ht="16.95" customHeight="1" x14ac:dyDescent="0.3">
      <c r="A42" s="58"/>
      <c r="B42" s="162"/>
      <c r="C42" s="162"/>
      <c r="D42" s="162"/>
      <c r="E42" s="162"/>
      <c r="F42" s="162"/>
      <c r="G42" s="162"/>
      <c r="H42" s="162"/>
      <c r="I42" s="162"/>
      <c r="J42" s="162"/>
      <c r="K42" s="162"/>
      <c r="L42" s="162"/>
      <c r="M42" s="162"/>
      <c r="N42" s="162"/>
      <c r="O42" s="162"/>
      <c r="P42" s="162"/>
      <c r="Q42" s="162"/>
      <c r="R42" s="162"/>
      <c r="S42" s="162"/>
    </row>
    <row r="43" spans="1:19" ht="16.95" customHeight="1" x14ac:dyDescent="0.3">
      <c r="A43" s="58"/>
      <c r="B43" s="162"/>
      <c r="C43" s="162"/>
      <c r="D43" s="162"/>
      <c r="E43" s="162"/>
      <c r="F43" s="162"/>
      <c r="G43" s="162"/>
      <c r="H43" s="162"/>
      <c r="I43" s="162"/>
      <c r="J43" s="162"/>
      <c r="K43" s="162"/>
      <c r="L43" s="162"/>
      <c r="M43" s="162"/>
      <c r="N43" s="162"/>
      <c r="O43" s="162"/>
      <c r="P43" s="162"/>
      <c r="Q43" s="162"/>
      <c r="R43" s="162"/>
      <c r="S43" s="162"/>
    </row>
    <row r="44" spans="1:19" ht="9" customHeight="1" x14ac:dyDescent="0.3">
      <c r="C44" s="58"/>
      <c r="D44" s="58"/>
      <c r="E44" s="58"/>
      <c r="F44" s="58"/>
      <c r="G44" s="58"/>
      <c r="H44" s="58"/>
      <c r="I44" s="58"/>
      <c r="J44" s="58"/>
      <c r="K44" s="58"/>
      <c r="L44" s="58"/>
      <c r="M44" s="58"/>
      <c r="N44" s="58"/>
      <c r="O44" s="58"/>
      <c r="P44" s="58"/>
      <c r="Q44" s="58"/>
      <c r="R44" s="58"/>
    </row>
    <row r="45" spans="1:19" ht="16.95" customHeight="1" x14ac:dyDescent="0.3">
      <c r="E45" s="69"/>
      <c r="F45" s="174" t="s">
        <v>62</v>
      </c>
      <c r="G45" s="175"/>
      <c r="H45" s="175"/>
      <c r="I45" s="175"/>
      <c r="J45" s="176"/>
      <c r="K45" s="190" t="s">
        <v>61</v>
      </c>
      <c r="L45" s="191"/>
      <c r="M45" s="191"/>
      <c r="N45" s="191"/>
      <c r="O45" s="192"/>
    </row>
    <row r="46" spans="1:19" ht="16.95" customHeight="1" x14ac:dyDescent="0.3">
      <c r="E46" s="69"/>
      <c r="F46" s="178">
        <f>AVERAGE(INFORMACIÓN!B11:B12)</f>
        <v>24.3</v>
      </c>
      <c r="G46" s="179"/>
      <c r="H46" s="66" t="s">
        <v>21</v>
      </c>
      <c r="I46" s="68">
        <f>ABS(INFORMACIÓN!B11-INFORMACIÓN!B12)</f>
        <v>0.39999999999999858</v>
      </c>
      <c r="J46" s="67"/>
      <c r="K46" s="180">
        <f>AVERAGE(INFORMACIÓN!B13:B14)</f>
        <v>61.5</v>
      </c>
      <c r="L46" s="181"/>
      <c r="M46" s="66" t="s">
        <v>21</v>
      </c>
      <c r="N46" s="65">
        <f>ABS(INFORMACIÓN!B13-INFORMACIÓN!B14)</f>
        <v>3</v>
      </c>
      <c r="O46" s="64"/>
    </row>
    <row r="47" spans="1:19" ht="11.4" customHeight="1" x14ac:dyDescent="0.3">
      <c r="E47" s="52"/>
      <c r="F47" s="63"/>
      <c r="G47" s="60"/>
      <c r="H47" s="55"/>
      <c r="I47" s="62"/>
      <c r="K47" s="61"/>
      <c r="L47" s="60"/>
      <c r="M47" s="59"/>
    </row>
    <row r="48" spans="1:19" ht="16.95" customHeight="1" x14ac:dyDescent="0.3">
      <c r="B48" s="54"/>
      <c r="D48" s="54"/>
      <c r="F48" s="177" t="s">
        <v>170</v>
      </c>
      <c r="G48" s="177"/>
      <c r="H48" s="177"/>
      <c r="I48" s="177"/>
      <c r="J48" s="177"/>
      <c r="K48" s="189" t="s">
        <v>171</v>
      </c>
      <c r="L48" s="189"/>
      <c r="M48" s="189"/>
      <c r="N48" s="189"/>
      <c r="O48" s="189"/>
      <c r="P48" s="189"/>
    </row>
    <row r="49" spans="1:19" ht="13.2" customHeight="1" x14ac:dyDescent="0.3"/>
    <row r="50" spans="1:19" ht="16.95" customHeight="1" x14ac:dyDescent="0.3">
      <c r="B50" s="141" t="s">
        <v>95</v>
      </c>
      <c r="C50" s="141"/>
      <c r="D50" s="141"/>
      <c r="E50" s="141"/>
      <c r="F50" s="141"/>
      <c r="G50" s="141"/>
      <c r="H50" s="141"/>
      <c r="I50" s="141"/>
      <c r="J50" s="141"/>
      <c r="K50" s="141"/>
      <c r="L50" s="141"/>
      <c r="M50" s="141"/>
      <c r="N50" s="141"/>
      <c r="O50" s="141"/>
      <c r="P50" s="141"/>
      <c r="Q50" s="141"/>
      <c r="R50" s="141"/>
      <c r="S50" s="141"/>
    </row>
    <row r="51" spans="1:19" ht="16.95" customHeight="1" x14ac:dyDescent="0.3">
      <c r="B51" s="173" t="s">
        <v>178</v>
      </c>
      <c r="C51" s="173"/>
      <c r="D51" s="173"/>
      <c r="E51" s="173"/>
      <c r="F51" s="173"/>
      <c r="G51" s="173"/>
      <c r="H51" s="173"/>
      <c r="I51" s="173"/>
      <c r="J51" s="173"/>
      <c r="K51" s="173"/>
      <c r="L51" s="173"/>
      <c r="M51" s="173"/>
      <c r="N51" s="173"/>
      <c r="O51" s="173"/>
      <c r="P51" s="173"/>
      <c r="Q51" s="173"/>
      <c r="R51" s="173"/>
      <c r="S51" s="173"/>
    </row>
    <row r="52" spans="1:19" ht="16.95" customHeight="1" x14ac:dyDescent="0.3">
      <c r="A52" s="58"/>
      <c r="B52" s="162"/>
      <c r="C52" s="162"/>
      <c r="D52" s="162"/>
      <c r="E52" s="162"/>
      <c r="F52" s="162"/>
      <c r="G52" s="162"/>
      <c r="H52" s="162"/>
      <c r="I52" s="162"/>
      <c r="J52" s="162"/>
      <c r="K52" s="162"/>
      <c r="L52" s="162"/>
      <c r="M52" s="162"/>
      <c r="N52" s="162"/>
      <c r="O52" s="162"/>
      <c r="P52" s="162"/>
      <c r="Q52" s="162"/>
      <c r="R52" s="162"/>
      <c r="S52" s="162"/>
    </row>
    <row r="53" spans="1:19" ht="16.95" customHeight="1" x14ac:dyDescent="0.3">
      <c r="A53" s="58"/>
      <c r="B53" s="162"/>
      <c r="C53" s="162"/>
      <c r="D53" s="162"/>
      <c r="E53" s="162"/>
      <c r="F53" s="162"/>
      <c r="G53" s="162"/>
      <c r="H53" s="162"/>
      <c r="I53" s="162"/>
      <c r="J53" s="162"/>
      <c r="K53" s="162"/>
      <c r="L53" s="162"/>
      <c r="M53" s="162"/>
      <c r="N53" s="162"/>
      <c r="O53" s="162"/>
      <c r="P53" s="162"/>
      <c r="Q53" s="162"/>
      <c r="R53" s="162"/>
      <c r="S53" s="162"/>
    </row>
    <row r="54" spans="1:19" ht="16.95" customHeight="1" x14ac:dyDescent="0.3">
      <c r="A54" s="58"/>
      <c r="B54" s="162"/>
      <c r="C54" s="162"/>
      <c r="D54" s="162"/>
      <c r="E54" s="162"/>
      <c r="F54" s="162"/>
      <c r="G54" s="162"/>
      <c r="H54" s="162"/>
      <c r="I54" s="162"/>
      <c r="J54" s="162"/>
      <c r="K54" s="162"/>
      <c r="L54" s="162"/>
      <c r="M54" s="162"/>
      <c r="N54" s="162"/>
      <c r="O54" s="162"/>
      <c r="P54" s="162"/>
      <c r="Q54" s="162"/>
      <c r="R54" s="162"/>
      <c r="S54" s="162"/>
    </row>
    <row r="55" spans="1:19" ht="16.95" customHeight="1" x14ac:dyDescent="0.3">
      <c r="A55" s="58"/>
      <c r="B55" s="162"/>
      <c r="C55" s="162"/>
      <c r="D55" s="162"/>
      <c r="E55" s="162"/>
      <c r="F55" s="162"/>
      <c r="G55" s="162"/>
      <c r="H55" s="162"/>
      <c r="I55" s="162"/>
      <c r="J55" s="162"/>
      <c r="K55" s="162"/>
      <c r="L55" s="162"/>
      <c r="M55" s="162"/>
      <c r="N55" s="162"/>
      <c r="O55" s="162"/>
      <c r="P55" s="162"/>
      <c r="Q55" s="162"/>
      <c r="R55" s="162"/>
      <c r="S55" s="162"/>
    </row>
    <row r="56" spans="1:19" ht="16.95" customHeight="1" x14ac:dyDescent="0.3">
      <c r="A56" s="58"/>
      <c r="B56" s="162"/>
      <c r="C56" s="162"/>
      <c r="D56" s="162"/>
      <c r="E56" s="162"/>
      <c r="F56" s="162"/>
      <c r="G56" s="162"/>
      <c r="H56" s="162"/>
      <c r="I56" s="162"/>
      <c r="J56" s="162"/>
      <c r="K56" s="162"/>
      <c r="L56" s="162"/>
      <c r="M56" s="162"/>
      <c r="N56" s="162"/>
      <c r="O56" s="162"/>
      <c r="P56" s="162"/>
      <c r="Q56" s="162"/>
      <c r="R56" s="162"/>
      <c r="S56" s="162"/>
    </row>
    <row r="57" spans="1:19" ht="16.95" customHeight="1" x14ac:dyDescent="0.3">
      <c r="A57" s="58"/>
      <c r="B57" s="162"/>
      <c r="C57" s="162"/>
      <c r="D57" s="162"/>
      <c r="E57" s="162"/>
      <c r="F57" s="162"/>
      <c r="G57" s="162"/>
      <c r="H57" s="162"/>
      <c r="I57" s="162"/>
      <c r="J57" s="162"/>
      <c r="K57" s="162"/>
      <c r="L57" s="162"/>
      <c r="M57" s="162"/>
      <c r="N57" s="162"/>
      <c r="O57" s="162"/>
      <c r="P57" s="162"/>
      <c r="Q57" s="162"/>
      <c r="R57" s="162"/>
      <c r="S57" s="162"/>
    </row>
    <row r="58" spans="1:19" ht="16.95" customHeight="1" x14ac:dyDescent="0.3">
      <c r="A58" s="58"/>
      <c r="B58" s="162"/>
      <c r="C58" s="162"/>
      <c r="D58" s="162"/>
      <c r="E58" s="162"/>
      <c r="F58" s="162"/>
      <c r="G58" s="162"/>
      <c r="H58" s="162"/>
      <c r="I58" s="162"/>
      <c r="J58" s="162"/>
      <c r="K58" s="162"/>
      <c r="L58" s="162"/>
      <c r="M58" s="162"/>
      <c r="N58" s="162"/>
      <c r="O58" s="162"/>
      <c r="P58" s="162"/>
      <c r="Q58" s="162"/>
      <c r="R58" s="162"/>
      <c r="S58" s="162"/>
    </row>
    <row r="59" spans="1:19" ht="16.95" customHeight="1" x14ac:dyDescent="0.3">
      <c r="B59" s="58"/>
      <c r="C59" s="58"/>
      <c r="D59" s="58"/>
      <c r="E59" s="58"/>
      <c r="F59" s="58"/>
      <c r="G59" s="58"/>
      <c r="H59" s="58"/>
      <c r="I59" s="58"/>
      <c r="J59" s="58"/>
      <c r="K59" s="58"/>
      <c r="L59" s="58"/>
      <c r="M59" s="58"/>
      <c r="N59" s="58"/>
      <c r="O59" s="58"/>
      <c r="P59" s="58"/>
      <c r="Q59" s="58"/>
      <c r="R59" s="58"/>
      <c r="S59" s="58"/>
    </row>
    <row r="60" spans="1:19" ht="16.95" customHeight="1" x14ac:dyDescent="0.3">
      <c r="B60" s="193" t="s">
        <v>96</v>
      </c>
      <c r="C60" s="193"/>
      <c r="D60" s="193"/>
      <c r="E60" s="193"/>
      <c r="F60" s="193"/>
      <c r="G60" s="193"/>
      <c r="H60" s="193"/>
      <c r="I60" s="193"/>
      <c r="J60" s="193"/>
      <c r="K60" s="193"/>
      <c r="L60" s="193"/>
      <c r="M60" s="193"/>
      <c r="N60" s="193"/>
      <c r="O60" s="193"/>
      <c r="P60" s="193"/>
      <c r="Q60" s="193"/>
      <c r="R60" s="193"/>
      <c r="S60" s="193"/>
    </row>
    <row r="61" spans="1:19" ht="16.95" customHeight="1" x14ac:dyDescent="0.3">
      <c r="B61" s="173" t="s">
        <v>172</v>
      </c>
      <c r="C61" s="173"/>
      <c r="D61" s="173"/>
      <c r="E61" s="173"/>
      <c r="F61" s="173"/>
      <c r="G61" s="173"/>
      <c r="H61" s="173"/>
      <c r="I61" s="173"/>
      <c r="J61" s="173"/>
      <c r="K61" s="173"/>
      <c r="L61" s="173"/>
      <c r="M61" s="173"/>
      <c r="N61" s="173"/>
      <c r="O61" s="173"/>
      <c r="P61" s="173"/>
      <c r="Q61" s="173"/>
      <c r="R61" s="173"/>
      <c r="S61" s="173"/>
    </row>
    <row r="62" spans="1:19" ht="16.95" customHeight="1" x14ac:dyDescent="0.3">
      <c r="A62" s="58"/>
      <c r="B62" s="162"/>
      <c r="C62" s="162"/>
      <c r="D62" s="162"/>
      <c r="E62" s="162"/>
      <c r="F62" s="162"/>
      <c r="G62" s="162"/>
      <c r="H62" s="162"/>
      <c r="I62" s="162"/>
      <c r="J62" s="162"/>
      <c r="K62" s="162"/>
      <c r="L62" s="162"/>
      <c r="M62" s="162"/>
      <c r="N62" s="162"/>
      <c r="O62" s="162"/>
      <c r="P62" s="162"/>
      <c r="Q62" s="162"/>
      <c r="R62" s="162"/>
      <c r="S62" s="162"/>
    </row>
    <row r="63" spans="1:19" ht="13.95" customHeight="1" x14ac:dyDescent="0.3"/>
    <row r="64" spans="1:19" ht="15" customHeight="1" x14ac:dyDescent="0.3">
      <c r="B64" s="193" t="s">
        <v>100</v>
      </c>
      <c r="C64" s="193"/>
      <c r="D64" s="193"/>
      <c r="E64" s="193"/>
      <c r="F64" s="193"/>
      <c r="G64" s="193"/>
      <c r="H64" s="193"/>
      <c r="I64" s="193"/>
      <c r="J64" s="193"/>
      <c r="K64" s="193"/>
      <c r="L64" s="193"/>
      <c r="M64" s="193"/>
      <c r="N64" s="193"/>
      <c r="O64" s="193"/>
      <c r="P64" s="193"/>
      <c r="Q64" s="193"/>
      <c r="R64" s="193"/>
      <c r="S64" s="193"/>
    </row>
    <row r="65" spans="1:19" ht="19.2" customHeight="1" x14ac:dyDescent="0.3">
      <c r="B65" s="173" t="s">
        <v>179</v>
      </c>
      <c r="C65" s="173"/>
      <c r="D65" s="173"/>
      <c r="E65" s="173"/>
      <c r="F65" s="173"/>
      <c r="G65" s="173"/>
      <c r="H65" s="173"/>
      <c r="I65" s="173"/>
      <c r="J65" s="173"/>
      <c r="K65" s="173"/>
      <c r="L65" s="173"/>
      <c r="M65" s="173"/>
      <c r="N65" s="173"/>
      <c r="O65" s="173"/>
      <c r="P65" s="173"/>
      <c r="Q65" s="173"/>
      <c r="R65" s="173"/>
      <c r="S65" s="173"/>
    </row>
    <row r="66" spans="1:19" ht="16.95" customHeight="1" x14ac:dyDescent="0.3">
      <c r="A66" s="58"/>
      <c r="B66" s="162"/>
      <c r="C66" s="162"/>
      <c r="D66" s="162"/>
      <c r="E66" s="162"/>
      <c r="F66" s="162"/>
      <c r="G66" s="162"/>
      <c r="H66" s="162"/>
      <c r="I66" s="162"/>
      <c r="J66" s="162"/>
      <c r="K66" s="162"/>
      <c r="L66" s="162"/>
      <c r="M66" s="162"/>
      <c r="N66" s="162"/>
      <c r="O66" s="162"/>
      <c r="P66" s="162"/>
      <c r="Q66" s="162"/>
      <c r="R66" s="162"/>
      <c r="S66" s="162"/>
    </row>
    <row r="67" spans="1:19" ht="16.95" customHeight="1" x14ac:dyDescent="0.3">
      <c r="A67" s="58"/>
      <c r="B67" s="162"/>
      <c r="C67" s="162"/>
      <c r="D67" s="162"/>
      <c r="E67" s="162"/>
      <c r="F67" s="162"/>
      <c r="G67" s="162"/>
      <c r="H67" s="162"/>
      <c r="I67" s="162"/>
      <c r="J67" s="162"/>
      <c r="K67" s="162"/>
      <c r="L67" s="162"/>
      <c r="M67" s="162"/>
      <c r="N67" s="162"/>
      <c r="O67" s="162"/>
      <c r="P67" s="162"/>
      <c r="Q67" s="162"/>
      <c r="R67" s="162"/>
      <c r="S67" s="162"/>
    </row>
    <row r="68" spans="1:19" ht="16.95" customHeight="1" x14ac:dyDescent="0.3">
      <c r="A68" s="58"/>
      <c r="B68" s="162"/>
      <c r="C68" s="162"/>
      <c r="D68" s="162"/>
      <c r="E68" s="162"/>
      <c r="F68" s="162"/>
      <c r="G68" s="162"/>
      <c r="H68" s="162"/>
      <c r="I68" s="162"/>
      <c r="J68" s="162"/>
      <c r="K68" s="162"/>
      <c r="L68" s="162"/>
      <c r="M68" s="162"/>
      <c r="N68" s="162"/>
      <c r="O68" s="162"/>
      <c r="P68" s="162"/>
      <c r="Q68" s="162"/>
      <c r="R68" s="162"/>
      <c r="S68" s="162"/>
    </row>
    <row r="69" spans="1:19" ht="16.95" customHeight="1" x14ac:dyDescent="0.3"/>
    <row r="70" spans="1:19" ht="16.95" customHeight="1" x14ac:dyDescent="0.3">
      <c r="B70" s="155" t="s">
        <v>60</v>
      </c>
      <c r="C70" s="155"/>
      <c r="D70" s="155"/>
      <c r="E70" s="155"/>
      <c r="F70" s="155"/>
      <c r="G70" s="155"/>
      <c r="H70" s="155" t="s">
        <v>59</v>
      </c>
      <c r="I70" s="155"/>
      <c r="J70" s="155"/>
      <c r="K70" s="155"/>
      <c r="L70" s="155"/>
      <c r="M70" s="155" t="s">
        <v>157</v>
      </c>
      <c r="N70" s="155"/>
      <c r="O70" s="155"/>
      <c r="P70" s="155" t="s">
        <v>58</v>
      </c>
      <c r="Q70" s="155"/>
      <c r="R70" s="155"/>
      <c r="S70" s="155"/>
    </row>
    <row r="71" spans="1:19" ht="43.95" customHeight="1" x14ac:dyDescent="0.3">
      <c r="B71" s="157" t="s">
        <v>154</v>
      </c>
      <c r="C71" s="158"/>
      <c r="D71" s="158"/>
      <c r="E71" s="158"/>
      <c r="F71" s="158"/>
      <c r="G71" s="159"/>
      <c r="H71" s="153">
        <v>230310997</v>
      </c>
      <c r="I71" s="153"/>
      <c r="J71" s="153"/>
      <c r="K71" s="153"/>
      <c r="L71" s="154"/>
      <c r="M71" s="156">
        <v>46055</v>
      </c>
      <c r="N71" s="156"/>
      <c r="O71" s="156"/>
      <c r="P71" s="152" t="s">
        <v>169</v>
      </c>
      <c r="Q71" s="152"/>
      <c r="R71" s="152"/>
      <c r="S71" s="152"/>
    </row>
    <row r="72" spans="1:19" ht="16.95" customHeight="1" x14ac:dyDescent="0.3"/>
    <row r="73" spans="1:19" ht="16.95" customHeight="1" x14ac:dyDescent="0.3"/>
    <row r="74" spans="1:19" ht="16.95" customHeight="1" x14ac:dyDescent="0.3">
      <c r="O74" s="161" t="str">
        <f>O1</f>
        <v>CERTIFICADO N°:</v>
      </c>
      <c r="P74" s="161"/>
      <c r="Q74" s="161"/>
      <c r="R74" s="160" t="str">
        <f>R1</f>
        <v>JS5788-26</v>
      </c>
      <c r="S74" s="160"/>
    </row>
    <row r="75" spans="1:19" ht="16.95" customHeight="1" x14ac:dyDescent="0.3"/>
    <row r="76" spans="1:19" ht="16.95" customHeight="1" x14ac:dyDescent="0.3">
      <c r="B76" s="145" t="s">
        <v>101</v>
      </c>
      <c r="C76" s="145"/>
      <c r="D76" s="145"/>
      <c r="E76" s="145"/>
      <c r="F76" s="145"/>
      <c r="G76" s="145"/>
      <c r="H76" s="145"/>
      <c r="I76" s="145"/>
      <c r="J76" s="145"/>
      <c r="K76" s="145"/>
      <c r="L76" s="145"/>
      <c r="M76" s="145"/>
      <c r="N76" s="145"/>
      <c r="O76" s="145"/>
      <c r="P76" s="145"/>
      <c r="Q76" s="145"/>
      <c r="R76" s="145"/>
      <c r="S76" s="145"/>
    </row>
    <row r="77" spans="1:19" ht="16.95" customHeight="1" x14ac:dyDescent="0.3"/>
    <row r="78" spans="1:19" x14ac:dyDescent="0.3">
      <c r="B78" s="162" t="s">
        <v>180</v>
      </c>
      <c r="C78" s="162"/>
      <c r="D78" s="162"/>
      <c r="E78" s="162"/>
      <c r="F78" s="162"/>
      <c r="G78" s="162"/>
      <c r="H78" s="162"/>
      <c r="I78" s="162"/>
      <c r="J78" s="162"/>
      <c r="K78" s="162"/>
      <c r="L78" s="162"/>
      <c r="M78" s="162"/>
      <c r="N78" s="162"/>
      <c r="O78" s="162"/>
      <c r="P78" s="162"/>
      <c r="Q78" s="162"/>
      <c r="R78" s="162"/>
      <c r="S78" s="162"/>
    </row>
    <row r="79" spans="1:19" ht="16.95" customHeight="1" x14ac:dyDescent="0.3">
      <c r="B79" s="162"/>
      <c r="C79" s="162"/>
      <c r="D79" s="162"/>
      <c r="E79" s="162"/>
      <c r="F79" s="162"/>
      <c r="G79" s="162"/>
      <c r="H79" s="162"/>
      <c r="I79" s="162"/>
      <c r="J79" s="162"/>
      <c r="K79" s="162"/>
      <c r="L79" s="162"/>
      <c r="M79" s="162"/>
      <c r="N79" s="162"/>
      <c r="O79" s="162"/>
      <c r="P79" s="162"/>
      <c r="Q79" s="162"/>
      <c r="R79" s="162"/>
      <c r="S79" s="162"/>
    </row>
    <row r="80" spans="1:19" ht="16.95" customHeight="1" x14ac:dyDescent="0.3">
      <c r="B80" s="162"/>
      <c r="C80" s="162"/>
      <c r="D80" s="162"/>
      <c r="E80" s="162"/>
      <c r="F80" s="162"/>
      <c r="G80" s="162"/>
      <c r="H80" s="162"/>
      <c r="I80" s="162"/>
      <c r="J80" s="162"/>
      <c r="K80" s="162"/>
      <c r="L80" s="162"/>
      <c r="M80" s="162"/>
      <c r="N80" s="162"/>
      <c r="O80" s="162"/>
      <c r="P80" s="162"/>
      <c r="Q80" s="162"/>
      <c r="R80" s="162"/>
      <c r="S80" s="162"/>
    </row>
    <row r="81" spans="2:19" ht="16.95" customHeight="1" x14ac:dyDescent="0.3"/>
    <row r="82" spans="2:19" x14ac:dyDescent="0.3">
      <c r="B82" s="145" t="s">
        <v>102</v>
      </c>
      <c r="C82" s="145"/>
      <c r="D82" s="145"/>
      <c r="E82" s="145"/>
      <c r="F82" s="145"/>
      <c r="G82" s="145"/>
      <c r="H82" s="145"/>
      <c r="I82" s="145"/>
      <c r="J82" s="145"/>
      <c r="K82" s="145"/>
      <c r="L82" s="145"/>
      <c r="M82" s="145"/>
      <c r="N82" s="145"/>
      <c r="O82" s="145"/>
      <c r="P82" s="145"/>
      <c r="Q82" s="145"/>
      <c r="R82" s="145"/>
      <c r="S82" s="145"/>
    </row>
    <row r="83" spans="2:19" ht="16.95" customHeight="1" x14ac:dyDescent="0.3"/>
    <row r="84" spans="2:19" x14ac:dyDescent="0.3">
      <c r="B84" s="182" t="s">
        <v>107</v>
      </c>
      <c r="C84" s="182"/>
      <c r="D84" s="182"/>
      <c r="E84" s="182"/>
      <c r="F84" s="182"/>
      <c r="G84" s="182"/>
      <c r="H84" s="182"/>
      <c r="I84" s="182"/>
      <c r="J84" s="182"/>
      <c r="K84" s="182"/>
      <c r="L84" s="182"/>
      <c r="M84" s="182"/>
      <c r="N84" s="182"/>
      <c r="O84" s="182"/>
      <c r="P84" s="182"/>
      <c r="Q84" s="182"/>
      <c r="R84" s="182"/>
      <c r="S84" s="182"/>
    </row>
    <row r="85" spans="2:19" x14ac:dyDescent="0.3">
      <c r="B85" s="182"/>
      <c r="C85" s="182"/>
      <c r="D85" s="182"/>
      <c r="E85" s="182"/>
      <c r="F85" s="182"/>
      <c r="G85" s="182"/>
      <c r="H85" s="182"/>
      <c r="I85" s="182"/>
      <c r="J85" s="182"/>
      <c r="K85" s="182"/>
      <c r="L85" s="182"/>
      <c r="M85" s="182"/>
      <c r="N85" s="182"/>
      <c r="O85" s="182"/>
      <c r="P85" s="182"/>
      <c r="Q85" s="182"/>
      <c r="R85" s="182"/>
      <c r="S85" s="182"/>
    </row>
    <row r="86" spans="2:19" ht="16.95" customHeight="1" x14ac:dyDescent="0.3">
      <c r="B86" s="90"/>
      <c r="C86" s="90"/>
      <c r="D86" s="90"/>
      <c r="E86" s="90"/>
      <c r="F86" s="90"/>
      <c r="G86" s="90"/>
      <c r="H86" s="90"/>
      <c r="I86" s="90"/>
      <c r="J86" s="90"/>
      <c r="K86" s="90"/>
      <c r="L86" s="90"/>
      <c r="M86" s="90"/>
      <c r="N86" s="90"/>
      <c r="O86" s="90"/>
      <c r="P86" s="90"/>
      <c r="Q86" s="90"/>
      <c r="R86" s="90"/>
      <c r="S86" s="90"/>
    </row>
    <row r="87" spans="2:19" x14ac:dyDescent="0.3">
      <c r="B87" s="145" t="s">
        <v>108</v>
      </c>
      <c r="C87" s="145"/>
      <c r="D87" s="145"/>
      <c r="E87" s="145"/>
      <c r="F87" s="145"/>
      <c r="G87" s="145"/>
      <c r="H87" s="145"/>
      <c r="I87" s="145"/>
      <c r="J87" s="145"/>
      <c r="K87" s="145"/>
      <c r="L87" s="145"/>
      <c r="M87" s="145"/>
      <c r="N87" s="145"/>
      <c r="O87" s="145"/>
      <c r="P87" s="145"/>
      <c r="Q87" s="145"/>
      <c r="R87" s="145"/>
      <c r="S87" s="145"/>
    </row>
    <row r="88" spans="2:19" ht="16.95" customHeight="1" x14ac:dyDescent="0.3"/>
    <row r="89" spans="2:19" ht="16.95" customHeight="1" x14ac:dyDescent="0.3">
      <c r="B89" s="19" t="s">
        <v>109</v>
      </c>
    </row>
    <row r="90" spans="2:19" ht="16.95" customHeight="1" x14ac:dyDescent="0.3"/>
    <row r="91" spans="2:19" x14ac:dyDescent="0.3">
      <c r="B91" s="144" t="s">
        <v>181</v>
      </c>
      <c r="C91" s="144"/>
      <c r="D91" s="144"/>
      <c r="E91" s="144"/>
      <c r="F91" s="144"/>
      <c r="G91" s="144"/>
      <c r="H91" s="144"/>
      <c r="I91" s="144"/>
      <c r="J91" s="144"/>
      <c r="K91" s="144"/>
      <c r="L91" s="144"/>
      <c r="M91" s="144"/>
      <c r="N91" s="144"/>
      <c r="O91" s="144"/>
      <c r="P91" s="144"/>
      <c r="Q91" s="144"/>
      <c r="R91" s="144"/>
      <c r="S91" s="144"/>
    </row>
    <row r="92" spans="2:19" ht="16.95" customHeight="1" x14ac:dyDescent="0.3">
      <c r="B92" s="144"/>
      <c r="C92" s="144"/>
      <c r="D92" s="144"/>
      <c r="E92" s="144"/>
      <c r="F92" s="144"/>
      <c r="G92" s="144"/>
      <c r="H92" s="144"/>
      <c r="I92" s="144"/>
      <c r="J92" s="144"/>
      <c r="K92" s="144"/>
      <c r="L92" s="144"/>
      <c r="M92" s="144"/>
      <c r="N92" s="144"/>
      <c r="O92" s="144"/>
      <c r="P92" s="144"/>
      <c r="Q92" s="144"/>
      <c r="R92" s="144"/>
      <c r="S92" s="144"/>
    </row>
    <row r="93" spans="2:19" ht="16.95" customHeight="1" x14ac:dyDescent="0.3">
      <c r="B93" s="144"/>
      <c r="C93" s="144"/>
      <c r="D93" s="144"/>
      <c r="E93" s="144"/>
      <c r="F93" s="144"/>
      <c r="G93" s="144"/>
      <c r="H93" s="144"/>
      <c r="I93" s="144"/>
      <c r="J93" s="144"/>
      <c r="K93" s="144"/>
      <c r="L93" s="144"/>
      <c r="M93" s="144"/>
      <c r="N93" s="144"/>
      <c r="O93" s="144"/>
      <c r="P93" s="144"/>
      <c r="Q93" s="144"/>
      <c r="R93" s="144"/>
      <c r="S93" s="144"/>
    </row>
    <row r="95" spans="2:19" ht="16.649999999999999" customHeight="1" x14ac:dyDescent="0.3">
      <c r="B95" s="19" t="s">
        <v>110</v>
      </c>
    </row>
    <row r="96" spans="2:19" ht="16.649999999999999" customHeight="1" x14ac:dyDescent="0.3">
      <c r="B96" s="19"/>
    </row>
    <row r="97" spans="2:19" ht="16.649999999999999" customHeight="1" x14ac:dyDescent="0.3">
      <c r="B97" s="19"/>
    </row>
    <row r="98" spans="2:19" ht="16.649999999999999" customHeight="1" x14ac:dyDescent="0.3"/>
    <row r="99" spans="2:19" ht="16.649999999999999" customHeight="1" x14ac:dyDescent="0.3">
      <c r="B99" s="118" t="s">
        <v>111</v>
      </c>
      <c r="C99" s="163"/>
      <c r="D99" s="163"/>
      <c r="E99" s="163"/>
      <c r="F99" s="163"/>
      <c r="G99" s="163"/>
      <c r="H99" s="163"/>
      <c r="I99" s="163"/>
      <c r="J99" s="163"/>
      <c r="K99" s="163"/>
      <c r="L99" s="163"/>
      <c r="M99" s="163"/>
      <c r="N99" s="163"/>
      <c r="O99" s="163"/>
      <c r="P99" s="163"/>
      <c r="Q99" s="163"/>
      <c r="R99" s="163"/>
      <c r="S99" s="163"/>
    </row>
    <row r="100" spans="2:19" ht="16.649999999999999" customHeight="1" x14ac:dyDescent="0.3"/>
    <row r="101" spans="2:19" ht="16.649999999999999" customHeight="1" x14ac:dyDescent="0.3"/>
    <row r="102" spans="2:19" ht="16.649999999999999" customHeight="1" x14ac:dyDescent="0.3"/>
    <row r="103" spans="2:19" ht="16.649999999999999" customHeight="1" x14ac:dyDescent="0.3"/>
    <row r="104" spans="2:19" ht="16.649999999999999" customHeight="1" x14ac:dyDescent="0.3"/>
    <row r="105" spans="2:19" ht="16.649999999999999" customHeight="1" x14ac:dyDescent="0.3"/>
    <row r="106" spans="2:19" ht="16.649999999999999" customHeight="1" x14ac:dyDescent="0.3"/>
    <row r="107" spans="2:19" ht="16.649999999999999" customHeight="1" x14ac:dyDescent="0.3">
      <c r="B107" s="97"/>
      <c r="F107" s="97" t="s">
        <v>182</v>
      </c>
      <c r="N107" s="97"/>
    </row>
    <row r="108" spans="2:19" ht="16.649999999999999" customHeight="1" x14ac:dyDescent="0.3"/>
    <row r="109" spans="2:19" ht="16.649999999999999" customHeight="1" x14ac:dyDescent="0.3"/>
    <row r="110" spans="2:19" ht="16.649999999999999" customHeight="1" x14ac:dyDescent="0.3"/>
    <row r="111" spans="2:19" ht="16.649999999999999" customHeight="1" x14ac:dyDescent="0.3"/>
    <row r="112" spans="2:19" ht="16.649999999999999" customHeight="1" x14ac:dyDescent="0.3">
      <c r="O112" s="141" t="str">
        <f>O74</f>
        <v>CERTIFICADO N°:</v>
      </c>
      <c r="P112" s="141"/>
      <c r="Q112" s="141"/>
      <c r="R112" s="141" t="str">
        <f>R74</f>
        <v>JS5788-26</v>
      </c>
      <c r="S112" s="141"/>
    </row>
    <row r="113" spans="2:19" ht="16.649999999999999" customHeight="1" x14ac:dyDescent="0.3">
      <c r="O113" s="91"/>
      <c r="P113" s="91"/>
      <c r="Q113" s="91"/>
      <c r="R113" s="91"/>
      <c r="S113" s="91"/>
    </row>
    <row r="114" spans="2:19" ht="16.649999999999999" customHeight="1" x14ac:dyDescent="0.3"/>
    <row r="115" spans="2:19" ht="16.649999999999999" customHeight="1" x14ac:dyDescent="0.3"/>
    <row r="116" spans="2:19" ht="16.649999999999999" customHeight="1" x14ac:dyDescent="0.3"/>
    <row r="117" spans="2:19" ht="16.649999999999999" customHeight="1" x14ac:dyDescent="0.3"/>
    <row r="118" spans="2:19" ht="16.649999999999999" customHeight="1" x14ac:dyDescent="0.3"/>
    <row r="119" spans="2:19" ht="16.649999999999999" customHeight="1" x14ac:dyDescent="0.3"/>
    <row r="120" spans="2:19" ht="16.649999999999999" customHeight="1" x14ac:dyDescent="0.3"/>
    <row r="121" spans="2:19" ht="16.649999999999999" customHeight="1" x14ac:dyDescent="0.3"/>
    <row r="122" spans="2:19" ht="16.649999999999999" customHeight="1" x14ac:dyDescent="0.3"/>
    <row r="123" spans="2:19" ht="16.649999999999999" customHeight="1" x14ac:dyDescent="0.3">
      <c r="D123" s="97" t="s">
        <v>142</v>
      </c>
      <c r="M123" s="97" t="s">
        <v>141</v>
      </c>
    </row>
    <row r="124" spans="2:19" ht="16.649999999999999" customHeight="1" x14ac:dyDescent="0.3"/>
    <row r="125" spans="2:19" ht="16.649999999999999" customHeight="1" x14ac:dyDescent="0.3"/>
    <row r="126" spans="2:19" ht="16.649999999999999" customHeight="1" x14ac:dyDescent="0.3"/>
    <row r="127" spans="2:19" ht="16.649999999999999" customHeight="1" x14ac:dyDescent="0.3">
      <c r="B127" s="135" t="s">
        <v>112</v>
      </c>
      <c r="C127" s="135"/>
      <c r="D127" s="135"/>
      <c r="E127" s="135"/>
      <c r="F127" s="135"/>
      <c r="G127" s="135"/>
      <c r="H127" s="135"/>
      <c r="I127" s="135"/>
    </row>
    <row r="128" spans="2:19" ht="16.649999999999999" customHeight="1" x14ac:dyDescent="0.3"/>
    <row r="129" spans="2:22" ht="14.4" customHeight="1" x14ac:dyDescent="0.3">
      <c r="B129" s="164" t="s">
        <v>113</v>
      </c>
      <c r="C129" s="164"/>
      <c r="D129" s="164"/>
      <c r="E129" s="164"/>
      <c r="F129" s="164"/>
      <c r="G129" s="164"/>
      <c r="H129" s="164"/>
      <c r="I129" s="164"/>
      <c r="J129" s="164"/>
      <c r="K129" s="164"/>
      <c r="L129" s="164"/>
      <c r="M129" s="164"/>
      <c r="N129" s="164"/>
      <c r="O129" s="164"/>
      <c r="P129" s="164"/>
      <c r="Q129" s="164"/>
      <c r="R129" s="164"/>
      <c r="S129" s="164"/>
    </row>
    <row r="130" spans="2:22" ht="14.4" customHeight="1" x14ac:dyDescent="0.3">
      <c r="B130" s="29"/>
      <c r="C130" s="29"/>
      <c r="D130" s="29"/>
      <c r="E130" s="29"/>
      <c r="F130" s="29"/>
      <c r="G130" s="29"/>
      <c r="H130" s="29"/>
      <c r="I130" s="29"/>
      <c r="J130" s="29"/>
      <c r="K130" s="29"/>
      <c r="L130" s="29"/>
      <c r="M130" s="29"/>
      <c r="N130" s="29"/>
      <c r="O130" s="29"/>
      <c r="P130" s="29"/>
      <c r="Q130" s="29"/>
      <c r="R130" s="29"/>
      <c r="S130" s="29"/>
    </row>
    <row r="131" spans="2:22" ht="14.4" customHeight="1" x14ac:dyDescent="0.3">
      <c r="B131" s="165" t="s">
        <v>114</v>
      </c>
      <c r="C131" s="165"/>
      <c r="D131" s="165"/>
      <c r="E131" s="165"/>
      <c r="F131" s="165"/>
      <c r="G131" s="165"/>
      <c r="H131" s="165"/>
      <c r="I131" s="165"/>
      <c r="J131" s="165"/>
      <c r="K131" s="165"/>
      <c r="L131" s="165"/>
      <c r="M131" s="165"/>
      <c r="N131" s="165"/>
      <c r="O131" s="165"/>
      <c r="P131" s="165"/>
      <c r="Q131" s="165"/>
      <c r="R131" s="165"/>
      <c r="S131" s="165"/>
    </row>
    <row r="132" spans="2:22" ht="14.4" customHeight="1" x14ac:dyDescent="0.3">
      <c r="B132" s="29"/>
      <c r="C132" s="29"/>
      <c r="D132" s="29"/>
      <c r="E132" s="29"/>
      <c r="F132" s="29"/>
      <c r="G132" s="29"/>
      <c r="H132" s="29"/>
      <c r="I132" s="29"/>
      <c r="J132" s="29"/>
      <c r="K132" s="29"/>
      <c r="L132" s="29"/>
      <c r="M132" s="29"/>
      <c r="N132" s="29"/>
      <c r="O132" s="29"/>
      <c r="P132" s="29"/>
      <c r="Q132" s="29"/>
      <c r="R132" s="29"/>
      <c r="S132" s="29"/>
    </row>
    <row r="133" spans="2:22" ht="14.4" customHeight="1" x14ac:dyDescent="0.3">
      <c r="B133" s="144" t="s">
        <v>183</v>
      </c>
      <c r="C133" s="144"/>
      <c r="D133" s="144"/>
      <c r="E133" s="144"/>
      <c r="F133" s="144"/>
      <c r="G133" s="144"/>
      <c r="H133" s="144"/>
      <c r="I133" s="144"/>
      <c r="J133" s="144"/>
      <c r="K133" s="144"/>
      <c r="L133" s="144"/>
      <c r="M133" s="144"/>
      <c r="N133" s="144"/>
      <c r="O133" s="144"/>
      <c r="P133" s="144"/>
      <c r="Q133" s="144"/>
      <c r="R133" s="144"/>
      <c r="S133" s="144"/>
      <c r="V133" s="56"/>
    </row>
    <row r="134" spans="2:22" ht="16.95" customHeight="1" x14ac:dyDescent="0.3">
      <c r="B134" s="144"/>
      <c r="C134" s="144"/>
      <c r="D134" s="144"/>
      <c r="E134" s="144"/>
      <c r="F134" s="144"/>
      <c r="G134" s="144"/>
      <c r="H134" s="144"/>
      <c r="I134" s="144"/>
      <c r="J134" s="144"/>
      <c r="K134" s="144"/>
      <c r="L134" s="144"/>
      <c r="M134" s="144"/>
      <c r="N134" s="144"/>
      <c r="O134" s="144"/>
      <c r="P134" s="144"/>
      <c r="Q134" s="144"/>
      <c r="R134" s="144"/>
      <c r="S134" s="144"/>
    </row>
    <row r="135" spans="2:22" ht="16.95" customHeight="1" x14ac:dyDescent="0.3">
      <c r="B135" s="144"/>
      <c r="C135" s="144"/>
      <c r="D135" s="144"/>
      <c r="E135" s="144"/>
      <c r="F135" s="144"/>
      <c r="G135" s="144"/>
      <c r="H135" s="144"/>
      <c r="I135" s="144"/>
      <c r="J135" s="144"/>
      <c r="K135" s="144"/>
      <c r="L135" s="144"/>
      <c r="M135" s="144"/>
      <c r="N135" s="144"/>
      <c r="O135" s="144"/>
      <c r="P135" s="144"/>
      <c r="Q135" s="144"/>
      <c r="R135" s="144"/>
      <c r="S135" s="144"/>
    </row>
    <row r="136" spans="2:22" ht="16.649999999999999" customHeight="1" x14ac:dyDescent="0.3">
      <c r="B136" s="144"/>
      <c r="C136" s="144"/>
      <c r="D136" s="144"/>
      <c r="E136" s="144"/>
      <c r="F136" s="144"/>
      <c r="G136" s="144"/>
      <c r="H136" s="144"/>
      <c r="I136" s="144"/>
      <c r="J136" s="144"/>
      <c r="K136" s="144"/>
      <c r="L136" s="144"/>
      <c r="M136" s="144"/>
      <c r="N136" s="144"/>
      <c r="O136" s="144"/>
      <c r="P136" s="144"/>
      <c r="Q136" s="144"/>
      <c r="R136" s="144"/>
      <c r="S136" s="144"/>
    </row>
    <row r="137" spans="2:22" x14ac:dyDescent="0.3">
      <c r="B137" s="144"/>
      <c r="C137" s="144"/>
      <c r="D137" s="144"/>
      <c r="E137" s="144"/>
      <c r="F137" s="144"/>
      <c r="G137" s="144"/>
      <c r="H137" s="144"/>
      <c r="I137" s="144"/>
      <c r="J137" s="144"/>
      <c r="K137" s="144"/>
      <c r="L137" s="144"/>
      <c r="M137" s="144"/>
      <c r="N137" s="144"/>
      <c r="O137" s="144"/>
      <c r="P137" s="144"/>
      <c r="Q137" s="144"/>
      <c r="R137" s="144"/>
      <c r="S137" s="144"/>
    </row>
    <row r="138" spans="2:22" x14ac:dyDescent="0.3">
      <c r="B138" s="94"/>
      <c r="C138" s="94"/>
      <c r="D138" s="94"/>
      <c r="E138" s="94"/>
      <c r="F138" s="94"/>
      <c r="G138" s="94"/>
      <c r="H138" s="94"/>
      <c r="I138" s="94"/>
      <c r="J138" s="94"/>
      <c r="K138" s="94"/>
      <c r="L138" s="94"/>
      <c r="M138" s="94"/>
      <c r="N138" s="94"/>
      <c r="O138" s="94"/>
      <c r="P138" s="94"/>
      <c r="Q138" s="94"/>
      <c r="R138" s="94"/>
      <c r="S138" s="94"/>
    </row>
    <row r="139" spans="2:22" x14ac:dyDescent="0.3">
      <c r="B139" s="144" t="s">
        <v>184</v>
      </c>
      <c r="C139" s="144"/>
      <c r="D139" s="144"/>
      <c r="E139" s="144"/>
      <c r="F139" s="144"/>
      <c r="G139" s="144"/>
      <c r="H139" s="144"/>
      <c r="I139" s="144"/>
      <c r="J139" s="144"/>
      <c r="K139" s="144"/>
      <c r="L139" s="144"/>
      <c r="M139" s="144"/>
      <c r="N139" s="144"/>
      <c r="O139" s="144"/>
      <c r="P139" s="144"/>
      <c r="Q139" s="144"/>
      <c r="R139" s="144"/>
      <c r="S139" s="144"/>
    </row>
    <row r="140" spans="2:22" ht="16.95" customHeight="1" x14ac:dyDescent="0.3">
      <c r="B140" s="144"/>
      <c r="C140" s="144"/>
      <c r="D140" s="144"/>
      <c r="E140" s="144"/>
      <c r="F140" s="144"/>
      <c r="G140" s="144"/>
      <c r="H140" s="144"/>
      <c r="I140" s="144"/>
      <c r="J140" s="144"/>
      <c r="K140" s="144"/>
      <c r="L140" s="144"/>
      <c r="M140" s="144"/>
      <c r="N140" s="144"/>
      <c r="O140" s="144"/>
      <c r="P140" s="144"/>
      <c r="Q140" s="144"/>
      <c r="R140" s="144"/>
      <c r="S140" s="144"/>
    </row>
    <row r="141" spans="2:22" ht="16.95" customHeight="1" x14ac:dyDescent="0.3">
      <c r="B141" s="144"/>
      <c r="C141" s="144"/>
      <c r="D141" s="144"/>
      <c r="E141" s="144"/>
      <c r="F141" s="144"/>
      <c r="G141" s="144"/>
      <c r="H141" s="144"/>
      <c r="I141" s="144"/>
      <c r="J141" s="144"/>
      <c r="K141" s="144"/>
      <c r="L141" s="144"/>
      <c r="M141" s="144"/>
      <c r="N141" s="144"/>
      <c r="O141" s="144"/>
      <c r="P141" s="144"/>
      <c r="Q141" s="144"/>
      <c r="R141" s="144"/>
      <c r="S141" s="144"/>
    </row>
    <row r="142" spans="2:22" ht="16.95" customHeight="1" x14ac:dyDescent="0.3"/>
    <row r="143" spans="2:22" ht="10.199999999999999" customHeight="1" x14ac:dyDescent="0.3">
      <c r="B143" s="144" t="s">
        <v>185</v>
      </c>
      <c r="C143" s="144"/>
      <c r="D143" s="144"/>
      <c r="E143" s="144"/>
      <c r="F143" s="144"/>
      <c r="G143" s="144"/>
      <c r="H143" s="144"/>
      <c r="I143" s="144"/>
      <c r="J143" s="144"/>
      <c r="K143" s="144"/>
      <c r="L143" s="144"/>
      <c r="M143" s="144"/>
      <c r="N143" s="144"/>
      <c r="O143" s="144"/>
      <c r="P143" s="144"/>
      <c r="Q143" s="144"/>
      <c r="R143" s="144"/>
      <c r="S143" s="144"/>
    </row>
    <row r="144" spans="2:22" ht="14.4" customHeight="1" x14ac:dyDescent="0.3">
      <c r="B144" s="144"/>
      <c r="C144" s="144"/>
      <c r="D144" s="144"/>
      <c r="E144" s="144"/>
      <c r="F144" s="144"/>
      <c r="G144" s="144"/>
      <c r="H144" s="144"/>
      <c r="I144" s="144"/>
      <c r="J144" s="144"/>
      <c r="K144" s="144"/>
      <c r="L144" s="144"/>
      <c r="M144" s="144"/>
      <c r="N144" s="144"/>
      <c r="O144" s="144"/>
      <c r="P144" s="144"/>
      <c r="Q144" s="144"/>
      <c r="R144" s="144"/>
      <c r="S144" s="144"/>
    </row>
    <row r="145" spans="2:19" x14ac:dyDescent="0.3">
      <c r="B145" s="144"/>
      <c r="C145" s="144"/>
      <c r="D145" s="144"/>
      <c r="E145" s="144"/>
      <c r="F145" s="144"/>
      <c r="G145" s="144"/>
      <c r="H145" s="144"/>
      <c r="I145" s="144"/>
      <c r="J145" s="144"/>
      <c r="K145" s="144"/>
      <c r="L145" s="144"/>
      <c r="M145" s="144"/>
      <c r="N145" s="144"/>
      <c r="O145" s="144"/>
      <c r="P145" s="144"/>
      <c r="Q145" s="144"/>
      <c r="R145" s="144"/>
      <c r="S145" s="144"/>
    </row>
    <row r="147" spans="2:19" x14ac:dyDescent="0.3">
      <c r="B147" s="118" t="s">
        <v>115</v>
      </c>
      <c r="C147" s="118"/>
      <c r="D147" s="118"/>
      <c r="E147" s="118"/>
      <c r="F147" s="118"/>
      <c r="G147" s="118"/>
      <c r="H147" s="118"/>
      <c r="I147" s="118"/>
      <c r="J147" s="118"/>
      <c r="K147" s="118"/>
      <c r="L147" s="118"/>
      <c r="M147" s="118"/>
      <c r="N147" s="118"/>
      <c r="O147" s="118"/>
      <c r="P147" s="118"/>
      <c r="Q147" s="118"/>
      <c r="R147" s="118"/>
      <c r="S147" s="118"/>
    </row>
    <row r="148" spans="2:19" ht="14.4" customHeight="1" x14ac:dyDescent="0.3">
      <c r="B148" s="118"/>
      <c r="C148" s="118"/>
      <c r="D148" s="118"/>
      <c r="E148" s="118"/>
      <c r="F148" s="118"/>
      <c r="G148" s="118"/>
      <c r="H148" s="118"/>
      <c r="I148" s="118"/>
      <c r="J148" s="118"/>
      <c r="K148" s="118"/>
      <c r="L148" s="118"/>
      <c r="M148" s="118"/>
      <c r="N148" s="118"/>
      <c r="O148" s="118"/>
      <c r="P148" s="118"/>
      <c r="Q148" s="118"/>
      <c r="R148" s="118"/>
      <c r="S148" s="118"/>
    </row>
    <row r="149" spans="2:19" ht="14.4" customHeight="1" x14ac:dyDescent="0.3">
      <c r="B149" s="89"/>
      <c r="C149" s="89"/>
      <c r="D149" s="89"/>
      <c r="E149" s="89"/>
      <c r="F149" s="89"/>
      <c r="G149" s="89"/>
      <c r="H149" s="89"/>
      <c r="I149" s="89"/>
      <c r="J149" s="89"/>
      <c r="K149" s="89"/>
      <c r="L149" s="89"/>
      <c r="M149" s="89"/>
      <c r="N149" s="89"/>
      <c r="O149" s="89"/>
      <c r="P149" s="89"/>
      <c r="Q149" s="89"/>
      <c r="R149" s="89"/>
      <c r="S149" s="89"/>
    </row>
    <row r="150" spans="2:19" ht="14.4" customHeight="1" x14ac:dyDescent="0.3">
      <c r="B150" s="89"/>
      <c r="C150" s="89"/>
      <c r="D150" s="89"/>
      <c r="E150" s="89"/>
      <c r="F150" s="89"/>
      <c r="G150" s="89"/>
      <c r="H150" s="89"/>
      <c r="I150" s="89"/>
      <c r="J150" s="89"/>
      <c r="K150" s="89"/>
      <c r="L150" s="89"/>
      <c r="M150" s="89"/>
      <c r="N150" s="89"/>
      <c r="O150" s="89"/>
      <c r="P150" s="89"/>
      <c r="Q150" s="89"/>
      <c r="R150" s="89"/>
      <c r="S150" s="89"/>
    </row>
    <row r="151" spans="2:19" ht="14.4" customHeight="1" x14ac:dyDescent="0.3">
      <c r="B151" s="89"/>
      <c r="C151" s="89"/>
      <c r="D151" s="89"/>
      <c r="E151" s="89"/>
      <c r="F151" s="89"/>
      <c r="G151" s="89"/>
      <c r="H151" s="89"/>
      <c r="I151" s="89"/>
      <c r="J151" s="89"/>
      <c r="K151" s="89"/>
      <c r="L151" s="89"/>
      <c r="M151" s="89"/>
      <c r="N151" s="89"/>
      <c r="O151" s="89"/>
      <c r="P151" s="89"/>
      <c r="Q151" s="89"/>
      <c r="R151" s="89"/>
      <c r="S151" s="89"/>
    </row>
    <row r="152" spans="2:19" ht="14.4" customHeight="1" x14ac:dyDescent="0.3">
      <c r="B152" s="89"/>
      <c r="C152" s="89"/>
      <c r="D152" s="89"/>
      <c r="E152" s="89"/>
      <c r="F152" s="89"/>
      <c r="G152" s="89"/>
      <c r="H152" s="89"/>
      <c r="I152" s="89"/>
      <c r="J152" s="89"/>
      <c r="K152" s="89"/>
      <c r="L152" s="89"/>
      <c r="M152" s="89"/>
      <c r="N152" s="89"/>
      <c r="O152" s="141" t="str">
        <f>O112</f>
        <v>CERTIFICADO N°:</v>
      </c>
      <c r="P152" s="141"/>
      <c r="Q152" s="141"/>
      <c r="R152" s="141" t="str">
        <f>R112</f>
        <v>JS5788-26</v>
      </c>
      <c r="S152" s="141"/>
    </row>
    <row r="153" spans="2:19" ht="14.4" customHeight="1" x14ac:dyDescent="0.3"/>
    <row r="154" spans="2:19" ht="14.4" customHeight="1" x14ac:dyDescent="0.3"/>
    <row r="155" spans="2:19" ht="14.4" customHeight="1" x14ac:dyDescent="0.3">
      <c r="B155" s="19" t="s">
        <v>116</v>
      </c>
    </row>
    <row r="156" spans="2:19" ht="14.4" customHeight="1" x14ac:dyDescent="0.3"/>
    <row r="157" spans="2:19" ht="14.4" customHeight="1" x14ac:dyDescent="0.3">
      <c r="B157" s="118" t="s">
        <v>117</v>
      </c>
      <c r="C157" s="118"/>
      <c r="D157" s="118"/>
      <c r="E157" s="118"/>
      <c r="F157" s="118"/>
      <c r="G157" s="118"/>
      <c r="H157" s="118"/>
      <c r="I157" s="118"/>
      <c r="J157" s="118"/>
      <c r="K157" s="118"/>
      <c r="L157" s="118"/>
      <c r="M157" s="118"/>
      <c r="N157" s="118"/>
      <c r="O157" s="118"/>
      <c r="P157" s="118"/>
      <c r="Q157" s="118"/>
      <c r="R157" s="118"/>
      <c r="S157" s="118"/>
    </row>
    <row r="158" spans="2:19" ht="14.4" customHeight="1" x14ac:dyDescent="0.3">
      <c r="B158" s="118"/>
      <c r="C158" s="118"/>
      <c r="D158" s="118"/>
      <c r="E158" s="118"/>
      <c r="F158" s="118"/>
      <c r="G158" s="118"/>
      <c r="H158" s="118"/>
      <c r="I158" s="118"/>
      <c r="J158" s="118"/>
      <c r="K158" s="118"/>
      <c r="L158" s="118"/>
      <c r="M158" s="118"/>
      <c r="N158" s="118"/>
      <c r="O158" s="118"/>
      <c r="P158" s="118"/>
      <c r="Q158" s="118"/>
      <c r="R158" s="118"/>
      <c r="S158" s="118"/>
    </row>
    <row r="159" spans="2:19" ht="14.4" customHeight="1" x14ac:dyDescent="0.3">
      <c r="B159" s="118"/>
      <c r="C159" s="118"/>
      <c r="D159" s="118"/>
      <c r="E159" s="118"/>
      <c r="F159" s="118"/>
      <c r="G159" s="118"/>
      <c r="H159" s="118"/>
      <c r="I159" s="118"/>
      <c r="J159" s="118"/>
      <c r="K159" s="118"/>
      <c r="L159" s="118"/>
      <c r="M159" s="118"/>
      <c r="N159" s="118"/>
      <c r="O159" s="118"/>
      <c r="P159" s="118"/>
      <c r="Q159" s="118"/>
      <c r="R159" s="118"/>
      <c r="S159" s="118"/>
    </row>
    <row r="160" spans="2:19" ht="12.6" customHeight="1" x14ac:dyDescent="0.3"/>
    <row r="161" spans="2:19" ht="9.6" customHeight="1" x14ac:dyDescent="0.3"/>
    <row r="162" spans="2:19" ht="14.4" customHeight="1" x14ac:dyDescent="0.3">
      <c r="B162" s="145" t="s">
        <v>118</v>
      </c>
      <c r="C162" s="145"/>
      <c r="D162" s="145"/>
      <c r="E162" s="145"/>
      <c r="F162" s="145"/>
      <c r="G162" s="145"/>
      <c r="H162" s="145"/>
      <c r="I162" s="145"/>
      <c r="J162" s="145"/>
      <c r="K162" s="145"/>
      <c r="L162" s="145"/>
      <c r="M162" s="145"/>
      <c r="N162" s="145"/>
      <c r="O162" s="145"/>
      <c r="P162" s="145"/>
      <c r="Q162" s="145"/>
      <c r="R162" s="145"/>
      <c r="S162" s="145"/>
    </row>
    <row r="163" spans="2:19" ht="14.4" customHeight="1" x14ac:dyDescent="0.3"/>
    <row r="164" spans="2:19" ht="14.4" customHeight="1" x14ac:dyDescent="0.3">
      <c r="B164" s="19" t="s">
        <v>119</v>
      </c>
    </row>
    <row r="165" spans="2:19" ht="16.2" customHeight="1" x14ac:dyDescent="0.3"/>
    <row r="166" spans="2:19" ht="36.6" customHeight="1" x14ac:dyDescent="0.3">
      <c r="D166" s="150" t="s">
        <v>122</v>
      </c>
      <c r="E166" s="151"/>
      <c r="F166" s="147" t="s">
        <v>120</v>
      </c>
      <c r="G166" s="147"/>
      <c r="H166" s="147" t="s">
        <v>187</v>
      </c>
      <c r="I166" s="147"/>
      <c r="J166" s="147" t="s">
        <v>121</v>
      </c>
      <c r="K166" s="147"/>
      <c r="L166" s="147" t="s">
        <v>188</v>
      </c>
      <c r="M166" s="147"/>
      <c r="N166" s="147"/>
      <c r="O166" s="95" t="s">
        <v>10</v>
      </c>
    </row>
    <row r="167" spans="2:19" x14ac:dyDescent="0.3">
      <c r="D167" s="125">
        <v>1</v>
      </c>
      <c r="E167" s="126"/>
      <c r="F167" s="142">
        <f ca="1">RAND()*1.5+4</f>
        <v>5.4525711411047242</v>
      </c>
      <c r="G167" s="143"/>
      <c r="H167" s="142">
        <f ca="1">F167 + (RAND()-0.5)*0.8</f>
        <v>5.3850941991884538</v>
      </c>
      <c r="I167" s="143"/>
      <c r="J167" s="142">
        <f ca="1">H167-F167</f>
        <v>-6.7476941916270405E-2</v>
      </c>
      <c r="K167" s="143"/>
      <c r="L167" s="148">
        <v>0.64</v>
      </c>
      <c r="M167" s="149"/>
      <c r="N167" s="126"/>
      <c r="O167" s="96">
        <v>2</v>
      </c>
    </row>
    <row r="168" spans="2:19" x14ac:dyDescent="0.3">
      <c r="D168" s="125">
        <v>2</v>
      </c>
      <c r="E168" s="126"/>
      <c r="F168" s="142">
        <f ca="1" xml:space="preserve"> H167 + (F167 - H167) * (0.8 + RAND() * 0.4)</f>
        <v>5.4564533093995156</v>
      </c>
      <c r="G168" s="143"/>
      <c r="H168" s="142">
        <f ca="1" xml:space="preserve"> H$167 + (RAND() * 0.6 - 0.3)</f>
        <v>5.1384150099724923</v>
      </c>
      <c r="I168" s="143"/>
      <c r="J168" s="142">
        <f t="shared" ref="J168:J176" ca="1" si="0">H168-F168</f>
        <v>-0.31803829942702322</v>
      </c>
      <c r="K168" s="143"/>
      <c r="L168" s="148">
        <v>0.64</v>
      </c>
      <c r="M168" s="149"/>
      <c r="N168" s="126"/>
      <c r="O168" s="96">
        <v>2</v>
      </c>
    </row>
    <row r="169" spans="2:19" ht="16.95" customHeight="1" x14ac:dyDescent="0.3">
      <c r="D169" s="125">
        <v>3</v>
      </c>
      <c r="E169" s="126"/>
      <c r="F169" s="142">
        <f t="shared" ref="F169:F176" ca="1" si="1" xml:space="preserve"> H168 + (F168 - H168) * (0.8 + RAND() * 0.4)</f>
        <v>5.4118142534303288</v>
      </c>
      <c r="G169" s="143"/>
      <c r="H169" s="142">
        <f t="shared" ref="H169:H176" ca="1" si="2" xml:space="preserve"> H$167 + (RAND() * 0.6 - 0.3)</f>
        <v>5.4496139854191927</v>
      </c>
      <c r="I169" s="143"/>
      <c r="J169" s="142">
        <f t="shared" ca="1" si="0"/>
        <v>3.7799731988863883E-2</v>
      </c>
      <c r="K169" s="143"/>
      <c r="L169" s="148">
        <v>0.64</v>
      </c>
      <c r="M169" s="149"/>
      <c r="N169" s="126"/>
      <c r="O169" s="96">
        <v>2</v>
      </c>
    </row>
    <row r="170" spans="2:19" ht="14.4" customHeight="1" x14ac:dyDescent="0.3">
      <c r="D170" s="125">
        <v>4</v>
      </c>
      <c r="E170" s="126"/>
      <c r="F170" s="142">
        <f t="shared" ca="1" si="1"/>
        <v>5.4163628035219702</v>
      </c>
      <c r="G170" s="143"/>
      <c r="H170" s="142">
        <f t="shared" ca="1" si="2"/>
        <v>5.6533383271036781</v>
      </c>
      <c r="I170" s="143"/>
      <c r="J170" s="142">
        <f t="shared" ca="1" si="0"/>
        <v>0.23697552358170793</v>
      </c>
      <c r="K170" s="143"/>
      <c r="L170" s="148">
        <v>0.64</v>
      </c>
      <c r="M170" s="149"/>
      <c r="N170" s="126"/>
      <c r="O170" s="96">
        <v>2</v>
      </c>
    </row>
    <row r="171" spans="2:19" ht="14.4" customHeight="1" x14ac:dyDescent="0.3">
      <c r="D171" s="125">
        <v>5</v>
      </c>
      <c r="E171" s="126"/>
      <c r="F171" s="142">
        <f t="shared" ca="1" si="1"/>
        <v>5.4078996019547212</v>
      </c>
      <c r="G171" s="143"/>
      <c r="H171" s="142">
        <f t="shared" ca="1" si="2"/>
        <v>5.5517768609412492</v>
      </c>
      <c r="I171" s="143"/>
      <c r="J171" s="142">
        <f t="shared" ca="1" si="0"/>
        <v>0.14387725898652803</v>
      </c>
      <c r="K171" s="143"/>
      <c r="L171" s="148">
        <v>0.64</v>
      </c>
      <c r="M171" s="149"/>
      <c r="N171" s="126"/>
      <c r="O171" s="96">
        <v>2</v>
      </c>
    </row>
    <row r="172" spans="2:19" ht="14.4" customHeight="1" x14ac:dyDescent="0.3">
      <c r="D172" s="125">
        <v>6</v>
      </c>
      <c r="E172" s="126"/>
      <c r="F172" s="142">
        <f t="shared" ca="1" si="1"/>
        <v>5.4256559559318465</v>
      </c>
      <c r="G172" s="143"/>
      <c r="H172" s="142">
        <f t="shared" ca="1" si="2"/>
        <v>5.5247158802318799</v>
      </c>
      <c r="I172" s="143"/>
      <c r="J172" s="142">
        <f t="shared" ca="1" si="0"/>
        <v>9.9059924300033408E-2</v>
      </c>
      <c r="K172" s="143"/>
      <c r="L172" s="148">
        <v>0.64</v>
      </c>
      <c r="M172" s="149"/>
      <c r="N172" s="126"/>
      <c r="O172" s="96">
        <v>2</v>
      </c>
    </row>
    <row r="173" spans="2:19" ht="14.4" customHeight="1" x14ac:dyDescent="0.3">
      <c r="D173" s="125">
        <v>7</v>
      </c>
      <c r="E173" s="126"/>
      <c r="F173" s="142">
        <f t="shared" ca="1" si="1"/>
        <v>5.4443876373176794</v>
      </c>
      <c r="G173" s="143"/>
      <c r="H173" s="142">
        <f t="shared" ca="1" si="2"/>
        <v>5.5391217213477315</v>
      </c>
      <c r="I173" s="143"/>
      <c r="J173" s="142">
        <f t="shared" ca="1" si="0"/>
        <v>9.4734084030052124E-2</v>
      </c>
      <c r="K173" s="143"/>
      <c r="L173" s="148">
        <v>0.64</v>
      </c>
      <c r="M173" s="149"/>
      <c r="N173" s="126"/>
      <c r="O173" s="96">
        <v>2</v>
      </c>
    </row>
    <row r="174" spans="2:19" ht="14.4" customHeight="1" x14ac:dyDescent="0.3">
      <c r="D174" s="125">
        <v>8</v>
      </c>
      <c r="E174" s="126"/>
      <c r="F174" s="142">
        <f t="shared" ca="1" si="1"/>
        <v>5.4592425399262821</v>
      </c>
      <c r="G174" s="143"/>
      <c r="H174" s="142">
        <f t="shared" ca="1" si="2"/>
        <v>5.5474431195960481</v>
      </c>
      <c r="I174" s="143"/>
      <c r="J174" s="142">
        <f t="shared" ca="1" si="0"/>
        <v>8.8200579669766022E-2</v>
      </c>
      <c r="K174" s="143"/>
      <c r="L174" s="148">
        <v>0.64</v>
      </c>
      <c r="M174" s="149"/>
      <c r="N174" s="126"/>
      <c r="O174" s="96">
        <v>2</v>
      </c>
    </row>
    <row r="175" spans="2:19" ht="14.4" customHeight="1" x14ac:dyDescent="0.3">
      <c r="D175" s="125">
        <v>9</v>
      </c>
      <c r="E175" s="126"/>
      <c r="F175" s="142">
        <f t="shared" ca="1" si="1"/>
        <v>5.4523617768168648</v>
      </c>
      <c r="G175" s="143"/>
      <c r="H175" s="142">
        <f t="shared" ca="1" si="2"/>
        <v>5.4762885445301883</v>
      </c>
      <c r="I175" s="143"/>
      <c r="J175" s="142">
        <f t="shared" ca="1" si="0"/>
        <v>2.3926767713323471E-2</v>
      </c>
      <c r="K175" s="143"/>
      <c r="L175" s="148">
        <v>0.64</v>
      </c>
      <c r="M175" s="149"/>
      <c r="N175" s="126"/>
      <c r="O175" s="96">
        <v>2</v>
      </c>
    </row>
    <row r="176" spans="2:19" ht="14.4" customHeight="1" x14ac:dyDescent="0.3">
      <c r="D176" s="125">
        <v>10</v>
      </c>
      <c r="E176" s="126"/>
      <c r="F176" s="142">
        <f t="shared" ca="1" si="1"/>
        <v>5.4548334536543814</v>
      </c>
      <c r="G176" s="143"/>
      <c r="H176" s="142">
        <f t="shared" ca="1" si="2"/>
        <v>5.5504203159641587</v>
      </c>
      <c r="I176" s="143"/>
      <c r="J176" s="142">
        <f t="shared" ca="1" si="0"/>
        <v>9.558686230977731E-2</v>
      </c>
      <c r="K176" s="143"/>
      <c r="L176" s="148">
        <v>0.64</v>
      </c>
      <c r="M176" s="149"/>
      <c r="N176" s="126"/>
      <c r="O176" s="96">
        <v>2</v>
      </c>
    </row>
    <row r="177" spans="2:19" ht="14.4" customHeight="1" x14ac:dyDescent="0.3"/>
    <row r="178" spans="2:19" ht="24" customHeight="1" x14ac:dyDescent="0.3">
      <c r="F178" s="130" t="s">
        <v>189</v>
      </c>
      <c r="G178" s="130"/>
      <c r="H178" s="130"/>
      <c r="I178" s="147" t="s">
        <v>190</v>
      </c>
      <c r="J178" s="147"/>
      <c r="K178" s="147"/>
      <c r="L178" s="130" t="s">
        <v>191</v>
      </c>
      <c r="M178" s="130"/>
      <c r="N178" s="130"/>
    </row>
    <row r="179" spans="2:19" ht="27" customHeight="1" x14ac:dyDescent="0.3">
      <c r="F179" s="140">
        <f ca="1">AVERAGE(F167:G176)</f>
        <v>5.4381582473058314</v>
      </c>
      <c r="G179" s="127"/>
      <c r="H179" s="127"/>
      <c r="I179" s="140">
        <f ca="1">AVERAGE(H167:I176)</f>
        <v>5.481622796429507</v>
      </c>
      <c r="J179" s="127"/>
      <c r="K179" s="127"/>
      <c r="L179" s="140">
        <f ca="1">I179-F179</f>
        <v>4.3464549123675589E-2</v>
      </c>
      <c r="M179" s="127"/>
      <c r="N179" s="127"/>
    </row>
    <row r="180" spans="2:19" ht="27" customHeight="1" x14ac:dyDescent="0.3">
      <c r="F180" s="113"/>
      <c r="G180" s="114"/>
      <c r="H180" s="114"/>
      <c r="I180" s="113"/>
      <c r="J180" s="114"/>
      <c r="K180" s="114"/>
      <c r="L180" s="113"/>
      <c r="M180" s="114"/>
      <c r="N180" s="114"/>
    </row>
    <row r="181" spans="2:19" ht="27" customHeight="1" x14ac:dyDescent="0.3">
      <c r="F181" s="113"/>
      <c r="G181" s="114"/>
      <c r="H181" s="114"/>
      <c r="I181" s="113"/>
      <c r="J181" s="114"/>
      <c r="K181" s="114"/>
      <c r="L181" s="113"/>
      <c r="M181" s="114"/>
      <c r="N181" s="114"/>
    </row>
    <row r="182" spans="2:19" ht="27" customHeight="1" x14ac:dyDescent="0.3">
      <c r="F182" s="113"/>
      <c r="G182" s="114"/>
      <c r="H182" s="114"/>
      <c r="I182" s="113"/>
      <c r="J182" s="114"/>
      <c r="K182" s="114"/>
      <c r="L182" s="113"/>
      <c r="M182" s="114"/>
      <c r="N182" s="114"/>
    </row>
    <row r="183" spans="2:19" ht="27" customHeight="1" x14ac:dyDescent="0.3">
      <c r="F183" s="113"/>
      <c r="G183" s="114"/>
      <c r="H183" s="114"/>
      <c r="I183" s="113"/>
      <c r="J183" s="114"/>
      <c r="K183" s="114"/>
      <c r="L183" s="113"/>
      <c r="M183" s="114"/>
      <c r="N183" s="114"/>
    </row>
    <row r="184" spans="2:19" ht="27" customHeight="1" x14ac:dyDescent="0.3">
      <c r="F184" s="113"/>
      <c r="G184" s="114"/>
      <c r="H184" s="114"/>
      <c r="I184" s="113"/>
      <c r="J184" s="114"/>
      <c r="K184" s="114"/>
      <c r="L184" s="113"/>
      <c r="M184" s="114"/>
      <c r="N184" s="114"/>
    </row>
    <row r="185" spans="2:19" x14ac:dyDescent="0.3">
      <c r="F185" s="113"/>
      <c r="G185" s="114"/>
      <c r="H185" s="114"/>
      <c r="I185" s="113"/>
      <c r="J185" s="114"/>
      <c r="K185" s="114"/>
      <c r="L185" s="113"/>
      <c r="M185" s="114"/>
      <c r="N185" s="114"/>
    </row>
    <row r="186" spans="2:19" x14ac:dyDescent="0.3">
      <c r="F186" s="113"/>
      <c r="G186" s="114"/>
      <c r="H186" s="114"/>
      <c r="I186" s="113"/>
      <c r="J186" s="114"/>
      <c r="K186" s="114"/>
      <c r="L186" s="113"/>
      <c r="M186" s="114"/>
      <c r="N186" s="114"/>
    </row>
    <row r="187" spans="2:19" x14ac:dyDescent="0.3">
      <c r="F187" s="113"/>
      <c r="G187" s="114"/>
      <c r="H187" s="114"/>
      <c r="I187" s="113"/>
      <c r="J187" s="114"/>
      <c r="K187" s="114"/>
      <c r="L187" s="113"/>
      <c r="M187" s="114"/>
      <c r="N187" s="114"/>
    </row>
    <row r="188" spans="2:19" ht="14.4" customHeight="1" x14ac:dyDescent="0.3">
      <c r="O188" s="141" t="str">
        <f>O152</f>
        <v>CERTIFICADO N°:</v>
      </c>
      <c r="P188" s="141"/>
      <c r="Q188" s="141"/>
      <c r="R188" s="141" t="str">
        <f>R152</f>
        <v>JS5788-26</v>
      </c>
      <c r="S188" s="141"/>
    </row>
    <row r="189" spans="2:19" ht="14.4" customHeight="1" x14ac:dyDescent="0.3">
      <c r="O189" s="91"/>
      <c r="P189" s="91"/>
      <c r="Q189" s="91"/>
      <c r="R189" s="91"/>
      <c r="S189" s="91"/>
    </row>
    <row r="190" spans="2:19" ht="14.4" customHeight="1" x14ac:dyDescent="0.3"/>
    <row r="191" spans="2:19" ht="14.4" customHeight="1" x14ac:dyDescent="0.3">
      <c r="B191" s="19" t="s">
        <v>173</v>
      </c>
    </row>
    <row r="192" spans="2:19" ht="14.4" customHeight="1" x14ac:dyDescent="0.3"/>
    <row r="193" spans="2:19" ht="14.4" customHeight="1" x14ac:dyDescent="0.3">
      <c r="B193" s="118" t="s">
        <v>186</v>
      </c>
      <c r="C193" s="118"/>
      <c r="D193" s="118"/>
      <c r="E193" s="118"/>
      <c r="F193" s="118"/>
      <c r="G193" s="118"/>
      <c r="H193" s="118"/>
      <c r="I193" s="118"/>
      <c r="J193" s="118"/>
      <c r="K193" s="118"/>
      <c r="L193" s="118"/>
      <c r="M193" s="118"/>
      <c r="N193" s="118"/>
      <c r="O193" s="118"/>
      <c r="P193" s="118"/>
      <c r="Q193" s="118"/>
      <c r="R193" s="118"/>
      <c r="S193" s="118"/>
    </row>
    <row r="194" spans="2:19" ht="14.4" customHeight="1" x14ac:dyDescent="0.3">
      <c r="B194" s="118"/>
      <c r="C194" s="118"/>
      <c r="D194" s="118"/>
      <c r="E194" s="118"/>
      <c r="F194" s="118"/>
      <c r="G194" s="118"/>
      <c r="H194" s="118"/>
      <c r="I194" s="118"/>
      <c r="J194" s="118"/>
      <c r="K194" s="118"/>
      <c r="L194" s="118"/>
      <c r="M194" s="118"/>
      <c r="N194" s="118"/>
      <c r="O194" s="118"/>
      <c r="P194" s="118"/>
      <c r="Q194" s="118"/>
      <c r="R194" s="118"/>
      <c r="S194" s="118"/>
    </row>
    <row r="195" spans="2:19" ht="14.4" customHeight="1" x14ac:dyDescent="0.3">
      <c r="B195" s="89"/>
      <c r="C195" s="89"/>
      <c r="D195" s="89"/>
      <c r="E195" s="89"/>
      <c r="F195" s="89"/>
      <c r="G195" s="89"/>
      <c r="H195" s="89"/>
      <c r="I195" s="89"/>
      <c r="J195" s="89"/>
      <c r="K195" s="89"/>
      <c r="L195" s="89"/>
      <c r="M195" s="89"/>
      <c r="N195" s="89"/>
      <c r="O195" s="89"/>
      <c r="P195" s="89"/>
      <c r="Q195" s="89"/>
      <c r="R195" s="89"/>
      <c r="S195" s="89"/>
    </row>
    <row r="196" spans="2:19" ht="14.4" customHeight="1" x14ac:dyDescent="0.3"/>
    <row r="197" spans="2:19" ht="25.95" customHeight="1" x14ac:dyDescent="0.3">
      <c r="E197" s="130" t="s">
        <v>123</v>
      </c>
      <c r="F197" s="130"/>
      <c r="G197" s="130" t="s">
        <v>124</v>
      </c>
      <c r="H197" s="130"/>
      <c r="I197" s="130" t="s">
        <v>125</v>
      </c>
      <c r="J197" s="130"/>
      <c r="K197" s="147" t="s">
        <v>126</v>
      </c>
      <c r="L197" s="147"/>
      <c r="M197" s="147"/>
      <c r="N197" s="147" t="s">
        <v>192</v>
      </c>
      <c r="O197" s="147"/>
      <c r="P197" s="147"/>
    </row>
    <row r="198" spans="2:19" x14ac:dyDescent="0.3">
      <c r="E198" s="127">
        <v>2</v>
      </c>
      <c r="F198" s="127"/>
      <c r="G198" s="136">
        <f>INFORMACIÓN!H3</f>
        <v>46087</v>
      </c>
      <c r="H198" s="127"/>
      <c r="I198" s="137">
        <f ca="1">TIME(7,0,0)+RAND()*(TIME(14,0,0)-TIME(7,0,0))</f>
        <v>0.34553313093842608</v>
      </c>
      <c r="J198" s="137"/>
      <c r="K198" s="131">
        <f ca="1">24.7 + RAND()</f>
        <v>24.988514732349788</v>
      </c>
      <c r="L198" s="138"/>
      <c r="M198" s="139"/>
      <c r="N198" s="140">
        <f ca="1">ROUND(RAND()*4+19, 1)</f>
        <v>22.1</v>
      </c>
      <c r="O198" s="140"/>
      <c r="P198" s="140"/>
    </row>
    <row r="199" spans="2:19" ht="14.4" customHeight="1" x14ac:dyDescent="0.3">
      <c r="E199" s="127">
        <v>2</v>
      </c>
      <c r="F199" s="127"/>
      <c r="G199" s="136">
        <f>G198</f>
        <v>46087</v>
      </c>
      <c r="H199" s="127"/>
      <c r="I199" s="137">
        <f ca="1">I198 + 5/1440</f>
        <v>0.34900535316064829</v>
      </c>
      <c r="J199" s="137"/>
      <c r="K199" s="131">
        <f t="shared" ref="K199:K221" ca="1" si="3">24.7 + RAND()</f>
        <v>24.906195850017358</v>
      </c>
      <c r="L199" s="138"/>
      <c r="M199" s="139"/>
      <c r="N199" s="140">
        <f ca="1">ROUND(RAND()*0.5 + 7.5,1)</f>
        <v>7.7</v>
      </c>
      <c r="O199" s="140"/>
      <c r="P199" s="140"/>
      <c r="Q199" s="115">
        <f ca="1">ROUND(RAND()*1 + 3,1)</f>
        <v>3.9</v>
      </c>
    </row>
    <row r="200" spans="2:19" ht="14.4" customHeight="1" x14ac:dyDescent="0.3">
      <c r="E200" s="127">
        <v>2</v>
      </c>
      <c r="F200" s="127"/>
      <c r="G200" s="136">
        <f t="shared" ref="G200:G221" si="4">G199</f>
        <v>46087</v>
      </c>
      <c r="H200" s="127"/>
      <c r="I200" s="137">
        <f t="shared" ref="I200:I221" ca="1" si="5">I199 + 5/1440</f>
        <v>0.3524775753828705</v>
      </c>
      <c r="J200" s="137"/>
      <c r="K200" s="131">
        <f t="shared" ca="1" si="3"/>
        <v>24.837829805978828</v>
      </c>
      <c r="L200" s="138"/>
      <c r="M200" s="139"/>
      <c r="N200" s="140">
        <f ca="1">ROUND(N199 - ((N$199 - $Q$199)/12) * (1 + RAND()*0.2 - 0.1),1)</f>
        <v>7.4</v>
      </c>
      <c r="O200" s="140"/>
      <c r="P200" s="140"/>
    </row>
    <row r="201" spans="2:19" ht="14.4" customHeight="1" x14ac:dyDescent="0.3">
      <c r="E201" s="127">
        <v>2</v>
      </c>
      <c r="F201" s="127"/>
      <c r="G201" s="136">
        <f t="shared" si="4"/>
        <v>46087</v>
      </c>
      <c r="H201" s="127"/>
      <c r="I201" s="137">
        <f t="shared" ca="1" si="5"/>
        <v>0.35594979760509271</v>
      </c>
      <c r="J201" s="137"/>
      <c r="K201" s="131">
        <f t="shared" ca="1" si="3"/>
        <v>24.91007896015682</v>
      </c>
      <c r="L201" s="138"/>
      <c r="M201" s="139"/>
      <c r="N201" s="140">
        <f ca="1">ROUND(N200 - ((N$199 - $Q$199)/12) * (1 + RAND()*0.2 - 0.1),1)</f>
        <v>7.1</v>
      </c>
      <c r="O201" s="140"/>
      <c r="P201" s="140"/>
    </row>
    <row r="202" spans="2:19" ht="14.4" customHeight="1" x14ac:dyDescent="0.3">
      <c r="E202" s="127">
        <v>2</v>
      </c>
      <c r="F202" s="127"/>
      <c r="G202" s="136">
        <f t="shared" si="4"/>
        <v>46087</v>
      </c>
      <c r="H202" s="127"/>
      <c r="I202" s="137">
        <f t="shared" ca="1" si="5"/>
        <v>0.35942201982731492</v>
      </c>
      <c r="J202" s="137"/>
      <c r="K202" s="131">
        <f t="shared" ca="1" si="3"/>
        <v>24.953052920958243</v>
      </c>
      <c r="L202" s="138"/>
      <c r="M202" s="139"/>
      <c r="N202" s="140">
        <f t="shared" ref="N202:N210" ca="1" si="6">ROUND(N201 - ((N$199 - $Q$199)/12) * (1 + RAND()*0.2 - 0.1),1)</f>
        <v>6.8</v>
      </c>
      <c r="O202" s="140"/>
      <c r="P202" s="140"/>
    </row>
    <row r="203" spans="2:19" ht="14.4" customHeight="1" x14ac:dyDescent="0.3">
      <c r="E203" s="127">
        <v>2</v>
      </c>
      <c r="F203" s="127"/>
      <c r="G203" s="136">
        <f t="shared" si="4"/>
        <v>46087</v>
      </c>
      <c r="H203" s="127"/>
      <c r="I203" s="137">
        <f t="shared" ca="1" si="5"/>
        <v>0.36289424204953713</v>
      </c>
      <c r="J203" s="137"/>
      <c r="K203" s="131">
        <f t="shared" ca="1" si="3"/>
        <v>25.021437466704523</v>
      </c>
      <c r="L203" s="138"/>
      <c r="M203" s="139"/>
      <c r="N203" s="140">
        <f t="shared" ca="1" si="6"/>
        <v>6.5</v>
      </c>
      <c r="O203" s="140"/>
      <c r="P203" s="140"/>
    </row>
    <row r="204" spans="2:19" ht="14.4" customHeight="1" x14ac:dyDescent="0.3">
      <c r="E204" s="127">
        <v>2</v>
      </c>
      <c r="F204" s="127"/>
      <c r="G204" s="136">
        <f t="shared" si="4"/>
        <v>46087</v>
      </c>
      <c r="H204" s="127"/>
      <c r="I204" s="137">
        <f t="shared" ca="1" si="5"/>
        <v>0.36636646427175934</v>
      </c>
      <c r="J204" s="137"/>
      <c r="K204" s="131">
        <f t="shared" ca="1" si="3"/>
        <v>25.531085388967448</v>
      </c>
      <c r="L204" s="138"/>
      <c r="M204" s="139"/>
      <c r="N204" s="140">
        <f t="shared" ca="1" si="6"/>
        <v>6.2</v>
      </c>
      <c r="O204" s="140"/>
      <c r="P204" s="140"/>
    </row>
    <row r="205" spans="2:19" ht="14.4" customHeight="1" x14ac:dyDescent="0.3">
      <c r="E205" s="127">
        <v>2</v>
      </c>
      <c r="F205" s="127"/>
      <c r="G205" s="136">
        <f t="shared" si="4"/>
        <v>46087</v>
      </c>
      <c r="H205" s="127"/>
      <c r="I205" s="137">
        <f t="shared" ca="1" si="5"/>
        <v>0.36983868649398155</v>
      </c>
      <c r="J205" s="137"/>
      <c r="K205" s="131">
        <f t="shared" ca="1" si="3"/>
        <v>25.09086168767459</v>
      </c>
      <c r="L205" s="138"/>
      <c r="M205" s="139"/>
      <c r="N205" s="140">
        <f t="shared" ca="1" si="6"/>
        <v>5.9</v>
      </c>
      <c r="O205" s="140"/>
      <c r="P205" s="140"/>
    </row>
    <row r="206" spans="2:19" ht="14.4" customHeight="1" x14ac:dyDescent="0.3">
      <c r="E206" s="127">
        <v>2</v>
      </c>
      <c r="F206" s="127"/>
      <c r="G206" s="136">
        <f t="shared" si="4"/>
        <v>46087</v>
      </c>
      <c r="H206" s="127"/>
      <c r="I206" s="137">
        <f t="shared" ca="1" si="5"/>
        <v>0.37331090871620376</v>
      </c>
      <c r="J206" s="137"/>
      <c r="K206" s="131">
        <f t="shared" ca="1" si="3"/>
        <v>25.296368260790739</v>
      </c>
      <c r="L206" s="138"/>
      <c r="M206" s="139"/>
      <c r="N206" s="140">
        <f t="shared" ca="1" si="6"/>
        <v>5.6</v>
      </c>
      <c r="O206" s="140"/>
      <c r="P206" s="140"/>
    </row>
    <row r="207" spans="2:19" ht="14.4" customHeight="1" x14ac:dyDescent="0.3">
      <c r="E207" s="127">
        <v>2</v>
      </c>
      <c r="F207" s="127"/>
      <c r="G207" s="136">
        <f t="shared" si="4"/>
        <v>46087</v>
      </c>
      <c r="H207" s="127"/>
      <c r="I207" s="137">
        <f t="shared" ca="1" si="5"/>
        <v>0.37678313093842597</v>
      </c>
      <c r="J207" s="137"/>
      <c r="K207" s="131">
        <f t="shared" ca="1" si="3"/>
        <v>24.733472484208917</v>
      </c>
      <c r="L207" s="138"/>
      <c r="M207" s="139"/>
      <c r="N207" s="140">
        <f t="shared" ca="1" si="6"/>
        <v>5.3</v>
      </c>
      <c r="O207" s="140"/>
      <c r="P207" s="140"/>
    </row>
    <row r="208" spans="2:19" ht="14.4" customHeight="1" x14ac:dyDescent="0.3">
      <c r="E208" s="127">
        <v>2</v>
      </c>
      <c r="F208" s="127"/>
      <c r="G208" s="136">
        <f t="shared" si="4"/>
        <v>46087</v>
      </c>
      <c r="H208" s="127"/>
      <c r="I208" s="137">
        <f t="shared" ca="1" si="5"/>
        <v>0.38025535316064818</v>
      </c>
      <c r="J208" s="137"/>
      <c r="K208" s="131">
        <f t="shared" ca="1" si="3"/>
        <v>24.922420111426081</v>
      </c>
      <c r="L208" s="138"/>
      <c r="M208" s="139"/>
      <c r="N208" s="140">
        <f t="shared" ca="1" si="6"/>
        <v>5</v>
      </c>
      <c r="O208" s="140"/>
      <c r="P208" s="140"/>
    </row>
    <row r="209" spans="5:16" ht="14.4" customHeight="1" x14ac:dyDescent="0.3">
      <c r="E209" s="127">
        <v>2</v>
      </c>
      <c r="F209" s="127"/>
      <c r="G209" s="136">
        <f t="shared" si="4"/>
        <v>46087</v>
      </c>
      <c r="H209" s="127"/>
      <c r="I209" s="137">
        <f t="shared" ca="1" si="5"/>
        <v>0.38372757538287039</v>
      </c>
      <c r="J209" s="137"/>
      <c r="K209" s="131">
        <f t="shared" ca="1" si="3"/>
        <v>25.065904420023127</v>
      </c>
      <c r="L209" s="138"/>
      <c r="M209" s="139"/>
      <c r="N209" s="140">
        <f t="shared" ca="1" si="6"/>
        <v>4.7</v>
      </c>
      <c r="O209" s="140"/>
      <c r="P209" s="140"/>
    </row>
    <row r="210" spans="5:16" ht="14.4" customHeight="1" x14ac:dyDescent="0.3">
      <c r="E210" s="146">
        <v>2</v>
      </c>
      <c r="F210" s="146"/>
      <c r="G210" s="136">
        <f t="shared" si="4"/>
        <v>46087</v>
      </c>
      <c r="H210" s="127"/>
      <c r="I210" s="137">
        <f t="shared" ca="1" si="5"/>
        <v>0.3871997976050926</v>
      </c>
      <c r="J210" s="137"/>
      <c r="K210" s="131">
        <f t="shared" ca="1" si="3"/>
        <v>25.174243285187799</v>
      </c>
      <c r="L210" s="138"/>
      <c r="M210" s="139"/>
      <c r="N210" s="140">
        <f t="shared" ca="1" si="6"/>
        <v>4.4000000000000004</v>
      </c>
      <c r="O210" s="140"/>
      <c r="P210" s="140"/>
    </row>
    <row r="211" spans="5:16" ht="14.4" customHeight="1" x14ac:dyDescent="0.3">
      <c r="E211" s="127">
        <v>2</v>
      </c>
      <c r="F211" s="127"/>
      <c r="G211" s="136">
        <f t="shared" si="4"/>
        <v>46087</v>
      </c>
      <c r="H211" s="127"/>
      <c r="I211" s="137">
        <f t="shared" ca="1" si="5"/>
        <v>0.39067201982731481</v>
      </c>
      <c r="J211" s="137"/>
      <c r="K211" s="131">
        <f t="shared" ca="1" si="3"/>
        <v>25.105672657874901</v>
      </c>
      <c r="L211" s="138"/>
      <c r="M211" s="139"/>
      <c r="N211" s="140">
        <f ca="1">IF(N210&lt;8,ROUND(N210 + RAND()*0.5 + 0.1,1),ROUND(7.9 - RAND()*0.4,1))</f>
        <v>4.9000000000000004</v>
      </c>
      <c r="O211" s="140"/>
      <c r="P211" s="140"/>
    </row>
    <row r="212" spans="5:16" ht="14.4" customHeight="1" x14ac:dyDescent="0.3">
      <c r="E212" s="127">
        <v>2</v>
      </c>
      <c r="F212" s="127"/>
      <c r="G212" s="136">
        <f t="shared" si="4"/>
        <v>46087</v>
      </c>
      <c r="H212" s="127"/>
      <c r="I212" s="137">
        <f t="shared" ca="1" si="5"/>
        <v>0.39414424204953702</v>
      </c>
      <c r="J212" s="137"/>
      <c r="K212" s="131">
        <f t="shared" ca="1" si="3"/>
        <v>25.21233214580737</v>
      </c>
      <c r="L212" s="138"/>
      <c r="M212" s="139"/>
      <c r="N212" s="140">
        <f t="shared" ref="N212:N219" ca="1" si="7">IF(N211&lt;8,ROUND(N211 + RAND()*0.5 + 0.1,1),ROUND(7.9 - RAND()*0.4,1))</f>
        <v>5.4</v>
      </c>
      <c r="O212" s="140"/>
      <c r="P212" s="140"/>
    </row>
    <row r="213" spans="5:16" ht="14.4" customHeight="1" x14ac:dyDescent="0.3">
      <c r="E213" s="127">
        <v>2</v>
      </c>
      <c r="F213" s="127"/>
      <c r="G213" s="136">
        <f t="shared" si="4"/>
        <v>46087</v>
      </c>
      <c r="H213" s="127"/>
      <c r="I213" s="137">
        <f t="shared" ca="1" si="5"/>
        <v>0.39761646427175923</v>
      </c>
      <c r="J213" s="137"/>
      <c r="K213" s="131">
        <f t="shared" ca="1" si="3"/>
        <v>25.647510971279051</v>
      </c>
      <c r="L213" s="138"/>
      <c r="M213" s="139"/>
      <c r="N213" s="140">
        <f t="shared" ca="1" si="7"/>
        <v>5.7</v>
      </c>
      <c r="O213" s="140"/>
      <c r="P213" s="140"/>
    </row>
    <row r="214" spans="5:16" ht="14.4" customHeight="1" x14ac:dyDescent="0.3">
      <c r="E214" s="127">
        <v>2</v>
      </c>
      <c r="F214" s="127"/>
      <c r="G214" s="136">
        <f t="shared" si="4"/>
        <v>46087</v>
      </c>
      <c r="H214" s="127"/>
      <c r="I214" s="137">
        <f t="shared" ca="1" si="5"/>
        <v>0.40108868649398144</v>
      </c>
      <c r="J214" s="137"/>
      <c r="K214" s="131">
        <f t="shared" ca="1" si="3"/>
        <v>25.652873845188314</v>
      </c>
      <c r="L214" s="138"/>
      <c r="M214" s="139"/>
      <c r="N214" s="140">
        <f t="shared" ca="1" si="7"/>
        <v>5.8</v>
      </c>
      <c r="O214" s="140"/>
      <c r="P214" s="140"/>
    </row>
    <row r="215" spans="5:16" ht="14.4" customHeight="1" x14ac:dyDescent="0.3">
      <c r="E215" s="127">
        <v>2</v>
      </c>
      <c r="F215" s="127"/>
      <c r="G215" s="136">
        <f t="shared" si="4"/>
        <v>46087</v>
      </c>
      <c r="H215" s="127"/>
      <c r="I215" s="137">
        <f t="shared" ca="1" si="5"/>
        <v>0.40456090871620365</v>
      </c>
      <c r="J215" s="137"/>
      <c r="K215" s="131">
        <f t="shared" ca="1" si="3"/>
        <v>24.963940112201264</v>
      </c>
      <c r="L215" s="138"/>
      <c r="M215" s="139"/>
      <c r="N215" s="140">
        <f t="shared" ca="1" si="7"/>
        <v>6.4</v>
      </c>
      <c r="O215" s="140"/>
      <c r="P215" s="140"/>
    </row>
    <row r="216" spans="5:16" ht="14.4" customHeight="1" x14ac:dyDescent="0.3">
      <c r="E216" s="127">
        <v>2</v>
      </c>
      <c r="F216" s="127"/>
      <c r="G216" s="136">
        <f t="shared" si="4"/>
        <v>46087</v>
      </c>
      <c r="H216" s="127"/>
      <c r="I216" s="137">
        <f t="shared" ca="1" si="5"/>
        <v>0.40803313093842586</v>
      </c>
      <c r="J216" s="137"/>
      <c r="K216" s="131">
        <f t="shared" ca="1" si="3"/>
        <v>24.937910794441553</v>
      </c>
      <c r="L216" s="138"/>
      <c r="M216" s="139"/>
      <c r="N216" s="140">
        <f t="shared" ca="1" si="7"/>
        <v>6.8</v>
      </c>
      <c r="O216" s="140"/>
      <c r="P216" s="140"/>
    </row>
    <row r="217" spans="5:16" ht="14.4" customHeight="1" x14ac:dyDescent="0.3">
      <c r="E217" s="127">
        <v>2</v>
      </c>
      <c r="F217" s="127"/>
      <c r="G217" s="136">
        <f t="shared" si="4"/>
        <v>46087</v>
      </c>
      <c r="H217" s="127"/>
      <c r="I217" s="137">
        <f t="shared" ca="1" si="5"/>
        <v>0.41150535316064807</v>
      </c>
      <c r="J217" s="137"/>
      <c r="K217" s="131">
        <f t="shared" ca="1" si="3"/>
        <v>25.248967046856112</v>
      </c>
      <c r="L217" s="138"/>
      <c r="M217" s="139"/>
      <c r="N217" s="140">
        <f t="shared" ca="1" si="7"/>
        <v>7</v>
      </c>
      <c r="O217" s="140"/>
      <c r="P217" s="140"/>
    </row>
    <row r="218" spans="5:16" ht="14.4" customHeight="1" x14ac:dyDescent="0.3">
      <c r="E218" s="127">
        <v>2</v>
      </c>
      <c r="F218" s="127"/>
      <c r="G218" s="136">
        <f t="shared" si="4"/>
        <v>46087</v>
      </c>
      <c r="H218" s="127"/>
      <c r="I218" s="137">
        <f t="shared" ca="1" si="5"/>
        <v>0.41497757538287028</v>
      </c>
      <c r="J218" s="137"/>
      <c r="K218" s="131">
        <f t="shared" ca="1" si="3"/>
        <v>25.122649350499195</v>
      </c>
      <c r="L218" s="138"/>
      <c r="M218" s="139"/>
      <c r="N218" s="140">
        <f t="shared" ca="1" si="7"/>
        <v>7.2</v>
      </c>
      <c r="O218" s="140"/>
      <c r="P218" s="140"/>
    </row>
    <row r="219" spans="5:16" ht="14.4" customHeight="1" x14ac:dyDescent="0.3">
      <c r="E219" s="127">
        <v>2</v>
      </c>
      <c r="F219" s="127"/>
      <c r="G219" s="136">
        <f t="shared" si="4"/>
        <v>46087</v>
      </c>
      <c r="H219" s="127"/>
      <c r="I219" s="137">
        <f t="shared" ca="1" si="5"/>
        <v>0.41844979760509249</v>
      </c>
      <c r="J219" s="137"/>
      <c r="K219" s="131">
        <f t="shared" ca="1" si="3"/>
        <v>25.231738786762385</v>
      </c>
      <c r="L219" s="138"/>
      <c r="M219" s="139"/>
      <c r="N219" s="140">
        <f t="shared" ca="1" si="7"/>
        <v>7.6</v>
      </c>
      <c r="O219" s="140"/>
      <c r="P219" s="140"/>
    </row>
    <row r="220" spans="5:16" ht="14.4" customHeight="1" x14ac:dyDescent="0.3">
      <c r="E220" s="127">
        <v>2</v>
      </c>
      <c r="F220" s="127"/>
      <c r="G220" s="136">
        <f t="shared" si="4"/>
        <v>46087</v>
      </c>
      <c r="H220" s="127"/>
      <c r="I220" s="137">
        <f t="shared" ca="1" si="5"/>
        <v>0.4219220198273147</v>
      </c>
      <c r="J220" s="137"/>
      <c r="K220" s="131">
        <f t="shared" ca="1" si="3"/>
        <v>25.252945755020729</v>
      </c>
      <c r="L220" s="138"/>
      <c r="M220" s="139"/>
      <c r="N220" s="140">
        <f ca="1">ROUND(8 + RAND()*1+0.1,1)</f>
        <v>8.4</v>
      </c>
      <c r="O220" s="140"/>
      <c r="P220" s="140"/>
    </row>
    <row r="221" spans="5:16" ht="14.4" customHeight="1" x14ac:dyDescent="0.3">
      <c r="E221" s="127">
        <v>2</v>
      </c>
      <c r="F221" s="127"/>
      <c r="G221" s="136">
        <f t="shared" si="4"/>
        <v>46087</v>
      </c>
      <c r="H221" s="127"/>
      <c r="I221" s="137">
        <f t="shared" ca="1" si="5"/>
        <v>0.42539424204953691</v>
      </c>
      <c r="J221" s="137"/>
      <c r="K221" s="131">
        <f t="shared" ca="1" si="3"/>
        <v>24.776893568749312</v>
      </c>
      <c r="L221" s="138"/>
      <c r="M221" s="139"/>
      <c r="N221" s="140">
        <f ca="1">ROUND(N220 + RAND()*0.8+0.2,1)</f>
        <v>8.6999999999999993</v>
      </c>
      <c r="O221" s="140"/>
      <c r="P221" s="140"/>
    </row>
    <row r="222" spans="5:16" ht="14.4" customHeight="1" x14ac:dyDescent="0.3"/>
    <row r="223" spans="5:16" ht="14.4" customHeight="1" x14ac:dyDescent="0.3"/>
    <row r="224" spans="5:16" ht="14.4" customHeight="1" x14ac:dyDescent="0.3"/>
    <row r="225" spans="2:19" ht="14.4" customHeight="1" x14ac:dyDescent="0.3"/>
    <row r="226" spans="2:19" ht="14.4" customHeight="1" x14ac:dyDescent="0.3"/>
    <row r="227" spans="2:19" ht="14.4" customHeight="1" x14ac:dyDescent="0.3"/>
    <row r="228" spans="2:19" ht="14.4" customHeight="1" x14ac:dyDescent="0.3"/>
    <row r="229" spans="2:19" ht="14.4" customHeight="1" x14ac:dyDescent="0.3"/>
    <row r="230" spans="2:19" ht="14.4" customHeight="1" x14ac:dyDescent="0.3"/>
    <row r="231" spans="2:19" x14ac:dyDescent="0.3">
      <c r="O231" s="141" t="str">
        <f>O188</f>
        <v>CERTIFICADO N°:</v>
      </c>
      <c r="P231" s="141"/>
      <c r="Q231" s="141"/>
      <c r="R231" s="141" t="str">
        <f>R188</f>
        <v>JS5788-26</v>
      </c>
      <c r="S231" s="141"/>
    </row>
    <row r="233" spans="2:19" x14ac:dyDescent="0.3">
      <c r="B233" s="19" t="s">
        <v>127</v>
      </c>
    </row>
    <row r="236" spans="2:19" ht="14.4" customHeight="1" x14ac:dyDescent="0.3"/>
    <row r="253" spans="2:18" x14ac:dyDescent="0.3">
      <c r="B253" s="19" t="s">
        <v>132</v>
      </c>
      <c r="C253" s="19"/>
      <c r="D253" s="19"/>
      <c r="E253" s="19"/>
      <c r="F253" s="19"/>
    </row>
    <row r="256" spans="2:18" x14ac:dyDescent="0.3">
      <c r="C256" s="122" t="s">
        <v>128</v>
      </c>
      <c r="D256" s="123"/>
      <c r="E256" s="123"/>
      <c r="F256" s="124"/>
      <c r="G256" s="134" t="s">
        <v>129</v>
      </c>
      <c r="H256" s="134"/>
      <c r="I256" s="134"/>
      <c r="J256" s="134"/>
      <c r="K256" s="134" t="s">
        <v>130</v>
      </c>
      <c r="L256" s="134"/>
      <c r="M256" s="134"/>
      <c r="N256" s="134"/>
      <c r="O256" s="134" t="s">
        <v>131</v>
      </c>
      <c r="P256" s="134"/>
      <c r="Q256" s="134"/>
      <c r="R256" s="134"/>
    </row>
    <row r="257" spans="2:19" ht="27.6" customHeight="1" x14ac:dyDescent="0.3">
      <c r="C257" s="119" t="s">
        <v>193</v>
      </c>
      <c r="D257" s="120"/>
      <c r="E257" s="120"/>
      <c r="F257" s="121"/>
      <c r="G257" s="131">
        <f ca="1">L179</f>
        <v>4.3464549123675589E-2</v>
      </c>
      <c r="H257" s="138"/>
      <c r="I257" s="138"/>
      <c r="J257" s="139"/>
      <c r="K257" s="128" t="s">
        <v>195</v>
      </c>
      <c r="L257" s="129"/>
      <c r="M257" s="129"/>
      <c r="N257" s="129"/>
      <c r="O257" s="130" t="s">
        <v>104</v>
      </c>
      <c r="P257" s="130"/>
      <c r="Q257" s="130"/>
      <c r="R257" s="130"/>
    </row>
    <row r="258" spans="2:19" ht="26.4" customHeight="1" x14ac:dyDescent="0.3">
      <c r="C258" s="119" t="s">
        <v>194</v>
      </c>
      <c r="D258" s="120"/>
      <c r="E258" s="120"/>
      <c r="F258" s="121"/>
      <c r="G258" s="127" t="str">
        <f ca="1">TEXT(AVERAGE(N199:P219),"0,0") &amp; "°C"</f>
        <v>6,2°C</v>
      </c>
      <c r="H258" s="127"/>
      <c r="I258" s="127"/>
      <c r="J258" s="127"/>
      <c r="K258" s="129" t="s">
        <v>196</v>
      </c>
      <c r="L258" s="129"/>
      <c r="M258" s="129"/>
      <c r="N258" s="129"/>
      <c r="O258" s="130" t="s">
        <v>104</v>
      </c>
      <c r="P258" s="130"/>
      <c r="Q258" s="130"/>
      <c r="R258" s="130"/>
    </row>
    <row r="259" spans="2:19" ht="30" customHeight="1" x14ac:dyDescent="0.3">
      <c r="C259" s="119" t="s">
        <v>136</v>
      </c>
      <c r="D259" s="120"/>
      <c r="E259" s="120"/>
      <c r="F259" s="121"/>
      <c r="G259" s="127" t="s">
        <v>133</v>
      </c>
      <c r="H259" s="127"/>
      <c r="I259" s="127"/>
      <c r="J259" s="127"/>
      <c r="K259" s="128" t="s">
        <v>134</v>
      </c>
      <c r="L259" s="129"/>
      <c r="M259" s="129"/>
      <c r="N259" s="129"/>
      <c r="O259" s="130" t="s">
        <v>104</v>
      </c>
      <c r="P259" s="130"/>
      <c r="Q259" s="130"/>
      <c r="R259" s="130"/>
    </row>
    <row r="260" spans="2:19" ht="28.95" customHeight="1" x14ac:dyDescent="0.3">
      <c r="C260" s="119" t="s">
        <v>135</v>
      </c>
      <c r="D260" s="120"/>
      <c r="E260" s="120"/>
      <c r="F260" s="121"/>
      <c r="G260" s="127" t="s">
        <v>143</v>
      </c>
      <c r="H260" s="127"/>
      <c r="I260" s="127"/>
      <c r="J260" s="127"/>
      <c r="K260" s="128" t="s">
        <v>137</v>
      </c>
      <c r="L260" s="129"/>
      <c r="M260" s="129"/>
      <c r="N260" s="129"/>
      <c r="O260" s="130" t="s">
        <v>104</v>
      </c>
      <c r="P260" s="130"/>
      <c r="Q260" s="130"/>
      <c r="R260" s="130"/>
    </row>
    <row r="261" spans="2:19" ht="28.2" customHeight="1" x14ac:dyDescent="0.3"/>
    <row r="263" spans="2:19" ht="14.4" customHeight="1" x14ac:dyDescent="0.3">
      <c r="B263" s="118" t="s">
        <v>155</v>
      </c>
      <c r="C263" s="118"/>
      <c r="D263" s="118"/>
      <c r="E263" s="118"/>
      <c r="F263" s="118"/>
      <c r="G263" s="118"/>
      <c r="H263" s="118"/>
      <c r="I263" s="118"/>
      <c r="J263" s="118"/>
      <c r="K263" s="118"/>
      <c r="L263" s="118"/>
      <c r="M263" s="118"/>
      <c r="N263" s="118"/>
      <c r="O263" s="118"/>
      <c r="P263" s="118"/>
      <c r="Q263" s="118"/>
      <c r="R263" s="118"/>
      <c r="S263" s="118"/>
    </row>
    <row r="264" spans="2:19" x14ac:dyDescent="0.3">
      <c r="B264" s="118"/>
      <c r="C264" s="118"/>
      <c r="D264" s="118"/>
      <c r="E264" s="118"/>
      <c r="F264" s="118"/>
      <c r="G264" s="118"/>
      <c r="H264" s="118"/>
      <c r="I264" s="118"/>
      <c r="J264" s="118"/>
      <c r="K264" s="118"/>
      <c r="L264" s="118"/>
      <c r="M264" s="118"/>
      <c r="N264" s="118"/>
      <c r="O264" s="118"/>
      <c r="P264" s="118"/>
      <c r="Q264" s="118"/>
      <c r="R264" s="118"/>
      <c r="S264" s="118"/>
    </row>
    <row r="265" spans="2:19" x14ac:dyDescent="0.3">
      <c r="B265" s="89"/>
      <c r="C265" s="89"/>
      <c r="D265" s="89"/>
      <c r="E265" s="89"/>
      <c r="F265" s="89"/>
      <c r="G265" s="89"/>
      <c r="H265" s="89"/>
      <c r="I265" s="89"/>
      <c r="J265" s="89"/>
      <c r="K265" s="89"/>
      <c r="L265" s="89"/>
      <c r="M265" s="89"/>
      <c r="N265" s="89"/>
      <c r="O265" s="89"/>
      <c r="P265" s="89"/>
      <c r="Q265" s="89"/>
      <c r="R265" s="89"/>
      <c r="S265" s="89"/>
    </row>
    <row r="266" spans="2:19" x14ac:dyDescent="0.3">
      <c r="B266" s="89"/>
      <c r="C266" s="89"/>
      <c r="D266" s="89"/>
      <c r="E266" s="89"/>
      <c r="F266" s="89"/>
      <c r="G266" s="89"/>
      <c r="H266" s="89"/>
      <c r="I266" s="89"/>
      <c r="J266" s="89"/>
      <c r="K266" s="89"/>
      <c r="L266" s="89"/>
      <c r="M266" s="89"/>
      <c r="N266" s="89"/>
      <c r="O266" s="89"/>
      <c r="P266" s="89"/>
      <c r="Q266" s="89"/>
      <c r="R266" s="89"/>
      <c r="S266" s="89"/>
    </row>
    <row r="267" spans="2:19" x14ac:dyDescent="0.3">
      <c r="B267" s="89"/>
      <c r="C267" s="89"/>
      <c r="D267" s="89"/>
      <c r="E267" s="89"/>
      <c r="F267" s="89"/>
      <c r="G267" s="89"/>
      <c r="H267" s="89"/>
      <c r="I267" s="89"/>
      <c r="J267" s="89"/>
      <c r="K267" s="89"/>
      <c r="L267" s="89"/>
      <c r="M267" s="89"/>
      <c r="N267" s="89"/>
      <c r="O267" s="89"/>
      <c r="P267" s="89"/>
      <c r="Q267" s="89"/>
      <c r="R267" s="89"/>
      <c r="S267" s="89"/>
    </row>
    <row r="268" spans="2:19" x14ac:dyDescent="0.3">
      <c r="B268" s="89"/>
      <c r="C268" s="89"/>
      <c r="D268" s="89"/>
      <c r="E268" s="89"/>
      <c r="F268" s="89"/>
      <c r="G268" s="89"/>
      <c r="H268" s="89"/>
      <c r="I268" s="89"/>
      <c r="J268" s="89"/>
      <c r="K268" s="89"/>
      <c r="L268" s="89"/>
      <c r="M268" s="89"/>
      <c r="N268" s="89"/>
      <c r="O268" s="89"/>
      <c r="P268" s="89"/>
      <c r="Q268" s="89"/>
      <c r="R268" s="89"/>
      <c r="S268" s="89"/>
    </row>
    <row r="269" spans="2:19" x14ac:dyDescent="0.3">
      <c r="O269" s="141" t="str">
        <f>O231</f>
        <v>CERTIFICADO N°:</v>
      </c>
      <c r="P269" s="141"/>
      <c r="Q269" s="141"/>
      <c r="R269" s="141" t="str">
        <f>R231</f>
        <v>JS5788-26</v>
      </c>
      <c r="S269" s="141"/>
    </row>
    <row r="273" spans="2:17" x14ac:dyDescent="0.3">
      <c r="B273" s="19" t="s">
        <v>174</v>
      </c>
    </row>
    <row r="276" spans="2:17" ht="28.2" customHeight="1" x14ac:dyDescent="0.3">
      <c r="C276" s="195" t="s">
        <v>123</v>
      </c>
      <c r="D276" s="196"/>
      <c r="E276" s="130" t="s">
        <v>124</v>
      </c>
      <c r="F276" s="130"/>
      <c r="G276" s="130" t="s">
        <v>125</v>
      </c>
      <c r="H276" s="130"/>
      <c r="I276" s="147" t="s">
        <v>126</v>
      </c>
      <c r="J276" s="147"/>
      <c r="K276" s="147"/>
      <c r="L276" s="147" t="s">
        <v>192</v>
      </c>
      <c r="M276" s="147"/>
      <c r="N276" s="147"/>
      <c r="O276" s="197" t="s">
        <v>138</v>
      </c>
      <c r="P276" s="197"/>
      <c r="Q276" s="197"/>
    </row>
    <row r="277" spans="2:17" x14ac:dyDescent="0.3">
      <c r="C277" s="125">
        <v>2</v>
      </c>
      <c r="D277" s="126"/>
      <c r="E277" s="136">
        <f>INFORMACIÓN!H3</f>
        <v>46087</v>
      </c>
      <c r="F277" s="127"/>
      <c r="G277" s="198">
        <f ca="1">I221 + (20/1440)</f>
        <v>0.4392831309384258</v>
      </c>
      <c r="H277" s="199"/>
      <c r="I277" s="200">
        <f ca="1">24.5 + RAND()</f>
        <v>24.757806614107178</v>
      </c>
      <c r="J277" s="200"/>
      <c r="K277" s="200"/>
      <c r="L277" s="140">
        <f ca="1">ROUND(RAND()*4+19, 1)</f>
        <v>20.2</v>
      </c>
      <c r="M277" s="140"/>
      <c r="N277" s="140"/>
      <c r="O277" s="200">
        <f ca="1">L277 + (RAND()*-0.4 - 0.2)</f>
        <v>19.906637526200381</v>
      </c>
      <c r="P277" s="200"/>
      <c r="Q277" s="200"/>
    </row>
    <row r="278" spans="2:17" ht="15.45" customHeight="1" x14ac:dyDescent="0.3">
      <c r="C278" s="125">
        <v>2</v>
      </c>
      <c r="D278" s="126"/>
      <c r="E278" s="136">
        <f>E277</f>
        <v>46087</v>
      </c>
      <c r="F278" s="127"/>
      <c r="G278" s="198">
        <f ca="1">G277+5/1440</f>
        <v>0.44275535316064801</v>
      </c>
      <c r="H278" s="199"/>
      <c r="I278" s="200">
        <f t="shared" ref="I278:I300" ca="1" si="8">24.5 + RAND()</f>
        <v>24.948073254283134</v>
      </c>
      <c r="J278" s="200"/>
      <c r="K278" s="200"/>
      <c r="L278" s="140">
        <f ca="1">ROUND(RAND()*0.5 + 7.5,1)</f>
        <v>7.5</v>
      </c>
      <c r="M278" s="140"/>
      <c r="N278" s="140"/>
      <c r="O278" s="200">
        <f t="shared" ref="O278:O300" ca="1" si="9">L278 + (RAND()*-0.4 - 0.2)</f>
        <v>6.9956165179012393</v>
      </c>
      <c r="P278" s="200"/>
      <c r="Q278" s="200"/>
    </row>
    <row r="279" spans="2:17" ht="15.45" customHeight="1" x14ac:dyDescent="0.3">
      <c r="C279" s="125">
        <v>2</v>
      </c>
      <c r="D279" s="126"/>
      <c r="E279" s="136">
        <f t="shared" ref="E279:E300" si="10">E278</f>
        <v>46087</v>
      </c>
      <c r="F279" s="127"/>
      <c r="G279" s="198">
        <f t="shared" ref="G279:G300" ca="1" si="11">G278+5/1440</f>
        <v>0.44622757538287022</v>
      </c>
      <c r="H279" s="199"/>
      <c r="I279" s="200">
        <f t="shared" ca="1" si="8"/>
        <v>24.797567220495559</v>
      </c>
      <c r="J279" s="200"/>
      <c r="K279" s="200"/>
      <c r="L279" s="140">
        <f t="shared" ref="L279:L290" ca="1" si="12">ROUND(L278 - ((L$278 - $Q$199)/12) * (1 + RAND()*0.2 - 0.1),1)</f>
        <v>7.2</v>
      </c>
      <c r="M279" s="140"/>
      <c r="N279" s="140"/>
      <c r="O279" s="200">
        <f t="shared" ca="1" si="9"/>
        <v>6.9425609670089523</v>
      </c>
      <c r="P279" s="200"/>
      <c r="Q279" s="200"/>
    </row>
    <row r="280" spans="2:17" ht="15.45" customHeight="1" x14ac:dyDescent="0.3">
      <c r="C280" s="125">
        <v>2</v>
      </c>
      <c r="D280" s="126"/>
      <c r="E280" s="136">
        <f t="shared" si="10"/>
        <v>46087</v>
      </c>
      <c r="F280" s="127"/>
      <c r="G280" s="198">
        <f t="shared" ca="1" si="11"/>
        <v>0.44969979760509243</v>
      </c>
      <c r="H280" s="199"/>
      <c r="I280" s="200">
        <f t="shared" ca="1" si="8"/>
        <v>25.483460971945362</v>
      </c>
      <c r="J280" s="200"/>
      <c r="K280" s="200"/>
      <c r="L280" s="140">
        <f t="shared" ca="1" si="12"/>
        <v>6.9</v>
      </c>
      <c r="M280" s="140"/>
      <c r="N280" s="140"/>
      <c r="O280" s="200">
        <f t="shared" ca="1" si="9"/>
        <v>6.3665247440672541</v>
      </c>
      <c r="P280" s="200"/>
      <c r="Q280" s="200"/>
    </row>
    <row r="281" spans="2:17" ht="15.45" customHeight="1" x14ac:dyDescent="0.3">
      <c r="C281" s="125">
        <v>2</v>
      </c>
      <c r="D281" s="126"/>
      <c r="E281" s="136">
        <f t="shared" si="10"/>
        <v>46087</v>
      </c>
      <c r="F281" s="127"/>
      <c r="G281" s="198">
        <f t="shared" ca="1" si="11"/>
        <v>0.45317201982731464</v>
      </c>
      <c r="H281" s="199"/>
      <c r="I281" s="200">
        <f t="shared" ca="1" si="8"/>
        <v>25.483750863380489</v>
      </c>
      <c r="J281" s="200"/>
      <c r="K281" s="200"/>
      <c r="L281" s="140">
        <f t="shared" ca="1" si="12"/>
        <v>6.6</v>
      </c>
      <c r="M281" s="140"/>
      <c r="N281" s="140"/>
      <c r="O281" s="200">
        <f t="shared" ca="1" si="9"/>
        <v>6.0238630784358929</v>
      </c>
      <c r="P281" s="200"/>
      <c r="Q281" s="200"/>
    </row>
    <row r="282" spans="2:17" ht="15.45" customHeight="1" x14ac:dyDescent="0.3">
      <c r="C282" s="125">
        <v>2</v>
      </c>
      <c r="D282" s="126"/>
      <c r="E282" s="136">
        <f t="shared" si="10"/>
        <v>46087</v>
      </c>
      <c r="F282" s="127"/>
      <c r="G282" s="198">
        <f t="shared" ca="1" si="11"/>
        <v>0.45664424204953685</v>
      </c>
      <c r="H282" s="199"/>
      <c r="I282" s="200">
        <f t="shared" ca="1" si="8"/>
        <v>24.991049853786013</v>
      </c>
      <c r="J282" s="200"/>
      <c r="K282" s="200"/>
      <c r="L282" s="140">
        <f t="shared" ca="1" si="12"/>
        <v>6.3</v>
      </c>
      <c r="M282" s="140"/>
      <c r="N282" s="140"/>
      <c r="O282" s="200">
        <f t="shared" ca="1" si="9"/>
        <v>6.0575227445688933</v>
      </c>
      <c r="P282" s="200"/>
      <c r="Q282" s="200"/>
    </row>
    <row r="283" spans="2:17" ht="15.45" customHeight="1" x14ac:dyDescent="0.3">
      <c r="C283" s="125">
        <v>2</v>
      </c>
      <c r="D283" s="126"/>
      <c r="E283" s="136">
        <f t="shared" si="10"/>
        <v>46087</v>
      </c>
      <c r="F283" s="127"/>
      <c r="G283" s="198">
        <f t="shared" ca="1" si="11"/>
        <v>0.46011646427175906</v>
      </c>
      <c r="H283" s="199"/>
      <c r="I283" s="200">
        <f t="shared" ca="1" si="8"/>
        <v>25.245566602312678</v>
      </c>
      <c r="J283" s="200"/>
      <c r="K283" s="200"/>
      <c r="L283" s="140">
        <f t="shared" ca="1" si="12"/>
        <v>6</v>
      </c>
      <c r="M283" s="140"/>
      <c r="N283" s="140"/>
      <c r="O283" s="200">
        <f t="shared" ca="1" si="9"/>
        <v>5.4821303422436998</v>
      </c>
      <c r="P283" s="200"/>
      <c r="Q283" s="200"/>
    </row>
    <row r="284" spans="2:17" ht="15.45" customHeight="1" x14ac:dyDescent="0.3">
      <c r="C284" s="125">
        <v>2</v>
      </c>
      <c r="D284" s="126"/>
      <c r="E284" s="136">
        <f t="shared" si="10"/>
        <v>46087</v>
      </c>
      <c r="F284" s="127"/>
      <c r="G284" s="198">
        <f t="shared" ca="1" si="11"/>
        <v>0.46358868649398127</v>
      </c>
      <c r="H284" s="199"/>
      <c r="I284" s="200">
        <f t="shared" ca="1" si="8"/>
        <v>24.757996049688337</v>
      </c>
      <c r="J284" s="200"/>
      <c r="K284" s="200"/>
      <c r="L284" s="140">
        <f t="shared" ca="1" si="12"/>
        <v>5.7</v>
      </c>
      <c r="M284" s="140"/>
      <c r="N284" s="140"/>
      <c r="O284" s="200">
        <f t="shared" ca="1" si="9"/>
        <v>5.3816666825278707</v>
      </c>
      <c r="P284" s="200"/>
      <c r="Q284" s="200"/>
    </row>
    <row r="285" spans="2:17" ht="15.45" customHeight="1" x14ac:dyDescent="0.3">
      <c r="C285" s="125">
        <v>2</v>
      </c>
      <c r="D285" s="126"/>
      <c r="E285" s="136">
        <f t="shared" si="10"/>
        <v>46087</v>
      </c>
      <c r="F285" s="127"/>
      <c r="G285" s="198">
        <f t="shared" ca="1" si="11"/>
        <v>0.46706090871620348</v>
      </c>
      <c r="H285" s="199"/>
      <c r="I285" s="200">
        <f t="shared" ca="1" si="8"/>
        <v>25.074666646875272</v>
      </c>
      <c r="J285" s="200"/>
      <c r="K285" s="200"/>
      <c r="L285" s="140">
        <f t="shared" ca="1" si="12"/>
        <v>5.4</v>
      </c>
      <c r="M285" s="140"/>
      <c r="N285" s="140"/>
      <c r="O285" s="200">
        <f t="shared" ca="1" si="9"/>
        <v>4.9122659775141972</v>
      </c>
      <c r="P285" s="200"/>
      <c r="Q285" s="200"/>
    </row>
    <row r="286" spans="2:17" ht="15.45" customHeight="1" x14ac:dyDescent="0.3">
      <c r="C286" s="125">
        <v>2</v>
      </c>
      <c r="D286" s="126"/>
      <c r="E286" s="136">
        <f t="shared" si="10"/>
        <v>46087</v>
      </c>
      <c r="F286" s="127"/>
      <c r="G286" s="198">
        <f t="shared" ca="1" si="11"/>
        <v>0.47053313093842569</v>
      </c>
      <c r="H286" s="199"/>
      <c r="I286" s="200">
        <f t="shared" ca="1" si="8"/>
        <v>24.503238459392854</v>
      </c>
      <c r="J286" s="200"/>
      <c r="K286" s="200"/>
      <c r="L286" s="140">
        <f t="shared" ca="1" si="12"/>
        <v>5.0999999999999996</v>
      </c>
      <c r="M286" s="140"/>
      <c r="N286" s="140"/>
      <c r="O286" s="200">
        <f t="shared" ca="1" si="9"/>
        <v>4.8877228672035908</v>
      </c>
      <c r="P286" s="200"/>
      <c r="Q286" s="200"/>
    </row>
    <row r="287" spans="2:17" ht="15.45" customHeight="1" x14ac:dyDescent="0.3">
      <c r="C287" s="125">
        <v>2</v>
      </c>
      <c r="D287" s="126"/>
      <c r="E287" s="136">
        <f t="shared" si="10"/>
        <v>46087</v>
      </c>
      <c r="F287" s="127"/>
      <c r="G287" s="198">
        <f t="shared" ca="1" si="11"/>
        <v>0.4740053531606479</v>
      </c>
      <c r="H287" s="199"/>
      <c r="I287" s="200">
        <f t="shared" ca="1" si="8"/>
        <v>25.394758495824949</v>
      </c>
      <c r="J287" s="200"/>
      <c r="K287" s="200"/>
      <c r="L287" s="140">
        <f t="shared" ca="1" si="12"/>
        <v>4.8</v>
      </c>
      <c r="M287" s="140"/>
      <c r="N287" s="140"/>
      <c r="O287" s="200">
        <f t="shared" ca="1" si="9"/>
        <v>4.5013038190112624</v>
      </c>
      <c r="P287" s="200"/>
      <c r="Q287" s="200"/>
    </row>
    <row r="288" spans="2:17" ht="15.45" customHeight="1" x14ac:dyDescent="0.3">
      <c r="C288" s="125">
        <v>2</v>
      </c>
      <c r="D288" s="126"/>
      <c r="E288" s="136">
        <f t="shared" si="10"/>
        <v>46087</v>
      </c>
      <c r="F288" s="127"/>
      <c r="G288" s="198">
        <f t="shared" ca="1" si="11"/>
        <v>0.47747757538287011</v>
      </c>
      <c r="H288" s="199"/>
      <c r="I288" s="200">
        <f t="shared" ca="1" si="8"/>
        <v>25.245734980047004</v>
      </c>
      <c r="J288" s="200"/>
      <c r="K288" s="200"/>
      <c r="L288" s="140">
        <f t="shared" ca="1" si="12"/>
        <v>4.5</v>
      </c>
      <c r="M288" s="140"/>
      <c r="N288" s="140"/>
      <c r="O288" s="200">
        <f t="shared" ca="1" si="9"/>
        <v>3.9283279989503761</v>
      </c>
      <c r="P288" s="200"/>
      <c r="Q288" s="200"/>
    </row>
    <row r="289" spans="3:17" ht="15.45" customHeight="1" x14ac:dyDescent="0.3">
      <c r="C289" s="125">
        <v>2</v>
      </c>
      <c r="D289" s="126"/>
      <c r="E289" s="136">
        <f t="shared" si="10"/>
        <v>46087</v>
      </c>
      <c r="F289" s="127"/>
      <c r="G289" s="198">
        <f t="shared" ca="1" si="11"/>
        <v>0.48094979760509232</v>
      </c>
      <c r="H289" s="199"/>
      <c r="I289" s="200">
        <f t="shared" ca="1" si="8"/>
        <v>25.486064609493816</v>
      </c>
      <c r="J289" s="200"/>
      <c r="K289" s="200"/>
      <c r="L289" s="140">
        <f t="shared" ca="1" si="12"/>
        <v>4.2</v>
      </c>
      <c r="M289" s="140"/>
      <c r="N289" s="140"/>
      <c r="O289" s="200">
        <f t="shared" ca="1" si="9"/>
        <v>3.933633443084152</v>
      </c>
      <c r="P289" s="200"/>
      <c r="Q289" s="200"/>
    </row>
    <row r="290" spans="3:17" ht="15.45" customHeight="1" x14ac:dyDescent="0.3">
      <c r="C290" s="125">
        <v>2</v>
      </c>
      <c r="D290" s="126"/>
      <c r="E290" s="136">
        <f t="shared" si="10"/>
        <v>46087</v>
      </c>
      <c r="F290" s="127"/>
      <c r="G290" s="198">
        <f t="shared" ca="1" si="11"/>
        <v>0.48442201982731453</v>
      </c>
      <c r="H290" s="199"/>
      <c r="I290" s="200">
        <f t="shared" ca="1" si="8"/>
        <v>25.020883561427969</v>
      </c>
      <c r="J290" s="200"/>
      <c r="K290" s="200"/>
      <c r="L290" s="140">
        <f t="shared" ca="1" si="12"/>
        <v>3.9</v>
      </c>
      <c r="M290" s="140"/>
      <c r="N290" s="140"/>
      <c r="O290" s="200">
        <f t="shared" ca="1" si="9"/>
        <v>3.4530995176991754</v>
      </c>
      <c r="P290" s="200"/>
      <c r="Q290" s="200"/>
    </row>
    <row r="291" spans="3:17" ht="15.45" customHeight="1" x14ac:dyDescent="0.3">
      <c r="C291" s="125">
        <v>2</v>
      </c>
      <c r="D291" s="126"/>
      <c r="E291" s="136">
        <f t="shared" si="10"/>
        <v>46087</v>
      </c>
      <c r="F291" s="127"/>
      <c r="G291" s="198">
        <f t="shared" ca="1" si="11"/>
        <v>0.48789424204953674</v>
      </c>
      <c r="H291" s="199"/>
      <c r="I291" s="200">
        <f t="shared" ca="1" si="8"/>
        <v>25.141770900000996</v>
      </c>
      <c r="J291" s="200"/>
      <c r="K291" s="200"/>
      <c r="L291" s="140">
        <f t="shared" ref="L291:L298" ca="1" si="13">IF(L290&lt;8,ROUND(L290 + RAND()*0.5 + 0.1,1),ROUND(7.9 - RAND()*0.4,1))</f>
        <v>4.2</v>
      </c>
      <c r="M291" s="140"/>
      <c r="N291" s="140"/>
      <c r="O291" s="200">
        <f t="shared" ca="1" si="9"/>
        <v>3.6124325473039551</v>
      </c>
      <c r="P291" s="200"/>
      <c r="Q291" s="200"/>
    </row>
    <row r="292" spans="3:17" ht="15.45" customHeight="1" x14ac:dyDescent="0.3">
      <c r="C292" s="125">
        <v>2</v>
      </c>
      <c r="D292" s="126"/>
      <c r="E292" s="136">
        <f t="shared" si="10"/>
        <v>46087</v>
      </c>
      <c r="F292" s="127"/>
      <c r="G292" s="198">
        <f t="shared" ca="1" si="11"/>
        <v>0.49136646427175895</v>
      </c>
      <c r="H292" s="199"/>
      <c r="I292" s="200">
        <f t="shared" ca="1" si="8"/>
        <v>25.163510729120599</v>
      </c>
      <c r="J292" s="200"/>
      <c r="K292" s="200"/>
      <c r="L292" s="140">
        <f t="shared" ca="1" si="13"/>
        <v>4.3</v>
      </c>
      <c r="M292" s="140"/>
      <c r="N292" s="140"/>
      <c r="O292" s="200">
        <f t="shared" ca="1" si="9"/>
        <v>4.0290799629084262</v>
      </c>
      <c r="P292" s="200"/>
      <c r="Q292" s="200"/>
    </row>
    <row r="293" spans="3:17" ht="15.45" customHeight="1" x14ac:dyDescent="0.3">
      <c r="C293" s="125">
        <v>2</v>
      </c>
      <c r="D293" s="126"/>
      <c r="E293" s="136">
        <f t="shared" si="10"/>
        <v>46087</v>
      </c>
      <c r="F293" s="127"/>
      <c r="G293" s="198">
        <f t="shared" ca="1" si="11"/>
        <v>0.49483868649398116</v>
      </c>
      <c r="H293" s="199"/>
      <c r="I293" s="200">
        <f t="shared" ca="1" si="8"/>
        <v>25.347490038357812</v>
      </c>
      <c r="J293" s="200"/>
      <c r="K293" s="200"/>
      <c r="L293" s="140">
        <f t="shared" ca="1" si="13"/>
        <v>4.8</v>
      </c>
      <c r="M293" s="140"/>
      <c r="N293" s="140"/>
      <c r="O293" s="200">
        <f t="shared" ca="1" si="9"/>
        <v>4.5693039788367793</v>
      </c>
      <c r="P293" s="200"/>
      <c r="Q293" s="200"/>
    </row>
    <row r="294" spans="3:17" ht="15.45" customHeight="1" x14ac:dyDescent="0.3">
      <c r="C294" s="125">
        <v>2</v>
      </c>
      <c r="D294" s="126"/>
      <c r="E294" s="136">
        <f t="shared" si="10"/>
        <v>46087</v>
      </c>
      <c r="F294" s="127"/>
      <c r="G294" s="198">
        <f t="shared" ca="1" si="11"/>
        <v>0.49831090871620337</v>
      </c>
      <c r="H294" s="199"/>
      <c r="I294" s="200">
        <f t="shared" ca="1" si="8"/>
        <v>25.481513461772721</v>
      </c>
      <c r="J294" s="200"/>
      <c r="K294" s="200"/>
      <c r="L294" s="140">
        <f t="shared" ca="1" si="13"/>
        <v>5</v>
      </c>
      <c r="M294" s="140"/>
      <c r="N294" s="140"/>
      <c r="O294" s="200">
        <f t="shared" ca="1" si="9"/>
        <v>4.4926382151131694</v>
      </c>
      <c r="P294" s="200"/>
      <c r="Q294" s="200"/>
    </row>
    <row r="295" spans="3:17" ht="15.45" customHeight="1" x14ac:dyDescent="0.3">
      <c r="C295" s="125">
        <v>2</v>
      </c>
      <c r="D295" s="126"/>
      <c r="E295" s="136">
        <f t="shared" si="10"/>
        <v>46087</v>
      </c>
      <c r="F295" s="127"/>
      <c r="G295" s="198">
        <f t="shared" ca="1" si="11"/>
        <v>0.50178313093842564</v>
      </c>
      <c r="H295" s="199"/>
      <c r="I295" s="200">
        <f t="shared" ca="1" si="8"/>
        <v>25.199745419657948</v>
      </c>
      <c r="J295" s="200"/>
      <c r="K295" s="200"/>
      <c r="L295" s="140">
        <f t="shared" ca="1" si="13"/>
        <v>5.3</v>
      </c>
      <c r="M295" s="140"/>
      <c r="N295" s="140"/>
      <c r="O295" s="200">
        <f t="shared" ca="1" si="9"/>
        <v>5.0885488414821829</v>
      </c>
      <c r="P295" s="200"/>
      <c r="Q295" s="200"/>
    </row>
    <row r="296" spans="3:17" ht="15.45" customHeight="1" x14ac:dyDescent="0.3">
      <c r="C296" s="125">
        <v>2</v>
      </c>
      <c r="D296" s="126"/>
      <c r="E296" s="136">
        <f t="shared" si="10"/>
        <v>46087</v>
      </c>
      <c r="F296" s="127"/>
      <c r="G296" s="198">
        <f t="shared" ca="1" si="11"/>
        <v>0.50525535316064785</v>
      </c>
      <c r="H296" s="199"/>
      <c r="I296" s="200">
        <f t="shared" ca="1" si="8"/>
        <v>24.930106905030847</v>
      </c>
      <c r="J296" s="200"/>
      <c r="K296" s="200"/>
      <c r="L296" s="140">
        <f t="shared" ca="1" si="13"/>
        <v>5.8</v>
      </c>
      <c r="M296" s="140"/>
      <c r="N296" s="140"/>
      <c r="O296" s="200">
        <f t="shared" ca="1" si="9"/>
        <v>5.5022907374062253</v>
      </c>
      <c r="P296" s="200"/>
      <c r="Q296" s="200"/>
    </row>
    <row r="297" spans="3:17" ht="15.45" customHeight="1" x14ac:dyDescent="0.3">
      <c r="C297" s="125">
        <v>2</v>
      </c>
      <c r="D297" s="126"/>
      <c r="E297" s="136">
        <f t="shared" si="10"/>
        <v>46087</v>
      </c>
      <c r="F297" s="127"/>
      <c r="G297" s="198">
        <f t="shared" ca="1" si="11"/>
        <v>0.50872757538287006</v>
      </c>
      <c r="H297" s="199"/>
      <c r="I297" s="200">
        <f t="shared" ca="1" si="8"/>
        <v>25.408690489348452</v>
      </c>
      <c r="J297" s="200"/>
      <c r="K297" s="200"/>
      <c r="L297" s="140">
        <f t="shared" ca="1" si="13"/>
        <v>6.3</v>
      </c>
      <c r="M297" s="140"/>
      <c r="N297" s="140"/>
      <c r="O297" s="200">
        <f t="shared" ca="1" si="9"/>
        <v>5.7589887095353474</v>
      </c>
      <c r="P297" s="200"/>
      <c r="Q297" s="200"/>
    </row>
    <row r="298" spans="3:17" ht="15.45" customHeight="1" x14ac:dyDescent="0.3">
      <c r="C298" s="125">
        <v>2</v>
      </c>
      <c r="D298" s="126"/>
      <c r="E298" s="136">
        <f t="shared" si="10"/>
        <v>46087</v>
      </c>
      <c r="F298" s="127"/>
      <c r="G298" s="198">
        <f t="shared" ca="1" si="11"/>
        <v>0.51219979760509227</v>
      </c>
      <c r="H298" s="199"/>
      <c r="I298" s="200">
        <f t="shared" ca="1" si="8"/>
        <v>24.576181883158096</v>
      </c>
      <c r="J298" s="200"/>
      <c r="K298" s="200"/>
      <c r="L298" s="140">
        <f t="shared" ca="1" si="13"/>
        <v>6.4</v>
      </c>
      <c r="M298" s="140"/>
      <c r="N298" s="140"/>
      <c r="O298" s="200">
        <f t="shared" ca="1" si="9"/>
        <v>6.0419521955382995</v>
      </c>
      <c r="P298" s="200"/>
      <c r="Q298" s="200"/>
    </row>
    <row r="299" spans="3:17" ht="15.45" customHeight="1" x14ac:dyDescent="0.3">
      <c r="C299" s="125">
        <v>2</v>
      </c>
      <c r="D299" s="126"/>
      <c r="E299" s="136">
        <f t="shared" si="10"/>
        <v>46087</v>
      </c>
      <c r="F299" s="127"/>
      <c r="G299" s="198">
        <f t="shared" ca="1" si="11"/>
        <v>0.51567201982731448</v>
      </c>
      <c r="H299" s="199"/>
      <c r="I299" s="200">
        <f t="shared" ca="1" si="8"/>
        <v>25.250363844685506</v>
      </c>
      <c r="J299" s="200"/>
      <c r="K299" s="200"/>
      <c r="L299" s="140">
        <f ca="1">ROUND(8 + RAND()*1+0.1,1)</f>
        <v>8.6999999999999993</v>
      </c>
      <c r="M299" s="140"/>
      <c r="N299" s="140"/>
      <c r="O299" s="200">
        <f t="shared" ca="1" si="9"/>
        <v>8.1393473986493099</v>
      </c>
      <c r="P299" s="200"/>
      <c r="Q299" s="200"/>
    </row>
    <row r="300" spans="3:17" ht="15.45" customHeight="1" x14ac:dyDescent="0.3">
      <c r="C300" s="125">
        <v>2</v>
      </c>
      <c r="D300" s="126"/>
      <c r="E300" s="136">
        <f t="shared" si="10"/>
        <v>46087</v>
      </c>
      <c r="F300" s="127"/>
      <c r="G300" s="198">
        <f t="shared" ca="1" si="11"/>
        <v>0.51914424204953669</v>
      </c>
      <c r="H300" s="199"/>
      <c r="I300" s="200">
        <f t="shared" ca="1" si="8"/>
        <v>24.923741232693086</v>
      </c>
      <c r="J300" s="200"/>
      <c r="K300" s="200"/>
      <c r="L300" s="140">
        <f ca="1">ROUND(L299 + RAND()*0.8+0.2,1)</f>
        <v>9.1</v>
      </c>
      <c r="M300" s="140"/>
      <c r="N300" s="140"/>
      <c r="O300" s="200">
        <f t="shared" ca="1" si="9"/>
        <v>8.8721945644755777</v>
      </c>
      <c r="P300" s="200"/>
      <c r="Q300" s="200"/>
    </row>
    <row r="301" spans="3:17" ht="15.45" customHeight="1" x14ac:dyDescent="0.3"/>
    <row r="302" spans="3:17" ht="15.45" customHeight="1" x14ac:dyDescent="0.3"/>
    <row r="303" spans="3:17" ht="15.45" customHeight="1" x14ac:dyDescent="0.3"/>
    <row r="304" spans="3:17" ht="15.45" customHeight="1" x14ac:dyDescent="0.3"/>
    <row r="308" spans="2:19" x14ac:dyDescent="0.3">
      <c r="O308" s="141" t="str">
        <f>O269</f>
        <v>CERTIFICADO N°:</v>
      </c>
      <c r="P308" s="141"/>
      <c r="Q308" s="141"/>
      <c r="R308" s="135" t="str">
        <f>R231</f>
        <v>JS5788-26</v>
      </c>
      <c r="S308" s="135"/>
    </row>
    <row r="311" spans="2:19" x14ac:dyDescent="0.3">
      <c r="B311" s="19" t="s">
        <v>139</v>
      </c>
    </row>
    <row r="314" spans="2:19" ht="25.2" customHeight="1" x14ac:dyDescent="0.3"/>
    <row r="315" spans="2:19" ht="25.2" customHeight="1" x14ac:dyDescent="0.3"/>
    <row r="316" spans="2:19" ht="25.2" customHeight="1" x14ac:dyDescent="0.3"/>
    <row r="317" spans="2:19" ht="25.2" customHeight="1" x14ac:dyDescent="0.3"/>
    <row r="318" spans="2:19" ht="12.6" customHeight="1" x14ac:dyDescent="0.3"/>
    <row r="327" spans="2:18" x14ac:dyDescent="0.3">
      <c r="B327" s="19" t="s">
        <v>156</v>
      </c>
      <c r="C327" s="19"/>
      <c r="D327" s="19"/>
      <c r="E327" s="19"/>
      <c r="F327" s="19"/>
    </row>
    <row r="330" spans="2:18" x14ac:dyDescent="0.3">
      <c r="C330" s="122" t="s">
        <v>128</v>
      </c>
      <c r="D330" s="123"/>
      <c r="E330" s="123"/>
      <c r="F330" s="124"/>
      <c r="G330" s="134" t="s">
        <v>129</v>
      </c>
      <c r="H330" s="134"/>
      <c r="I330" s="134"/>
      <c r="J330" s="134"/>
      <c r="K330" s="134" t="s">
        <v>130</v>
      </c>
      <c r="L330" s="134"/>
      <c r="M330" s="134"/>
      <c r="N330" s="134"/>
      <c r="O330" s="134" t="s">
        <v>131</v>
      </c>
      <c r="P330" s="134"/>
      <c r="Q330" s="134"/>
      <c r="R330" s="134"/>
    </row>
    <row r="331" spans="2:18" ht="25.95" customHeight="1" x14ac:dyDescent="0.3">
      <c r="C331" s="119" t="s">
        <v>193</v>
      </c>
      <c r="D331" s="120"/>
      <c r="E331" s="120"/>
      <c r="F331" s="121"/>
      <c r="G331" s="131">
        <f ca="1">G257</f>
        <v>4.3464549123675589E-2</v>
      </c>
      <c r="H331" s="132"/>
      <c r="I331" s="132"/>
      <c r="J331" s="133"/>
      <c r="K331" s="128" t="s">
        <v>195</v>
      </c>
      <c r="L331" s="129"/>
      <c r="M331" s="129"/>
      <c r="N331" s="129"/>
      <c r="O331" s="130" t="s">
        <v>104</v>
      </c>
      <c r="P331" s="130"/>
      <c r="Q331" s="130"/>
      <c r="R331" s="130"/>
    </row>
    <row r="332" spans="2:18" ht="24.6" customHeight="1" x14ac:dyDescent="0.3">
      <c r="C332" s="119" t="s">
        <v>194</v>
      </c>
      <c r="D332" s="120"/>
      <c r="E332" s="120"/>
      <c r="F332" s="121"/>
      <c r="G332" s="127" t="str">
        <f ca="1">TEXT(AVERAGE(L278:N298),"0,0") &amp; "°C"</f>
        <v>5,5°C</v>
      </c>
      <c r="H332" s="127"/>
      <c r="I332" s="127"/>
      <c r="J332" s="127"/>
      <c r="K332" s="129" t="s">
        <v>196</v>
      </c>
      <c r="L332" s="129"/>
      <c r="M332" s="129"/>
      <c r="N332" s="129"/>
      <c r="O332" s="130" t="s">
        <v>104</v>
      </c>
      <c r="P332" s="130"/>
      <c r="Q332" s="130"/>
      <c r="R332" s="130"/>
    </row>
    <row r="333" spans="2:18" ht="28.95" customHeight="1" x14ac:dyDescent="0.3">
      <c r="C333" s="119" t="s">
        <v>140</v>
      </c>
      <c r="D333" s="120"/>
      <c r="E333" s="120"/>
      <c r="F333" s="121"/>
      <c r="G333" s="129" t="str">
        <f ca="1">TEXT(AVERAGE(O278:Q298),"0,0") &amp; "°C"</f>
        <v>5,1°C</v>
      </c>
      <c r="H333" s="129"/>
      <c r="I333" s="129"/>
      <c r="J333" s="129"/>
      <c r="K333" s="129" t="s">
        <v>196</v>
      </c>
      <c r="L333" s="129"/>
      <c r="M333" s="129"/>
      <c r="N333" s="129"/>
      <c r="O333" s="130" t="s">
        <v>104</v>
      </c>
      <c r="P333" s="130"/>
      <c r="Q333" s="130"/>
      <c r="R333" s="130"/>
    </row>
    <row r="334" spans="2:18" ht="28.95" customHeight="1" x14ac:dyDescent="0.3">
      <c r="C334" s="119" t="s">
        <v>136</v>
      </c>
      <c r="D334" s="120"/>
      <c r="E334" s="120"/>
      <c r="F334" s="121"/>
      <c r="G334" s="127" t="s">
        <v>133</v>
      </c>
      <c r="H334" s="127"/>
      <c r="I334" s="127"/>
      <c r="J334" s="127"/>
      <c r="K334" s="128" t="s">
        <v>134</v>
      </c>
      <c r="L334" s="129"/>
      <c r="M334" s="129"/>
      <c r="N334" s="129"/>
      <c r="O334" s="130" t="s">
        <v>104</v>
      </c>
      <c r="P334" s="130"/>
      <c r="Q334" s="130"/>
      <c r="R334" s="130"/>
    </row>
    <row r="335" spans="2:18" ht="27.6" customHeight="1" x14ac:dyDescent="0.3">
      <c r="C335" s="119" t="s">
        <v>135</v>
      </c>
      <c r="D335" s="120"/>
      <c r="E335" s="120"/>
      <c r="F335" s="121"/>
      <c r="G335" s="127" t="s">
        <v>143</v>
      </c>
      <c r="H335" s="127"/>
      <c r="I335" s="127"/>
      <c r="J335" s="127"/>
      <c r="K335" s="128" t="s">
        <v>137</v>
      </c>
      <c r="L335" s="129"/>
      <c r="M335" s="129"/>
      <c r="N335" s="129"/>
      <c r="O335" s="130" t="s">
        <v>104</v>
      </c>
      <c r="P335" s="130"/>
      <c r="Q335" s="130"/>
      <c r="R335" s="130"/>
    </row>
    <row r="336" spans="2:18" ht="30.6" customHeight="1" x14ac:dyDescent="0.3"/>
    <row r="338" spans="2:19" ht="14.4" customHeight="1" x14ac:dyDescent="0.3">
      <c r="B338" s="118" t="s">
        <v>155</v>
      </c>
      <c r="C338" s="118"/>
      <c r="D338" s="118"/>
      <c r="E338" s="118"/>
      <c r="F338" s="118"/>
      <c r="G338" s="118"/>
      <c r="H338" s="118"/>
      <c r="I338" s="118"/>
      <c r="J338" s="118"/>
      <c r="K338" s="118"/>
      <c r="L338" s="118"/>
      <c r="M338" s="118"/>
      <c r="N338" s="118"/>
      <c r="O338" s="118"/>
      <c r="P338" s="118"/>
      <c r="Q338" s="118"/>
      <c r="R338" s="118"/>
      <c r="S338" s="118"/>
    </row>
    <row r="339" spans="2:19" x14ac:dyDescent="0.3">
      <c r="B339" s="118"/>
      <c r="C339" s="118"/>
      <c r="D339" s="118"/>
      <c r="E339" s="118"/>
      <c r="F339" s="118"/>
      <c r="G339" s="118"/>
      <c r="H339" s="118"/>
      <c r="I339" s="118"/>
      <c r="J339" s="118"/>
      <c r="K339" s="118"/>
      <c r="L339" s="118"/>
      <c r="M339" s="118"/>
      <c r="N339" s="118"/>
      <c r="O339" s="118"/>
      <c r="P339" s="118"/>
      <c r="Q339" s="118"/>
      <c r="R339" s="118"/>
      <c r="S339" s="118"/>
    </row>
    <row r="342" spans="2:19" x14ac:dyDescent="0.3">
      <c r="B342" s="117" t="s">
        <v>175</v>
      </c>
      <c r="C342" s="117"/>
      <c r="D342" s="117"/>
      <c r="E342" s="117"/>
      <c r="F342" s="117"/>
      <c r="G342" s="117"/>
      <c r="H342" s="117"/>
      <c r="I342" s="117"/>
      <c r="J342" s="117"/>
      <c r="K342" s="117"/>
      <c r="L342" s="117"/>
      <c r="M342" s="117"/>
      <c r="N342" s="117"/>
      <c r="O342" s="117"/>
      <c r="P342" s="117"/>
      <c r="Q342" s="117"/>
      <c r="R342" s="117"/>
      <c r="S342" s="117"/>
    </row>
    <row r="440" ht="29.4" customHeight="1" x14ac:dyDescent="0.3"/>
    <row r="446" ht="27.6" customHeight="1" x14ac:dyDescent="0.3"/>
    <row r="449" ht="28.2" customHeight="1" x14ac:dyDescent="0.3"/>
    <row r="452" ht="27.6" customHeight="1" x14ac:dyDescent="0.3"/>
    <row r="469" ht="14.4" customHeight="1" x14ac:dyDescent="0.3"/>
    <row r="470" ht="14.4" customHeight="1" x14ac:dyDescent="0.3"/>
    <row r="480" ht="27" customHeight="1" x14ac:dyDescent="0.3"/>
    <row r="481" ht="30" customHeight="1" x14ac:dyDescent="0.3"/>
    <row r="482" ht="30" customHeight="1" x14ac:dyDescent="0.3"/>
    <row r="483" ht="27" customHeight="1" x14ac:dyDescent="0.3"/>
  </sheetData>
  <mergeCells count="477">
    <mergeCell ref="O334:R334"/>
    <mergeCell ref="O293:Q293"/>
    <mergeCell ref="O294:Q294"/>
    <mergeCell ref="O295:Q295"/>
    <mergeCell ref="O296:Q296"/>
    <mergeCell ref="O297:Q297"/>
    <mergeCell ref="O298:Q298"/>
    <mergeCell ref="O299:Q299"/>
    <mergeCell ref="O300:Q300"/>
    <mergeCell ref="K330:N330"/>
    <mergeCell ref="O330:R330"/>
    <mergeCell ref="E299:F299"/>
    <mergeCell ref="G299:H299"/>
    <mergeCell ref="I299:K299"/>
    <mergeCell ref="L299:N299"/>
    <mergeCell ref="E300:F300"/>
    <mergeCell ref="G300:H300"/>
    <mergeCell ref="I300:K300"/>
    <mergeCell ref="L300:N300"/>
    <mergeCell ref="O308:Q308"/>
    <mergeCell ref="R308:S308"/>
    <mergeCell ref="E297:F297"/>
    <mergeCell ref="G297:H297"/>
    <mergeCell ref="I297:K297"/>
    <mergeCell ref="L297:N297"/>
    <mergeCell ref="E298:F298"/>
    <mergeCell ref="G298:H298"/>
    <mergeCell ref="I298:K298"/>
    <mergeCell ref="L298:N298"/>
    <mergeCell ref="O277:Q277"/>
    <mergeCell ref="O278:Q278"/>
    <mergeCell ref="O279:Q279"/>
    <mergeCell ref="O280:Q280"/>
    <mergeCell ref="O281:Q281"/>
    <mergeCell ref="O282:Q282"/>
    <mergeCell ref="O283:Q283"/>
    <mergeCell ref="O284:Q284"/>
    <mergeCell ref="O285:Q285"/>
    <mergeCell ref="O286:Q286"/>
    <mergeCell ref="O287:Q287"/>
    <mergeCell ref="O288:Q288"/>
    <mergeCell ref="O289:Q289"/>
    <mergeCell ref="O290:Q290"/>
    <mergeCell ref="O291:Q291"/>
    <mergeCell ref="O292:Q292"/>
    <mergeCell ref="C295:D295"/>
    <mergeCell ref="E295:F295"/>
    <mergeCell ref="G295:H295"/>
    <mergeCell ref="I295:K295"/>
    <mergeCell ref="L295:N295"/>
    <mergeCell ref="C296:D296"/>
    <mergeCell ref="E296:F296"/>
    <mergeCell ref="G296:H296"/>
    <mergeCell ref="I296:K296"/>
    <mergeCell ref="L296:N296"/>
    <mergeCell ref="C293:D293"/>
    <mergeCell ref="E293:F293"/>
    <mergeCell ref="G293:H293"/>
    <mergeCell ref="I293:K293"/>
    <mergeCell ref="L293:N293"/>
    <mergeCell ref="C294:D294"/>
    <mergeCell ref="E294:F294"/>
    <mergeCell ref="G294:H294"/>
    <mergeCell ref="I294:K294"/>
    <mergeCell ref="L294:N294"/>
    <mergeCell ref="C291:D291"/>
    <mergeCell ref="E291:F291"/>
    <mergeCell ref="G291:H291"/>
    <mergeCell ref="I291:K291"/>
    <mergeCell ref="L291:N291"/>
    <mergeCell ref="C292:D292"/>
    <mergeCell ref="E292:F292"/>
    <mergeCell ref="G292:H292"/>
    <mergeCell ref="I292:K292"/>
    <mergeCell ref="L292:N292"/>
    <mergeCell ref="C289:D289"/>
    <mergeCell ref="E289:F289"/>
    <mergeCell ref="G289:H289"/>
    <mergeCell ref="I289:K289"/>
    <mergeCell ref="L289:N289"/>
    <mergeCell ref="C290:D290"/>
    <mergeCell ref="E290:F290"/>
    <mergeCell ref="G290:H290"/>
    <mergeCell ref="I290:K290"/>
    <mergeCell ref="L290:N290"/>
    <mergeCell ref="C287:D287"/>
    <mergeCell ref="E287:F287"/>
    <mergeCell ref="G287:H287"/>
    <mergeCell ref="I287:K287"/>
    <mergeCell ref="L287:N287"/>
    <mergeCell ref="C288:D288"/>
    <mergeCell ref="E288:F288"/>
    <mergeCell ref="G288:H288"/>
    <mergeCell ref="I288:K288"/>
    <mergeCell ref="L288:N288"/>
    <mergeCell ref="C285:D285"/>
    <mergeCell ref="E285:F285"/>
    <mergeCell ref="G285:H285"/>
    <mergeCell ref="I285:K285"/>
    <mergeCell ref="L285:N285"/>
    <mergeCell ref="C286:D286"/>
    <mergeCell ref="E286:F286"/>
    <mergeCell ref="G286:H286"/>
    <mergeCell ref="I286:K286"/>
    <mergeCell ref="L286:N286"/>
    <mergeCell ref="C283:D283"/>
    <mergeCell ref="E283:F283"/>
    <mergeCell ref="G283:H283"/>
    <mergeCell ref="I283:K283"/>
    <mergeCell ref="L283:N283"/>
    <mergeCell ref="C284:D284"/>
    <mergeCell ref="E284:F284"/>
    <mergeCell ref="G284:H284"/>
    <mergeCell ref="I284:K284"/>
    <mergeCell ref="L284:N284"/>
    <mergeCell ref="C281:D281"/>
    <mergeCell ref="E281:F281"/>
    <mergeCell ref="G281:H281"/>
    <mergeCell ref="I281:K281"/>
    <mergeCell ref="L281:N281"/>
    <mergeCell ref="C282:D282"/>
    <mergeCell ref="E282:F282"/>
    <mergeCell ref="G282:H282"/>
    <mergeCell ref="I282:K282"/>
    <mergeCell ref="L282:N282"/>
    <mergeCell ref="C279:D279"/>
    <mergeCell ref="E279:F279"/>
    <mergeCell ref="G279:H279"/>
    <mergeCell ref="I279:K279"/>
    <mergeCell ref="L279:N279"/>
    <mergeCell ref="C280:D280"/>
    <mergeCell ref="E280:F280"/>
    <mergeCell ref="G280:H280"/>
    <mergeCell ref="I280:K280"/>
    <mergeCell ref="L280:N280"/>
    <mergeCell ref="C277:D277"/>
    <mergeCell ref="E277:F277"/>
    <mergeCell ref="G277:H277"/>
    <mergeCell ref="I277:K277"/>
    <mergeCell ref="L277:N277"/>
    <mergeCell ref="C278:D278"/>
    <mergeCell ref="E278:F278"/>
    <mergeCell ref="G278:H278"/>
    <mergeCell ref="I278:K278"/>
    <mergeCell ref="L278:N278"/>
    <mergeCell ref="C259:F259"/>
    <mergeCell ref="G259:J259"/>
    <mergeCell ref="K259:N259"/>
    <mergeCell ref="O259:R259"/>
    <mergeCell ref="C260:F260"/>
    <mergeCell ref="G260:J260"/>
    <mergeCell ref="K260:N260"/>
    <mergeCell ref="O260:R260"/>
    <mergeCell ref="C276:D276"/>
    <mergeCell ref="E276:F276"/>
    <mergeCell ref="G276:H276"/>
    <mergeCell ref="I276:K276"/>
    <mergeCell ref="L276:N276"/>
    <mergeCell ref="O276:Q276"/>
    <mergeCell ref="B263:S264"/>
    <mergeCell ref="O269:Q269"/>
    <mergeCell ref="R269:S269"/>
    <mergeCell ref="O231:Q231"/>
    <mergeCell ref="R231:S231"/>
    <mergeCell ref="G256:J256"/>
    <mergeCell ref="K256:N256"/>
    <mergeCell ref="O256:R256"/>
    <mergeCell ref="G257:J257"/>
    <mergeCell ref="K257:N257"/>
    <mergeCell ref="O257:R257"/>
    <mergeCell ref="C258:F258"/>
    <mergeCell ref="G258:J258"/>
    <mergeCell ref="K258:N258"/>
    <mergeCell ref="O258:R258"/>
    <mergeCell ref="K48:P48"/>
    <mergeCell ref="K45:O45"/>
    <mergeCell ref="P70:S70"/>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H70:L70"/>
    <mergeCell ref="B60:S60"/>
    <mergeCell ref="B64:S64"/>
    <mergeCell ref="C5:G5"/>
    <mergeCell ref="I5:R5"/>
    <mergeCell ref="I6:R6"/>
    <mergeCell ref="M31:R31"/>
    <mergeCell ref="I1:K1"/>
    <mergeCell ref="I31:L31"/>
    <mergeCell ref="C3:R3"/>
    <mergeCell ref="I9:R9"/>
    <mergeCell ref="O1:Q1"/>
    <mergeCell ref="R1:S1"/>
    <mergeCell ref="C13:G13"/>
    <mergeCell ref="C12:G12"/>
    <mergeCell ref="C11:G11"/>
    <mergeCell ref="C10:G10"/>
    <mergeCell ref="C9:G9"/>
    <mergeCell ref="C8:G8"/>
    <mergeCell ref="C7:G7"/>
    <mergeCell ref="C6:G6"/>
    <mergeCell ref="B99:S99"/>
    <mergeCell ref="B129:S129"/>
    <mergeCell ref="B131:S131"/>
    <mergeCell ref="B133:S137"/>
    <mergeCell ref="I7:R7"/>
    <mergeCell ref="I8:R8"/>
    <mergeCell ref="C15:R15"/>
    <mergeCell ref="C17:G17"/>
    <mergeCell ref="C18:G18"/>
    <mergeCell ref="I13:R13"/>
    <mergeCell ref="I19:R19"/>
    <mergeCell ref="I20:R20"/>
    <mergeCell ref="I21:R21"/>
    <mergeCell ref="C23:R28"/>
    <mergeCell ref="I11:R11"/>
    <mergeCell ref="I12:R12"/>
    <mergeCell ref="B51:S58"/>
    <mergeCell ref="F45:J45"/>
    <mergeCell ref="F48:J48"/>
    <mergeCell ref="F46:G46"/>
    <mergeCell ref="K46:L46"/>
    <mergeCell ref="B84:S85"/>
    <mergeCell ref="B87:S87"/>
    <mergeCell ref="B91:S93"/>
    <mergeCell ref="P71:S71"/>
    <mergeCell ref="H71:L71"/>
    <mergeCell ref="M70:O70"/>
    <mergeCell ref="M71:O71"/>
    <mergeCell ref="B70:G70"/>
    <mergeCell ref="B71:G71"/>
    <mergeCell ref="B82:S82"/>
    <mergeCell ref="R74:S74"/>
    <mergeCell ref="O74:Q74"/>
    <mergeCell ref="B76:S76"/>
    <mergeCell ref="B78:S80"/>
    <mergeCell ref="R188:S188"/>
    <mergeCell ref="F176:G176"/>
    <mergeCell ref="D169:E169"/>
    <mergeCell ref="H169:I169"/>
    <mergeCell ref="J169:K169"/>
    <mergeCell ref="L169:N169"/>
    <mergeCell ref="J170:K170"/>
    <mergeCell ref="J171:K171"/>
    <mergeCell ref="J172:K172"/>
    <mergeCell ref="J173:K173"/>
    <mergeCell ref="J176:K176"/>
    <mergeCell ref="F179:H179"/>
    <mergeCell ref="I179:K179"/>
    <mergeCell ref="L179:N179"/>
    <mergeCell ref="D176:E176"/>
    <mergeCell ref="D166:E166"/>
    <mergeCell ref="F166:G166"/>
    <mergeCell ref="H166:I166"/>
    <mergeCell ref="J166:K166"/>
    <mergeCell ref="L166:N166"/>
    <mergeCell ref="D167:E167"/>
    <mergeCell ref="F167:G167"/>
    <mergeCell ref="H167:I167"/>
    <mergeCell ref="D168:E168"/>
    <mergeCell ref="F168:G168"/>
    <mergeCell ref="H168:I168"/>
    <mergeCell ref="J168:K168"/>
    <mergeCell ref="L168:N168"/>
    <mergeCell ref="J167:K167"/>
    <mergeCell ref="L167:N167"/>
    <mergeCell ref="E197:F197"/>
    <mergeCell ref="G197:H197"/>
    <mergeCell ref="I197:J197"/>
    <mergeCell ref="K197:M197"/>
    <mergeCell ref="N197:P197"/>
    <mergeCell ref="L170:N170"/>
    <mergeCell ref="L171:N171"/>
    <mergeCell ref="L172:N172"/>
    <mergeCell ref="L173:N173"/>
    <mergeCell ref="L174:N174"/>
    <mergeCell ref="L175:N175"/>
    <mergeCell ref="L176:N176"/>
    <mergeCell ref="F178:H178"/>
    <mergeCell ref="I178:K178"/>
    <mergeCell ref="L178:N178"/>
    <mergeCell ref="H170:I170"/>
    <mergeCell ref="H171:I171"/>
    <mergeCell ref="H172:I172"/>
    <mergeCell ref="H173:I173"/>
    <mergeCell ref="H174:I174"/>
    <mergeCell ref="H175:I175"/>
    <mergeCell ref="H176:I176"/>
    <mergeCell ref="O188:Q188"/>
    <mergeCell ref="I204:J204"/>
    <mergeCell ref="I205:J205"/>
    <mergeCell ref="E198:F198"/>
    <mergeCell ref="G198:H198"/>
    <mergeCell ref="I198:J198"/>
    <mergeCell ref="K198:M198"/>
    <mergeCell ref="N198:P198"/>
    <mergeCell ref="E199:F199"/>
    <mergeCell ref="E200:F200"/>
    <mergeCell ref="I199:J199"/>
    <mergeCell ref="I200:J200"/>
    <mergeCell ref="N199:P199"/>
    <mergeCell ref="N200:P200"/>
    <mergeCell ref="G199:H199"/>
    <mergeCell ref="G200:H200"/>
    <mergeCell ref="K199:M199"/>
    <mergeCell ref="K200:M200"/>
    <mergeCell ref="K205:M205"/>
    <mergeCell ref="E206:F206"/>
    <mergeCell ref="E207:F207"/>
    <mergeCell ref="G201:H201"/>
    <mergeCell ref="G202:H202"/>
    <mergeCell ref="G203:H203"/>
    <mergeCell ref="G204:H204"/>
    <mergeCell ref="G205:H205"/>
    <mergeCell ref="G206:H206"/>
    <mergeCell ref="G207:H207"/>
    <mergeCell ref="K206:M206"/>
    <mergeCell ref="K207:M207"/>
    <mergeCell ref="N201:P201"/>
    <mergeCell ref="N202:P202"/>
    <mergeCell ref="N203:P203"/>
    <mergeCell ref="N204:P204"/>
    <mergeCell ref="N205:P205"/>
    <mergeCell ref="N206:P206"/>
    <mergeCell ref="N207:P207"/>
    <mergeCell ref="N208:P208"/>
    <mergeCell ref="N209:P209"/>
    <mergeCell ref="I201:J201"/>
    <mergeCell ref="I202:J202"/>
    <mergeCell ref="I203:J203"/>
    <mergeCell ref="E210:F210"/>
    <mergeCell ref="G210:H210"/>
    <mergeCell ref="I210:J210"/>
    <mergeCell ref="K210:M210"/>
    <mergeCell ref="N210:P210"/>
    <mergeCell ref="E208:F208"/>
    <mergeCell ref="E209:F209"/>
    <mergeCell ref="G208:H208"/>
    <mergeCell ref="G209:H209"/>
    <mergeCell ref="I208:J208"/>
    <mergeCell ref="I209:J209"/>
    <mergeCell ref="K208:M208"/>
    <mergeCell ref="K209:M209"/>
    <mergeCell ref="K201:M201"/>
    <mergeCell ref="K202:M202"/>
    <mergeCell ref="K203:M203"/>
    <mergeCell ref="I206:J206"/>
    <mergeCell ref="I207:J207"/>
    <mergeCell ref="K204:M204"/>
    <mergeCell ref="K213:M213"/>
    <mergeCell ref="N213:P213"/>
    <mergeCell ref="E214:F214"/>
    <mergeCell ref="G214:H214"/>
    <mergeCell ref="I214:J214"/>
    <mergeCell ref="K214:M214"/>
    <mergeCell ref="N214:P214"/>
    <mergeCell ref="E211:F211"/>
    <mergeCell ref="G211:H211"/>
    <mergeCell ref="I211:J211"/>
    <mergeCell ref="K211:M211"/>
    <mergeCell ref="N211:P211"/>
    <mergeCell ref="E212:F212"/>
    <mergeCell ref="G212:H212"/>
    <mergeCell ref="I212:J212"/>
    <mergeCell ref="K212:M212"/>
    <mergeCell ref="N212:P212"/>
    <mergeCell ref="K217:M217"/>
    <mergeCell ref="N217:P217"/>
    <mergeCell ref="E218:F218"/>
    <mergeCell ref="G218:H218"/>
    <mergeCell ref="I218:J218"/>
    <mergeCell ref="K218:M218"/>
    <mergeCell ref="N218:P218"/>
    <mergeCell ref="E215:F215"/>
    <mergeCell ref="G215:H215"/>
    <mergeCell ref="I215:J215"/>
    <mergeCell ref="K215:M215"/>
    <mergeCell ref="N215:P215"/>
    <mergeCell ref="E216:F216"/>
    <mergeCell ref="G216:H216"/>
    <mergeCell ref="I216:J216"/>
    <mergeCell ref="K216:M216"/>
    <mergeCell ref="N216:P216"/>
    <mergeCell ref="N220:P220"/>
    <mergeCell ref="E221:F221"/>
    <mergeCell ref="G221:H221"/>
    <mergeCell ref="I221:J221"/>
    <mergeCell ref="K221:M221"/>
    <mergeCell ref="N221:P221"/>
    <mergeCell ref="E220:F220"/>
    <mergeCell ref="G220:H220"/>
    <mergeCell ref="I220:J220"/>
    <mergeCell ref="O112:Q112"/>
    <mergeCell ref="R112:S112"/>
    <mergeCell ref="O152:Q152"/>
    <mergeCell ref="R152:S152"/>
    <mergeCell ref="J174:K174"/>
    <mergeCell ref="J175:K175"/>
    <mergeCell ref="D170:E170"/>
    <mergeCell ref="D171:E171"/>
    <mergeCell ref="D172:E172"/>
    <mergeCell ref="D173:E173"/>
    <mergeCell ref="D174:E174"/>
    <mergeCell ref="D175:E175"/>
    <mergeCell ref="F170:G170"/>
    <mergeCell ref="F171:G171"/>
    <mergeCell ref="F172:G172"/>
    <mergeCell ref="B143:S145"/>
    <mergeCell ref="B147:S148"/>
    <mergeCell ref="F173:G173"/>
    <mergeCell ref="F174:G174"/>
    <mergeCell ref="F175:G175"/>
    <mergeCell ref="B139:S141"/>
    <mergeCell ref="F169:G169"/>
    <mergeCell ref="B157:S159"/>
    <mergeCell ref="B162:S162"/>
    <mergeCell ref="C299:D299"/>
    <mergeCell ref="C298:D298"/>
    <mergeCell ref="C297:D297"/>
    <mergeCell ref="C257:F257"/>
    <mergeCell ref="C256:F256"/>
    <mergeCell ref="B127:I127"/>
    <mergeCell ref="E219:F219"/>
    <mergeCell ref="G219:H219"/>
    <mergeCell ref="I219:J219"/>
    <mergeCell ref="E217:F217"/>
    <mergeCell ref="G217:H217"/>
    <mergeCell ref="I217:J217"/>
    <mergeCell ref="E213:F213"/>
    <mergeCell ref="G213:H213"/>
    <mergeCell ref="I213:J213"/>
    <mergeCell ref="B193:S194"/>
    <mergeCell ref="E201:F201"/>
    <mergeCell ref="E202:F202"/>
    <mergeCell ref="E203:F203"/>
    <mergeCell ref="E204:F204"/>
    <mergeCell ref="E205:F205"/>
    <mergeCell ref="K219:M219"/>
    <mergeCell ref="N219:P219"/>
    <mergeCell ref="K220:M220"/>
    <mergeCell ref="B342:S342"/>
    <mergeCell ref="B338:S339"/>
    <mergeCell ref="C335:F335"/>
    <mergeCell ref="C334:F334"/>
    <mergeCell ref="C333:F333"/>
    <mergeCell ref="C332:F332"/>
    <mergeCell ref="C331:F331"/>
    <mergeCell ref="C330:F330"/>
    <mergeCell ref="C300:D300"/>
    <mergeCell ref="G335:J335"/>
    <mergeCell ref="K335:N335"/>
    <mergeCell ref="O335:R335"/>
    <mergeCell ref="G333:J333"/>
    <mergeCell ref="K333:N333"/>
    <mergeCell ref="O333:R333"/>
    <mergeCell ref="G331:J331"/>
    <mergeCell ref="K331:N331"/>
    <mergeCell ref="O331:R331"/>
    <mergeCell ref="G332:J332"/>
    <mergeCell ref="K332:N332"/>
    <mergeCell ref="O332:R332"/>
    <mergeCell ref="G334:J334"/>
    <mergeCell ref="K334:N334"/>
    <mergeCell ref="G330:J330"/>
  </mergeCells>
  <phoneticPr fontId="28"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VALIDACIÓN&amp;R&amp;8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C6D6-17F1-4B95-BE0B-53CC748C944F}">
  <dimension ref="F6:I12"/>
  <sheetViews>
    <sheetView workbookViewId="0">
      <selection activeCell="K10" sqref="K10:K14"/>
    </sheetView>
  </sheetViews>
  <sheetFormatPr baseColWidth="10" defaultRowHeight="14.4" x14ac:dyDescent="0.3"/>
  <cols>
    <col min="6" max="6" width="35.21875" customWidth="1"/>
    <col min="8" max="8" width="15.6640625" bestFit="1" customWidth="1"/>
    <col min="9" max="9" width="13.109375" bestFit="1" customWidth="1"/>
  </cols>
  <sheetData>
    <row r="6" spans="6:9" x14ac:dyDescent="0.3">
      <c r="F6" s="112" t="s">
        <v>159</v>
      </c>
      <c r="G6" s="112" t="s">
        <v>160</v>
      </c>
      <c r="H6" s="112" t="s">
        <v>161</v>
      </c>
      <c r="I6" s="112" t="s">
        <v>162</v>
      </c>
    </row>
    <row r="7" spans="6:9" ht="28.8" x14ac:dyDescent="0.3">
      <c r="F7" s="108" t="s">
        <v>163</v>
      </c>
      <c r="G7" s="109">
        <v>2</v>
      </c>
      <c r="H7" s="110">
        <v>120000</v>
      </c>
      <c r="I7" s="110">
        <f>H7*G7</f>
        <v>240000</v>
      </c>
    </row>
    <row r="8" spans="6:9" ht="28.8" x14ac:dyDescent="0.3">
      <c r="F8" s="108" t="s">
        <v>164</v>
      </c>
      <c r="G8" s="109">
        <v>1</v>
      </c>
      <c r="H8" s="110">
        <v>30000</v>
      </c>
      <c r="I8" s="110">
        <f>H8*G8</f>
        <v>30000</v>
      </c>
    </row>
    <row r="9" spans="6:9" x14ac:dyDescent="0.3">
      <c r="H9" s="107" t="s">
        <v>165</v>
      </c>
      <c r="I9" s="111">
        <f>SUM(I7:I8)</f>
        <v>270000</v>
      </c>
    </row>
    <row r="10" spans="6:9" x14ac:dyDescent="0.3">
      <c r="H10" s="107" t="s">
        <v>166</v>
      </c>
      <c r="I10" s="111">
        <f>I9</f>
        <v>270000</v>
      </c>
    </row>
    <row r="11" spans="6:9" x14ac:dyDescent="0.3">
      <c r="H11" s="107" t="s">
        <v>167</v>
      </c>
      <c r="I11" s="111">
        <f>I10*19%</f>
        <v>51300</v>
      </c>
    </row>
    <row r="12" spans="6:9" x14ac:dyDescent="0.3">
      <c r="H12" s="107" t="s">
        <v>168</v>
      </c>
      <c r="I12" s="111">
        <f>I10+I11</f>
        <v>321300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CERTIFICADO </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2025-03-27T13:40:19Z</cp:lastPrinted>
  <dcterms:created xsi:type="dcterms:W3CDTF">2012-07-25T22:15:54Z</dcterms:created>
  <dcterms:modified xsi:type="dcterms:W3CDTF">2026-08-28T15:54:53Z</dcterms:modified>
</cp:coreProperties>
</file>