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heme/themeOverride1.xml" ContentType="application/vnd.openxmlformats-officedocument.themeOverride+xml"/>
  <Override PartName="/xl/charts/chart11.xml" ContentType="application/vnd.openxmlformats-officedocument.drawingml.chart+xml"/>
  <Override PartName="/xl/theme/themeOverride2.xml" ContentType="application/vnd.openxmlformats-officedocument.themeOverride+xml"/>
  <Override PartName="/xl/charts/chart12.xml" ContentType="application/vnd.openxmlformats-officedocument.drawingml.chart+xml"/>
  <Override PartName="/xl/theme/themeOverride3.xml" ContentType="application/vnd.openxmlformats-officedocument.themeOverride+xml"/>
  <Override PartName="/xl/charts/chart1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4.xml" ContentType="application/vnd.openxmlformats-officedocument.themeOverride+xml"/>
  <Override PartName="/xl/charts/chart1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5.xml" ContentType="application/vnd.openxmlformats-officedocument.themeOverride+xml"/>
  <Override PartName="/xl/charts/chart2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O:\OneDrive - University Of Cambridge\A Master Degree (Australia)\Major Research (50 Points)\Data Analysing &amp; Thesis\Data Analysis\"/>
    </mc:Choice>
  </mc:AlternateContent>
  <bookViews>
    <workbookView xWindow="0" yWindow="0" windowWidth="25200" windowHeight="11355" tabRatio="903" activeTab="14"/>
  </bookViews>
  <sheets>
    <sheet name="Study site Biomass and Carbon" sheetId="31" r:id="rId1"/>
    <sheet name="Info of Taungoo District" sheetId="30" state="hidden" r:id="rId2"/>
    <sheet name="BA &amp; % Teak and Height" sheetId="34" r:id="rId3"/>
    <sheet name="Diameter Distribution (site le)" sheetId="24" r:id="rId4"/>
    <sheet name="Diameter Distribution" sheetId="29" state="hidden" r:id="rId5"/>
    <sheet name="Dominant species (50 x 50)" sheetId="26" state="hidden" r:id="rId6"/>
    <sheet name="50x50 Plots (tree no.) DBH" sheetId="20" r:id="rId7"/>
    <sheet name="Carbon Credit" sheetId="36" r:id="rId8"/>
    <sheet name="25x 25 Plots (tree no. &amp; BA)" sheetId="21" r:id="rId9"/>
    <sheet name="Diameter Distribution (25 x 25)" sheetId="25" state="hidden" r:id="rId10"/>
    <sheet name="Dominant species (25 x 25)" sheetId="27" state="hidden" r:id="rId11"/>
    <sheet name="Confident Interval" sheetId="28" state="hidden" r:id="rId12"/>
    <sheet name="10 x10 Pltos" sheetId="22" r:id="rId13"/>
    <sheet name="Raw Data (No. of Species)" sheetId="32" state="hidden" r:id="rId14"/>
    <sheet name="Kabaung(54-1)" sheetId="1" r:id="rId15"/>
    <sheet name="(54-2)" sheetId="2" r:id="rId16"/>
    <sheet name="(55-3)" sheetId="3" r:id="rId17"/>
    <sheet name="(55-4)" sheetId="4" r:id="rId18"/>
    <sheet name="(60-5)" sheetId="5" r:id="rId19"/>
    <sheet name="(60-6)" sheetId="6" r:id="rId20"/>
    <sheet name="(61-7)" sheetId="7" r:id="rId21"/>
    <sheet name="(61-8)" sheetId="8" r:id="rId22"/>
    <sheet name="(64-9)" sheetId="9" r:id="rId23"/>
    <sheet name="(64-10)" sheetId="10" r:id="rId24"/>
    <sheet name="Yoma UF(13-1)" sheetId="11" r:id="rId25"/>
    <sheet name="Yoma UF(13-2)" sheetId="12" r:id="rId26"/>
    <sheet name="Yoma UF(13-3)" sheetId="13" r:id="rId27"/>
    <sheet name="Yoma UF(13-4)" sheetId="14" r:id="rId28"/>
    <sheet name="Kyaukmasin(18-1)" sheetId="15" r:id="rId29"/>
    <sheet name="Kyaukmasin(19-2)" sheetId="16" r:id="rId30"/>
    <sheet name="Kyaukmasin(20-3)" sheetId="17" r:id="rId31"/>
    <sheet name="Kyaukmasin(14-4)" sheetId="18" r:id="rId32"/>
    <sheet name="Kyaukmasin(12-5)" sheetId="19" r:id="rId33"/>
    <sheet name="Sheet1" sheetId="35" r:id="rId34"/>
    <sheet name="Taungoo Forest %" sheetId="37" r:id="rId35"/>
  </sheets>
  <definedNames>
    <definedName name="_xlnm._FilterDatabase" localSheetId="15" hidden="1">'(54-2)'!$A$4:$I$51</definedName>
    <definedName name="_xlnm._FilterDatabase" localSheetId="16" hidden="1">'(55-3)'!$A$4:$P$37</definedName>
    <definedName name="_xlnm._FilterDatabase" localSheetId="17" hidden="1">'(55-4)'!$A$4:$O$38</definedName>
    <definedName name="_xlnm._FilterDatabase" localSheetId="18" hidden="1">'(60-5)'!$A$4:$P$29</definedName>
    <definedName name="_xlnm._FilterDatabase" localSheetId="19" hidden="1">'(60-6)'!$A$4:$H$41</definedName>
    <definedName name="_xlnm._FilterDatabase" localSheetId="20" hidden="1">'(61-7)'!$A$4:$P$25</definedName>
    <definedName name="_xlnm._FilterDatabase" localSheetId="21" hidden="1">'(61-8)'!$A$4:$P$29</definedName>
    <definedName name="_xlnm._FilterDatabase" localSheetId="23" hidden="1">'(64-10)'!$A$4:$H$30</definedName>
    <definedName name="_xlnm._FilterDatabase" localSheetId="22" hidden="1">'(64-9)'!$A$4:$H$37</definedName>
    <definedName name="_xlnm._FilterDatabase" localSheetId="8" hidden="1">'25x 25 Plots (tree no. &amp; BA)'!$A$1:$A$73</definedName>
    <definedName name="_xlnm._FilterDatabase" localSheetId="6" hidden="1">'50x50 Plots (tree no.) DBH'!$A$1:$E$528</definedName>
    <definedName name="_xlnm._FilterDatabase" localSheetId="9" hidden="1">'Diameter Distribution (25 x 25)'!$A$1:$D$36</definedName>
    <definedName name="_xlnm._FilterDatabase" localSheetId="3" hidden="1">'Diameter Distribution (site le)'!$P:$P</definedName>
    <definedName name="_xlnm._FilterDatabase" localSheetId="14" hidden="1">'Kabaung(54-1)'!$A$4:$I$29</definedName>
    <definedName name="_xlnm._FilterDatabase" localSheetId="32" hidden="1">'Kyaukmasin(12-5)'!$A$4:$H$32</definedName>
    <definedName name="_xlnm._FilterDatabase" localSheetId="31" hidden="1">'Kyaukmasin(14-4)'!$A$4:$H$42</definedName>
    <definedName name="_xlnm._FilterDatabase" localSheetId="28" hidden="1">'Kyaukmasin(18-1)'!$A$4:$H$29</definedName>
    <definedName name="_xlnm._FilterDatabase" localSheetId="29" hidden="1">'Kyaukmasin(19-2)'!$A$4:$H$31</definedName>
    <definedName name="_xlnm._FilterDatabase" localSheetId="30" hidden="1">'Kyaukmasin(20-3)'!$A$4:$H$38</definedName>
    <definedName name="_xlnm._FilterDatabase" localSheetId="13" hidden="1">'Raw Data (No. of Species)'!$O$2:$P$161</definedName>
    <definedName name="_xlnm._FilterDatabase" localSheetId="24" hidden="1">'Yoma UF(13-1)'!$A$4:$H$33</definedName>
    <definedName name="_xlnm._FilterDatabase" localSheetId="25" hidden="1">'Yoma UF(13-2)'!$A$4:$H$28</definedName>
    <definedName name="_xlnm._FilterDatabase" localSheetId="26" hidden="1">'Yoma UF(13-3)'!$A$4:$H$23</definedName>
    <definedName name="_xlnm._FilterDatabase" localSheetId="27" hidden="1">'Yoma UF(13-4)'!$A$4:$H$34</definedName>
  </definedNames>
  <calcPr calcId="171027"/>
</workbook>
</file>

<file path=xl/calcChain.xml><?xml version="1.0" encoding="utf-8"?>
<calcChain xmlns="http://schemas.openxmlformats.org/spreadsheetml/2006/main">
  <c r="K3" i="21" l="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" i="21"/>
  <c r="AI8" i="34" l="1"/>
  <c r="AI7" i="34"/>
  <c r="L2" i="20"/>
  <c r="AD13" i="34"/>
  <c r="AG7" i="34"/>
  <c r="AG6" i="34"/>
  <c r="AD12" i="34"/>
  <c r="F3" i="34" l="1"/>
  <c r="F4" i="34"/>
  <c r="F5" i="34"/>
  <c r="F6" i="34"/>
  <c r="F7" i="34"/>
  <c r="H3" i="34" s="1"/>
  <c r="F8" i="34"/>
  <c r="F9" i="34"/>
  <c r="F10" i="34"/>
  <c r="F11" i="34"/>
  <c r="F12" i="34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32" i="34"/>
  <c r="F33" i="34"/>
  <c r="F34" i="34"/>
  <c r="F35" i="34"/>
  <c r="F36" i="34"/>
  <c r="F37" i="34"/>
  <c r="F38" i="34"/>
  <c r="F39" i="34"/>
  <c r="F40" i="34"/>
  <c r="F41" i="34"/>
  <c r="F42" i="34"/>
  <c r="F43" i="34"/>
  <c r="F44" i="34"/>
  <c r="F45" i="34"/>
  <c r="F46" i="34"/>
  <c r="F47" i="34"/>
  <c r="F48" i="34"/>
  <c r="F49" i="34"/>
  <c r="F50" i="34"/>
  <c r="F51" i="34"/>
  <c r="F52" i="34"/>
  <c r="F53" i="34"/>
  <c r="F54" i="34"/>
  <c r="F55" i="34"/>
  <c r="F56" i="34"/>
  <c r="F57" i="34"/>
  <c r="F58" i="34"/>
  <c r="F59" i="34"/>
  <c r="F60" i="34"/>
  <c r="F61" i="34"/>
  <c r="F62" i="34"/>
  <c r="F63" i="34"/>
  <c r="F64" i="34"/>
  <c r="F65" i="34"/>
  <c r="F66" i="34"/>
  <c r="F67" i="34"/>
  <c r="F68" i="34"/>
  <c r="F69" i="34"/>
  <c r="F70" i="34"/>
  <c r="F71" i="34"/>
  <c r="F72" i="34"/>
  <c r="F73" i="34"/>
  <c r="F74" i="34"/>
  <c r="F75" i="34"/>
  <c r="F76" i="34"/>
  <c r="F77" i="34"/>
  <c r="F78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138" i="34"/>
  <c r="F139" i="34"/>
  <c r="F140" i="34"/>
  <c r="F141" i="34"/>
  <c r="F142" i="34"/>
  <c r="F143" i="34"/>
  <c r="F144" i="34"/>
  <c r="F145" i="34"/>
  <c r="F146" i="34"/>
  <c r="F147" i="34"/>
  <c r="F148" i="34"/>
  <c r="F149" i="34"/>
  <c r="F150" i="34"/>
  <c r="F151" i="34"/>
  <c r="F152" i="34"/>
  <c r="F153" i="34"/>
  <c r="F154" i="34"/>
  <c r="F155" i="34"/>
  <c r="F156" i="34"/>
  <c r="F157" i="34"/>
  <c r="F158" i="34"/>
  <c r="F159" i="34"/>
  <c r="F160" i="34"/>
  <c r="F161" i="34"/>
  <c r="F162" i="34"/>
  <c r="F163" i="34"/>
  <c r="F164" i="34"/>
  <c r="F165" i="34"/>
  <c r="F166" i="34"/>
  <c r="F167" i="34"/>
  <c r="F168" i="34"/>
  <c r="F169" i="34"/>
  <c r="F170" i="34"/>
  <c r="F171" i="34"/>
  <c r="F172" i="34"/>
  <c r="F173" i="34"/>
  <c r="F174" i="34"/>
  <c r="F175" i="34"/>
  <c r="F176" i="34"/>
  <c r="F177" i="34"/>
  <c r="F178" i="34"/>
  <c r="F179" i="34"/>
  <c r="F180" i="34"/>
  <c r="F181" i="34"/>
  <c r="F182" i="34"/>
  <c r="F183" i="34"/>
  <c r="F184" i="34"/>
  <c r="F185" i="34"/>
  <c r="F186" i="34"/>
  <c r="F187" i="34"/>
  <c r="F188" i="34"/>
  <c r="F189" i="34"/>
  <c r="F190" i="34"/>
  <c r="F191" i="34"/>
  <c r="F192" i="34"/>
  <c r="F193" i="34"/>
  <c r="F194" i="34"/>
  <c r="F195" i="34"/>
  <c r="F196" i="34"/>
  <c r="F197" i="34"/>
  <c r="F198" i="34"/>
  <c r="F199" i="34"/>
  <c r="F200" i="34"/>
  <c r="F201" i="34"/>
  <c r="F202" i="34"/>
  <c r="F203" i="34"/>
  <c r="F204" i="34"/>
  <c r="F205" i="34"/>
  <c r="F206" i="34"/>
  <c r="F207" i="34"/>
  <c r="F208" i="34"/>
  <c r="F209" i="34"/>
  <c r="F210" i="34"/>
  <c r="F211" i="34"/>
  <c r="F212" i="34"/>
  <c r="F213" i="34"/>
  <c r="F214" i="34"/>
  <c r="F215" i="34"/>
  <c r="F216" i="34"/>
  <c r="F217" i="34"/>
  <c r="F218" i="34"/>
  <c r="F219" i="34"/>
  <c r="F220" i="34"/>
  <c r="F221" i="34"/>
  <c r="F222" i="34"/>
  <c r="F223" i="34"/>
  <c r="F224" i="34"/>
  <c r="F225" i="34"/>
  <c r="F226" i="34"/>
  <c r="F227" i="34"/>
  <c r="F228" i="34"/>
  <c r="F229" i="34"/>
  <c r="F230" i="34"/>
  <c r="F231" i="34"/>
  <c r="F232" i="34"/>
  <c r="F233" i="34"/>
  <c r="F234" i="34"/>
  <c r="F235" i="34"/>
  <c r="F236" i="34"/>
  <c r="F237" i="34"/>
  <c r="F238" i="34"/>
  <c r="F239" i="34"/>
  <c r="F240" i="34"/>
  <c r="F241" i="34"/>
  <c r="F242" i="34"/>
  <c r="F243" i="34"/>
  <c r="F244" i="34"/>
  <c r="F245" i="34"/>
  <c r="F246" i="34"/>
  <c r="F247" i="34"/>
  <c r="F248" i="34"/>
  <c r="F249" i="34"/>
  <c r="F250" i="34"/>
  <c r="F251" i="34"/>
  <c r="F252" i="34"/>
  <c r="F253" i="34"/>
  <c r="F254" i="34"/>
  <c r="F255" i="34"/>
  <c r="F256" i="34"/>
  <c r="F257" i="34"/>
  <c r="F258" i="34"/>
  <c r="F259" i="34"/>
  <c r="F260" i="34"/>
  <c r="F261" i="34"/>
  <c r="F262" i="34"/>
  <c r="F263" i="34"/>
  <c r="F264" i="34"/>
  <c r="F265" i="34"/>
  <c r="F266" i="34"/>
  <c r="F267" i="34"/>
  <c r="F268" i="34"/>
  <c r="F269" i="34"/>
  <c r="F270" i="34"/>
  <c r="F271" i="34"/>
  <c r="F272" i="34"/>
  <c r="F273" i="34"/>
  <c r="F274" i="34"/>
  <c r="F275" i="34"/>
  <c r="F276" i="34"/>
  <c r="F277" i="34"/>
  <c r="F278" i="34"/>
  <c r="F279" i="34"/>
  <c r="F280" i="34"/>
  <c r="F281" i="34"/>
  <c r="F282" i="34"/>
  <c r="F283" i="34"/>
  <c r="F284" i="34"/>
  <c r="F285" i="34"/>
  <c r="P3" i="34"/>
  <c r="P4" i="34"/>
  <c r="P5" i="34"/>
  <c r="P6" i="34"/>
  <c r="P7" i="34"/>
  <c r="P8" i="34"/>
  <c r="P9" i="34"/>
  <c r="P10" i="34"/>
  <c r="P11" i="34"/>
  <c r="P12" i="34"/>
  <c r="P13" i="34"/>
  <c r="P14" i="34"/>
  <c r="P15" i="34"/>
  <c r="P16" i="34"/>
  <c r="P17" i="34"/>
  <c r="P18" i="34"/>
  <c r="P19" i="34"/>
  <c r="P20" i="34"/>
  <c r="P21" i="34"/>
  <c r="P22" i="34"/>
  <c r="P23" i="34"/>
  <c r="P24" i="34"/>
  <c r="P25" i="34"/>
  <c r="P26" i="34"/>
  <c r="P27" i="34"/>
  <c r="P28" i="34"/>
  <c r="P29" i="34"/>
  <c r="P30" i="34"/>
  <c r="P31" i="34"/>
  <c r="P32" i="34"/>
  <c r="P33" i="34"/>
  <c r="P34" i="34"/>
  <c r="P35" i="34"/>
  <c r="P36" i="34"/>
  <c r="P37" i="34"/>
  <c r="P38" i="34"/>
  <c r="P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P53" i="34"/>
  <c r="P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P68" i="34"/>
  <c r="P69" i="34"/>
  <c r="P70" i="34"/>
  <c r="P71" i="34"/>
  <c r="P72" i="34"/>
  <c r="P73" i="34"/>
  <c r="P74" i="34"/>
  <c r="P75" i="34"/>
  <c r="P76" i="34"/>
  <c r="P77" i="34"/>
  <c r="P78" i="34"/>
  <c r="P79" i="34"/>
  <c r="P80" i="34"/>
  <c r="P81" i="34"/>
  <c r="P82" i="34"/>
  <c r="P83" i="34"/>
  <c r="P84" i="34"/>
  <c r="P85" i="34"/>
  <c r="P86" i="34"/>
  <c r="P87" i="34"/>
  <c r="P88" i="34"/>
  <c r="P89" i="34"/>
  <c r="P90" i="34"/>
  <c r="P91" i="34"/>
  <c r="P92" i="34"/>
  <c r="P93" i="34"/>
  <c r="P94" i="34"/>
  <c r="P95" i="34"/>
  <c r="P96" i="34"/>
  <c r="P97" i="34"/>
  <c r="P98" i="34"/>
  <c r="P99" i="34"/>
  <c r="P100" i="34"/>
  <c r="Y3" i="34"/>
  <c r="D6" i="36" l="1"/>
  <c r="B6" i="36"/>
  <c r="B5" i="36"/>
  <c r="S2" i="21"/>
  <c r="B13" i="31" l="1"/>
  <c r="X12" i="20" l="1"/>
  <c r="U34" i="20" s="1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Y4" i="34"/>
  <c r="Y5" i="34"/>
  <c r="Y6" i="34"/>
  <c r="Y7" i="34"/>
  <c r="Y8" i="34"/>
  <c r="Y9" i="34"/>
  <c r="Y10" i="34"/>
  <c r="Y11" i="34"/>
  <c r="Y12" i="34"/>
  <c r="Y13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AA5" i="34" s="1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AA6" i="34" s="1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AA3" i="34" l="1"/>
  <c r="AA4" i="34"/>
  <c r="B28" i="31"/>
  <c r="B20" i="31"/>
  <c r="D31" i="1" l="1"/>
  <c r="D40" i="2"/>
  <c r="D38" i="3"/>
  <c r="D39" i="4"/>
  <c r="D31" i="5"/>
  <c r="D43" i="6"/>
  <c r="D27" i="7"/>
  <c r="D30" i="8"/>
  <c r="D39" i="9"/>
  <c r="D32" i="10"/>
  <c r="D35" i="11"/>
  <c r="D30" i="12"/>
  <c r="D25" i="13"/>
  <c r="D36" i="14"/>
  <c r="E30" i="15"/>
  <c r="E33" i="16"/>
  <c r="E40" i="17"/>
  <c r="D44" i="18"/>
  <c r="E32" i="19"/>
  <c r="I4" i="17" l="1"/>
  <c r="N80" i="31" l="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79" i="31"/>
  <c r="I5" i="19" l="1"/>
  <c r="I5" i="18"/>
  <c r="I5" i="16"/>
  <c r="I5" i="14"/>
  <c r="I5" i="13"/>
  <c r="I5" i="12"/>
  <c r="I5" i="11"/>
  <c r="I5" i="10"/>
  <c r="I5" i="9"/>
  <c r="I5" i="8"/>
  <c r="I5" i="7"/>
  <c r="I5" i="6"/>
  <c r="I5" i="5"/>
  <c r="I5" i="4"/>
  <c r="I5" i="3"/>
  <c r="I5" i="1"/>
  <c r="I5" i="2"/>
  <c r="AA7" i="34" l="1"/>
  <c r="R4" i="34"/>
  <c r="R5" i="34"/>
  <c r="R6" i="34"/>
  <c r="R3" i="34"/>
  <c r="H4" i="34"/>
  <c r="H5" i="34"/>
  <c r="H6" i="34"/>
  <c r="H7" i="34"/>
  <c r="H8" i="34"/>
  <c r="H9" i="34"/>
  <c r="H10" i="34"/>
  <c r="H11" i="34"/>
  <c r="H12" i="34"/>
  <c r="H14" i="34" l="1"/>
  <c r="AC20" i="34" s="1"/>
  <c r="R8" i="34"/>
  <c r="AC21" i="34" s="1"/>
  <c r="R7" i="34"/>
  <c r="AB21" i="34" s="1"/>
  <c r="AA8" i="34"/>
  <c r="AB22" i="34" s="1"/>
  <c r="AA9" i="34"/>
  <c r="AC22" i="34" s="1"/>
  <c r="H13" i="34"/>
  <c r="AB20" i="34" s="1"/>
  <c r="R22" i="21" l="1"/>
  <c r="R5" i="21"/>
  <c r="Q5" i="21"/>
  <c r="F23" i="31"/>
  <c r="L23" i="31" s="1"/>
  <c r="O5" i="16"/>
  <c r="O6" i="16"/>
  <c r="O7" i="16"/>
  <c r="O8" i="16"/>
  <c r="O9" i="16"/>
  <c r="O10" i="16"/>
  <c r="O11" i="16"/>
  <c r="O12" i="16"/>
  <c r="O13" i="16"/>
  <c r="O14" i="16"/>
  <c r="O5" i="17"/>
  <c r="P5" i="17" s="1"/>
  <c r="F25" i="31" s="1"/>
  <c r="I25" i="31" s="1"/>
  <c r="O5" i="18"/>
  <c r="O5" i="19"/>
  <c r="O5" i="11"/>
  <c r="O6" i="11"/>
  <c r="O7" i="11"/>
  <c r="O8" i="11"/>
  <c r="O9" i="11"/>
  <c r="O10" i="11"/>
  <c r="O5" i="12"/>
  <c r="O6" i="12"/>
  <c r="O7" i="12"/>
  <c r="O8" i="12"/>
  <c r="O9" i="12"/>
  <c r="O10" i="12"/>
  <c r="O11" i="12"/>
  <c r="O12" i="12"/>
  <c r="P5" i="13"/>
  <c r="P6" i="13"/>
  <c r="P7" i="13"/>
  <c r="P8" i="13"/>
  <c r="P9" i="13"/>
  <c r="P10" i="13"/>
  <c r="O5" i="14"/>
  <c r="P5" i="14" s="1"/>
  <c r="O6" i="14"/>
  <c r="O7" i="14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5" i="2"/>
  <c r="O5" i="3"/>
  <c r="P5" i="3" s="1"/>
  <c r="O6" i="3"/>
  <c r="F6" i="31"/>
  <c r="L6" i="31" s="1"/>
  <c r="O5" i="5"/>
  <c r="O5" i="6"/>
  <c r="O5" i="7"/>
  <c r="O6" i="7"/>
  <c r="O7" i="7"/>
  <c r="O8" i="7"/>
  <c r="O9" i="7"/>
  <c r="O5" i="8"/>
  <c r="P5" i="8" s="1"/>
  <c r="O6" i="8"/>
  <c r="O5" i="9"/>
  <c r="O6" i="9"/>
  <c r="O7" i="9"/>
  <c r="O8" i="9"/>
  <c r="O9" i="9"/>
  <c r="O10" i="9"/>
  <c r="O5" i="10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C3" i="31"/>
  <c r="C4" i="31"/>
  <c r="C5" i="31"/>
  <c r="C6" i="31"/>
  <c r="C7" i="31"/>
  <c r="C8" i="31"/>
  <c r="C9" i="31"/>
  <c r="C10" i="31"/>
  <c r="C11" i="31"/>
  <c r="C12" i="31"/>
  <c r="C23" i="31"/>
  <c r="C24" i="31"/>
  <c r="C25" i="31"/>
  <c r="C26" i="31"/>
  <c r="C27" i="31"/>
  <c r="G8" i="30"/>
  <c r="G7" i="30"/>
  <c r="E6" i="30"/>
  <c r="G6" i="30" s="1"/>
  <c r="C16" i="31"/>
  <c r="C21" i="31" s="1"/>
  <c r="C36" i="31" s="1"/>
  <c r="C17" i="31"/>
  <c r="C18" i="31"/>
  <c r="C19" i="31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O13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O11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O11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O7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O10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5" i="3"/>
  <c r="H3" i="25"/>
  <c r="H4" i="25"/>
  <c r="H2" i="25"/>
  <c r="T4" i="27"/>
  <c r="U4" i="27" s="1"/>
  <c r="T3" i="27"/>
  <c r="U3" i="27" s="1"/>
  <c r="L4" i="27"/>
  <c r="M4" i="27" s="1"/>
  <c r="L3" i="27"/>
  <c r="M3" i="27" s="1"/>
  <c r="E4" i="27"/>
  <c r="F4" i="27" s="1"/>
  <c r="E5" i="27"/>
  <c r="F5" i="27" s="1"/>
  <c r="E6" i="27"/>
  <c r="F6" i="27" s="1"/>
  <c r="E7" i="27"/>
  <c r="F7" i="27" s="1"/>
  <c r="E3" i="27"/>
  <c r="F3" i="27" s="1"/>
  <c r="S4" i="26"/>
  <c r="T4" i="26" s="1"/>
  <c r="S5" i="26"/>
  <c r="T5" i="26" s="1"/>
  <c r="S6" i="26"/>
  <c r="T6" i="26" s="1"/>
  <c r="S7" i="26"/>
  <c r="T7" i="26" s="1"/>
  <c r="S8" i="26"/>
  <c r="T8" i="26" s="1"/>
  <c r="S3" i="26"/>
  <c r="T3" i="26" s="1"/>
  <c r="E9" i="26"/>
  <c r="F9" i="26" s="1"/>
  <c r="L4" i="26"/>
  <c r="M4" i="26" s="1"/>
  <c r="L5" i="26"/>
  <c r="M5" i="26" s="1"/>
  <c r="L3" i="26"/>
  <c r="M3" i="26" s="1"/>
  <c r="E4" i="26"/>
  <c r="F4" i="26" s="1"/>
  <c r="E10" i="26"/>
  <c r="F10" i="26" s="1"/>
  <c r="E6" i="26"/>
  <c r="F6" i="26" s="1"/>
  <c r="E3" i="26"/>
  <c r="F3" i="26" s="1"/>
  <c r="E13" i="26"/>
  <c r="F13" i="26" s="1"/>
  <c r="E7" i="26"/>
  <c r="F7" i="26" s="1"/>
  <c r="E11" i="26"/>
  <c r="F11" i="26" s="1"/>
  <c r="E12" i="26"/>
  <c r="F12" i="26" s="1"/>
  <c r="E8" i="26"/>
  <c r="F8" i="26" s="1"/>
  <c r="E5" i="26"/>
  <c r="F5" i="26" s="1"/>
  <c r="V12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7" i="20"/>
  <c r="J18" i="20"/>
  <c r="J19" i="20"/>
  <c r="J20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" i="20"/>
  <c r="H4" i="20"/>
  <c r="L4" i="20"/>
  <c r="L3" i="20"/>
  <c r="H3" i="20"/>
  <c r="V13" i="20"/>
  <c r="H16" i="21"/>
  <c r="Q22" i="21" s="1"/>
  <c r="H2" i="20"/>
  <c r="V28" i="20"/>
  <c r="Y28" i="20"/>
  <c r="Y27" i="20"/>
  <c r="X28" i="20"/>
  <c r="V36" i="20" s="1"/>
  <c r="V20" i="20"/>
  <c r="W20" i="20"/>
  <c r="Z35" i="20" s="1"/>
  <c r="X20" i="20"/>
  <c r="V35" i="20" s="1"/>
  <c r="Y20" i="20"/>
  <c r="V27" i="20"/>
  <c r="W27" i="20"/>
  <c r="Y36" i="20" s="1"/>
  <c r="X27" i="20"/>
  <c r="U36" i="20" s="1"/>
  <c r="Y19" i="20"/>
  <c r="X19" i="20"/>
  <c r="U35" i="20" s="1"/>
  <c r="W19" i="20"/>
  <c r="Y35" i="20" s="1"/>
  <c r="V19" i="20"/>
  <c r="W28" i="20"/>
  <c r="Z36" i="20" s="1"/>
  <c r="W13" i="20"/>
  <c r="Z34" i="20" s="1"/>
  <c r="X13" i="20"/>
  <c r="V34" i="20" s="1"/>
  <c r="Y13" i="20"/>
  <c r="W12" i="20"/>
  <c r="Y34" i="20" s="1"/>
  <c r="Y12" i="20"/>
  <c r="O2" i="20"/>
  <c r="P2" i="20" s="1"/>
  <c r="M4" i="20"/>
  <c r="M5" i="20"/>
  <c r="M6" i="20"/>
  <c r="M7" i="20"/>
  <c r="M8" i="20"/>
  <c r="M9" i="20"/>
  <c r="M10" i="20"/>
  <c r="M11" i="20"/>
  <c r="M12" i="20"/>
  <c r="M13" i="20"/>
  <c r="M14" i="20"/>
  <c r="M15" i="20"/>
  <c r="M17" i="20"/>
  <c r="M18" i="20"/>
  <c r="M19" i="20"/>
  <c r="M20" i="20"/>
  <c r="M3" i="20"/>
  <c r="M2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L5" i="21"/>
  <c r="M5" i="21" s="1"/>
  <c r="I20" i="21"/>
  <c r="R26" i="21" s="1"/>
  <c r="I19" i="21"/>
  <c r="R25" i="21" s="1"/>
  <c r="I15" i="21"/>
  <c r="R18" i="21" s="1"/>
  <c r="I13" i="21"/>
  <c r="R16" i="21" s="1"/>
  <c r="I12" i="21"/>
  <c r="R15" i="21" s="1"/>
  <c r="I11" i="21"/>
  <c r="R11" i="21" s="1"/>
  <c r="I10" i="21"/>
  <c r="R10" i="21" s="1"/>
  <c r="I9" i="21"/>
  <c r="R9" i="21" s="1"/>
  <c r="I8" i="21"/>
  <c r="R8" i="21" s="1"/>
  <c r="I7" i="21"/>
  <c r="R7" i="21" s="1"/>
  <c r="I6" i="21"/>
  <c r="R6" i="21" s="1"/>
  <c r="H6" i="21"/>
  <c r="Q6" i="21" s="1"/>
  <c r="I4" i="21"/>
  <c r="R4" i="21" s="1"/>
  <c r="I3" i="21"/>
  <c r="R3" i="21" s="1"/>
  <c r="I2" i="21"/>
  <c r="R2" i="21" s="1"/>
  <c r="I17" i="21"/>
  <c r="R23" i="21" s="1"/>
  <c r="I14" i="21"/>
  <c r="R17" i="21" s="1"/>
  <c r="H20" i="21"/>
  <c r="Q26" i="21" s="1"/>
  <c r="H19" i="21"/>
  <c r="Q25" i="21" s="1"/>
  <c r="H18" i="21"/>
  <c r="Q24" i="21" s="1"/>
  <c r="H17" i="21"/>
  <c r="Q23" i="21" s="1"/>
  <c r="H15" i="21"/>
  <c r="Q18" i="21" s="1"/>
  <c r="H14" i="21"/>
  <c r="Q17" i="21" s="1"/>
  <c r="H13" i="21"/>
  <c r="Q16" i="21" s="1"/>
  <c r="H12" i="21"/>
  <c r="Q15" i="21" s="1"/>
  <c r="H11" i="21"/>
  <c r="Q11" i="21" s="1"/>
  <c r="H10" i="21"/>
  <c r="Q10" i="21" s="1"/>
  <c r="H9" i="21"/>
  <c r="Q9" i="21" s="1"/>
  <c r="H8" i="21"/>
  <c r="Q8" i="21" s="1"/>
  <c r="H7" i="21"/>
  <c r="Q7" i="21" s="1"/>
  <c r="H4" i="21"/>
  <c r="Q4" i="21" s="1"/>
  <c r="H3" i="21"/>
  <c r="Q3" i="21" s="1"/>
  <c r="H2" i="21"/>
  <c r="Q2" i="21" s="1"/>
  <c r="E3" i="21"/>
  <c r="E2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L3" i="21" s="1"/>
  <c r="M3" i="21" s="1"/>
  <c r="E18" i="21"/>
  <c r="E19" i="21"/>
  <c r="E20" i="21"/>
  <c r="E21" i="21"/>
  <c r="L6" i="21" s="1"/>
  <c r="M6" i="21" s="1"/>
  <c r="E22" i="21"/>
  <c r="L7" i="21" s="1"/>
  <c r="M7" i="21" s="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L11" i="21" s="1"/>
  <c r="M11" i="21" s="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L16" i="21" s="1"/>
  <c r="M16" i="21" s="1"/>
  <c r="E61" i="21"/>
  <c r="E62" i="21"/>
  <c r="E63" i="21"/>
  <c r="E64" i="21"/>
  <c r="E65" i="21"/>
  <c r="E66" i="21"/>
  <c r="E67" i="21"/>
  <c r="E68" i="21"/>
  <c r="E69" i="21"/>
  <c r="E70" i="21"/>
  <c r="E71" i="21"/>
  <c r="L18" i="21" s="1"/>
  <c r="M18" i="21" s="1"/>
  <c r="E72" i="21"/>
  <c r="L19" i="21" s="1"/>
  <c r="M19" i="21" s="1"/>
  <c r="E73" i="21"/>
  <c r="L20" i="21" s="1"/>
  <c r="M20" i="21" s="1"/>
  <c r="S26" i="21"/>
  <c r="S25" i="21"/>
  <c r="S24" i="21"/>
  <c r="S23" i="21"/>
  <c r="S22" i="21"/>
  <c r="S18" i="21"/>
  <c r="S17" i="21"/>
  <c r="S16" i="21"/>
  <c r="S15" i="21"/>
  <c r="S11" i="21"/>
  <c r="S10" i="21"/>
  <c r="S9" i="21"/>
  <c r="S8" i="21"/>
  <c r="S7" i="21"/>
  <c r="S6" i="21"/>
  <c r="S5" i="21"/>
  <c r="S4" i="21"/>
  <c r="S3" i="21"/>
  <c r="L11" i="20"/>
  <c r="N11" i="20"/>
  <c r="N10" i="20"/>
  <c r="L10" i="20"/>
  <c r="N9" i="20"/>
  <c r="L9" i="20"/>
  <c r="N8" i="20"/>
  <c r="L8" i="20"/>
  <c r="N7" i="20"/>
  <c r="L7" i="20"/>
  <c r="L6" i="20"/>
  <c r="N6" i="20"/>
  <c r="N5" i="20"/>
  <c r="L5" i="20"/>
  <c r="N4" i="20"/>
  <c r="N3" i="20"/>
  <c r="N2" i="20"/>
  <c r="G98" i="22"/>
  <c r="D71" i="21"/>
  <c r="I18" i="21" s="1"/>
  <c r="R24" i="21" s="1"/>
  <c r="E503" i="20"/>
  <c r="E504" i="20"/>
  <c r="E505" i="20"/>
  <c r="E506" i="20"/>
  <c r="E507" i="20"/>
  <c r="E508" i="20"/>
  <c r="E509" i="20"/>
  <c r="E510" i="20"/>
  <c r="E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D406" i="20"/>
  <c r="D405" i="20"/>
  <c r="D404" i="20"/>
  <c r="D403" i="20"/>
  <c r="D402" i="20"/>
  <c r="D401" i="20"/>
  <c r="D400" i="20"/>
  <c r="D399" i="20"/>
  <c r="D398" i="20"/>
  <c r="D397" i="20"/>
  <c r="D396" i="20"/>
  <c r="D395" i="20"/>
  <c r="D394" i="20"/>
  <c r="D393" i="20"/>
  <c r="D392" i="20"/>
  <c r="D391" i="20"/>
  <c r="D390" i="20"/>
  <c r="D389" i="20"/>
  <c r="D388" i="20"/>
  <c r="D387" i="20"/>
  <c r="D386" i="20"/>
  <c r="D384" i="20"/>
  <c r="V5" i="17"/>
  <c r="N5" i="17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6" i="15"/>
  <c r="L9" i="21"/>
  <c r="M9" i="21" s="1"/>
  <c r="G6" i="31"/>
  <c r="L15" i="21" l="1"/>
  <c r="M15" i="21" s="1"/>
  <c r="P5" i="7"/>
  <c r="P5" i="9"/>
  <c r="P5" i="6"/>
  <c r="F8" i="31" s="1"/>
  <c r="F7" i="31"/>
  <c r="I7" i="31" s="1"/>
  <c r="P5" i="5"/>
  <c r="P5" i="16"/>
  <c r="F12" i="31"/>
  <c r="G12" i="31" s="1"/>
  <c r="P5" i="10"/>
  <c r="H5" i="7"/>
  <c r="P5" i="11"/>
  <c r="Q5" i="1"/>
  <c r="F27" i="31"/>
  <c r="P5" i="19"/>
  <c r="Q5" i="2"/>
  <c r="F4" i="31" s="1"/>
  <c r="Q5" i="13"/>
  <c r="F18" i="31" s="1"/>
  <c r="L18" i="31" s="1"/>
  <c r="O18" i="31" s="1"/>
  <c r="P5" i="12"/>
  <c r="P5" i="18"/>
  <c r="F26" i="31" s="1"/>
  <c r="S12" i="21"/>
  <c r="P32" i="21" s="1"/>
  <c r="S19" i="21"/>
  <c r="H5" i="11"/>
  <c r="Q2" i="20"/>
  <c r="S28" i="21"/>
  <c r="Q34" i="21" s="1"/>
  <c r="R19" i="21"/>
  <c r="H5" i="1"/>
  <c r="H5" i="2"/>
  <c r="R27" i="21"/>
  <c r="C20" i="31"/>
  <c r="B36" i="31" s="1"/>
  <c r="H5" i="15"/>
  <c r="I5" i="15"/>
  <c r="F19" i="31"/>
  <c r="H5" i="3"/>
  <c r="L2" i="21"/>
  <c r="C28" i="31"/>
  <c r="B37" i="31" s="1"/>
  <c r="I6" i="31"/>
  <c r="Q9" i="20"/>
  <c r="R9" i="20" s="1"/>
  <c r="Q27" i="21"/>
  <c r="R28" i="21"/>
  <c r="M6" i="31"/>
  <c r="O6" i="31"/>
  <c r="R13" i="21"/>
  <c r="L12" i="21"/>
  <c r="M12" i="21" s="1"/>
  <c r="Q5" i="20"/>
  <c r="R5" i="20" s="1"/>
  <c r="Q3" i="20"/>
  <c r="R3" i="20" s="1"/>
  <c r="Q12" i="21"/>
  <c r="H5" i="5"/>
  <c r="H5" i="6"/>
  <c r="H5" i="9"/>
  <c r="H5" i="13"/>
  <c r="H5" i="16"/>
  <c r="C14" i="31"/>
  <c r="C35" i="31" s="1"/>
  <c r="F11" i="31"/>
  <c r="G11" i="31" s="1"/>
  <c r="F5" i="31"/>
  <c r="S13" i="21"/>
  <c r="Q32" i="21" s="1"/>
  <c r="L10" i="21"/>
  <c r="M10" i="21" s="1"/>
  <c r="F17" i="31"/>
  <c r="G17" i="31" s="1"/>
  <c r="F9" i="31"/>
  <c r="I9" i="31" s="1"/>
  <c r="F3" i="31"/>
  <c r="L7" i="31"/>
  <c r="M7" i="31" s="1"/>
  <c r="G7" i="31"/>
  <c r="H5" i="12"/>
  <c r="H5" i="19"/>
  <c r="F16" i="31"/>
  <c r="H5" i="4"/>
  <c r="C13" i="31"/>
  <c r="B35" i="31" s="1"/>
  <c r="Q18" i="20"/>
  <c r="R18" i="20" s="1"/>
  <c r="Q16" i="20"/>
  <c r="R16" i="20" s="1"/>
  <c r="Q12" i="20"/>
  <c r="R12" i="20" s="1"/>
  <c r="Q10" i="20"/>
  <c r="R10" i="20" s="1"/>
  <c r="Q6" i="20"/>
  <c r="R6" i="20" s="1"/>
  <c r="Q13" i="21"/>
  <c r="H5" i="10"/>
  <c r="H5" i="18"/>
  <c r="F24" i="31"/>
  <c r="I24" i="31" s="1"/>
  <c r="H5" i="14"/>
  <c r="R12" i="21"/>
  <c r="I12" i="31"/>
  <c r="C29" i="31"/>
  <c r="C37" i="31" s="1"/>
  <c r="Q19" i="20"/>
  <c r="R19" i="20" s="1"/>
  <c r="Q17" i="20"/>
  <c r="R17" i="20" s="1"/>
  <c r="Q15" i="20"/>
  <c r="R15" i="20" s="1"/>
  <c r="Q11" i="20"/>
  <c r="R11" i="20" s="1"/>
  <c r="I23" i="31"/>
  <c r="Q28" i="21"/>
  <c r="S27" i="21"/>
  <c r="P34" i="21" s="1"/>
  <c r="L17" i="21"/>
  <c r="M17" i="21" s="1"/>
  <c r="T28" i="21" s="1"/>
  <c r="L8" i="21"/>
  <c r="M8" i="21" s="1"/>
  <c r="L4" i="21"/>
  <c r="M4" i="21" s="1"/>
  <c r="H5" i="8"/>
  <c r="H5" i="17"/>
  <c r="F10" i="31"/>
  <c r="Q14" i="20"/>
  <c r="R14" i="20" s="1"/>
  <c r="Q13" i="20"/>
  <c r="R13" i="20" s="1"/>
  <c r="Q8" i="20"/>
  <c r="R8" i="20" s="1"/>
  <c r="Q7" i="20"/>
  <c r="R7" i="20" s="1"/>
  <c r="Q4" i="20"/>
  <c r="R4" i="20" s="1"/>
  <c r="Q20" i="20"/>
  <c r="R20" i="20" s="1"/>
  <c r="L25" i="31"/>
  <c r="G25" i="31"/>
  <c r="M23" i="31"/>
  <c r="O23" i="31"/>
  <c r="Q19" i="21"/>
  <c r="Q20" i="21" s="1"/>
  <c r="J16" i="20"/>
  <c r="M16" i="20"/>
  <c r="L14" i="21"/>
  <c r="M14" i="21" s="1"/>
  <c r="L13" i="21"/>
  <c r="M13" i="21" s="1"/>
  <c r="R20" i="21"/>
  <c r="M2" i="21"/>
  <c r="L4" i="31" l="1"/>
  <c r="I4" i="31"/>
  <c r="G4" i="31"/>
  <c r="G8" i="31"/>
  <c r="L8" i="31"/>
  <c r="I8" i="31"/>
  <c r="L26" i="31"/>
  <c r="G26" i="31"/>
  <c r="I26" i="31"/>
  <c r="G27" i="31"/>
  <c r="L27" i="31"/>
  <c r="I27" i="31"/>
  <c r="I5" i="31"/>
  <c r="L5" i="31"/>
  <c r="M5" i="31" s="1"/>
  <c r="L12" i="31"/>
  <c r="O12" i="31" s="1"/>
  <c r="I3" i="31"/>
  <c r="G3" i="31"/>
  <c r="L19" i="31"/>
  <c r="I19" i="31"/>
  <c r="G19" i="31"/>
  <c r="L3" i="31"/>
  <c r="S20" i="21"/>
  <c r="Q33" i="21" s="1"/>
  <c r="P33" i="21"/>
  <c r="G18" i="31"/>
  <c r="M18" i="31"/>
  <c r="I18" i="31"/>
  <c r="I17" i="31"/>
  <c r="L17" i="31"/>
  <c r="O17" i="31" s="1"/>
  <c r="L11" i="31"/>
  <c r="O11" i="31" s="1"/>
  <c r="I11" i="31"/>
  <c r="G9" i="31"/>
  <c r="G5" i="31"/>
  <c r="L9" i="31"/>
  <c r="M9" i="31" s="1"/>
  <c r="O7" i="31"/>
  <c r="I28" i="31"/>
  <c r="N37" i="31" s="1"/>
  <c r="T27" i="21"/>
  <c r="L10" i="31"/>
  <c r="G10" i="31"/>
  <c r="I10" i="31"/>
  <c r="L16" i="31"/>
  <c r="G16" i="31"/>
  <c r="I29" i="31"/>
  <c r="O37" i="31" s="1"/>
  <c r="L24" i="31"/>
  <c r="L28" i="31" s="1"/>
  <c r="G24" i="31"/>
  <c r="G28" i="31" s="1"/>
  <c r="H37" i="31" s="1"/>
  <c r="I16" i="31"/>
  <c r="T13" i="21"/>
  <c r="T12" i="21"/>
  <c r="M25" i="31"/>
  <c r="O25" i="31"/>
  <c r="T19" i="21"/>
  <c r="T20" i="21" s="1"/>
  <c r="O8" i="31"/>
  <c r="M8" i="31"/>
  <c r="M12" i="31" l="1"/>
  <c r="M26" i="31"/>
  <c r="O26" i="31"/>
  <c r="O27" i="31"/>
  <c r="M27" i="31"/>
  <c r="L20" i="31"/>
  <c r="O4" i="31"/>
  <c r="M4" i="31"/>
  <c r="G13" i="31"/>
  <c r="H35" i="31" s="1"/>
  <c r="O19" i="31"/>
  <c r="M19" i="31"/>
  <c r="O3" i="31"/>
  <c r="L13" i="31"/>
  <c r="G29" i="31"/>
  <c r="I37" i="31" s="1"/>
  <c r="O5" i="31"/>
  <c r="I21" i="31"/>
  <c r="O36" i="31" s="1"/>
  <c r="M17" i="31"/>
  <c r="M11" i="31"/>
  <c r="G14" i="31"/>
  <c r="I35" i="31" s="1"/>
  <c r="O9" i="31"/>
  <c r="I14" i="31"/>
  <c r="O35" i="31" s="1"/>
  <c r="I13" i="31"/>
  <c r="N35" i="31" s="1"/>
  <c r="M3" i="31"/>
  <c r="M16" i="31"/>
  <c r="O16" i="31"/>
  <c r="O24" i="31"/>
  <c r="M24" i="31"/>
  <c r="M29" i="31" s="1"/>
  <c r="I20" i="31"/>
  <c r="N36" i="31" s="1"/>
  <c r="G20" i="31"/>
  <c r="H36" i="31" s="1"/>
  <c r="G21" i="31"/>
  <c r="I36" i="31" s="1"/>
  <c r="M10" i="31"/>
  <c r="O10" i="31"/>
  <c r="O13" i="31" l="1"/>
  <c r="T35" i="31" s="1"/>
  <c r="M20" i="31"/>
  <c r="I79" i="31" s="1"/>
  <c r="M21" i="31"/>
  <c r="J79" i="31" s="1"/>
  <c r="M14" i="31"/>
  <c r="J78" i="31" s="1"/>
  <c r="O14" i="31"/>
  <c r="U35" i="31" s="1"/>
  <c r="M13" i="31"/>
  <c r="I78" i="31" s="1"/>
  <c r="O29" i="31"/>
  <c r="U37" i="31" s="1"/>
  <c r="O28" i="31"/>
  <c r="T37" i="31" s="1"/>
  <c r="O21" i="31"/>
  <c r="U36" i="31" s="1"/>
  <c r="O20" i="31"/>
  <c r="T36" i="31" s="1"/>
  <c r="B3" i="28"/>
  <c r="J80" i="31"/>
  <c r="M28" i="31"/>
  <c r="B2" i="28" l="1"/>
  <c r="B4" i="28"/>
  <c r="I80" i="31"/>
  <c r="D15" i="28" l="1"/>
  <c r="D12" i="28"/>
  <c r="D4" i="28"/>
  <c r="D10" i="28"/>
  <c r="D11" i="28"/>
  <c r="D3" i="28"/>
  <c r="D19" i="28"/>
  <c r="D8" i="28"/>
  <c r="D20" i="28"/>
  <c r="D13" i="28"/>
  <c r="D16" i="28"/>
  <c r="D5" i="28"/>
  <c r="D6" i="28"/>
  <c r="D7" i="28"/>
  <c r="D2" i="28"/>
  <c r="D21" i="28"/>
  <c r="D14" i="28"/>
  <c r="D17" i="28"/>
  <c r="D9" i="28"/>
  <c r="D18" i="28"/>
</calcChain>
</file>

<file path=xl/comments1.xml><?xml version="1.0" encoding="utf-8"?>
<comments xmlns="http://schemas.openxmlformats.org/spreadsheetml/2006/main">
  <authors>
    <author>Joseph Oneill</author>
  </authors>
  <commentList>
    <comment ref="B2" authorId="0" shapeId="0">
      <text>
        <r>
          <rPr>
            <b/>
            <sz val="8"/>
            <color indexed="81"/>
            <rFont val="Tahoma"/>
            <family val="2"/>
          </rPr>
          <t>Joseph Oneill:</t>
        </r>
        <r>
          <rPr>
            <sz val="8"/>
            <color indexed="81"/>
            <rFont val="Tahoma"/>
            <family val="2"/>
          </rPr>
          <t xml:space="preserve">
biomass adjusted for 0.25 ha plots not .025!</t>
        </r>
      </text>
    </comment>
  </commentList>
</comments>
</file>

<file path=xl/sharedStrings.xml><?xml version="1.0" encoding="utf-8"?>
<sst xmlns="http://schemas.openxmlformats.org/spreadsheetml/2006/main" count="9646" uniqueCount="817">
  <si>
    <t>50x50</t>
  </si>
  <si>
    <t>25x25</t>
  </si>
  <si>
    <t>Calculation for each location (50+25)</t>
  </si>
  <si>
    <t xml:space="preserve">Kabaung Reserved Forest  (R1) </t>
  </si>
  <si>
    <t>Biomass (t/ha)</t>
  </si>
  <si>
    <t>Carbon (t/ha)</t>
  </si>
  <si>
    <t>MAI (t/ha)</t>
  </si>
  <si>
    <t>Biomass Increment (t/ha)</t>
  </si>
  <si>
    <t>Total Biomass, 50+25</t>
  </si>
  <si>
    <t>Carbon (tC/ha)</t>
  </si>
  <si>
    <t>Carbon fraction of tree biomass  is 0.47%.</t>
  </si>
  <si>
    <t>Plot 54_1</t>
  </si>
  <si>
    <t>Lamlom S and Savidge R. (2003) A reassessment of carbon content in wood: variation within and</t>
  </si>
  <si>
    <t>Plot 54_2</t>
  </si>
  <si>
    <r>
      <t xml:space="preserve">between 41 North American species. </t>
    </r>
    <r>
      <rPr>
        <i/>
        <sz val="11"/>
        <color rgb="FF000000"/>
        <rFont val="Calibri"/>
        <family val="2"/>
        <scheme val="minor"/>
      </rPr>
      <t xml:space="preserve">Biomass and Bioenergy </t>
    </r>
    <r>
      <rPr>
        <sz val="11"/>
        <color rgb="FF000000"/>
        <rFont val="Calibri"/>
        <family val="2"/>
        <scheme val="minor"/>
      </rPr>
      <t>25: 381-388.</t>
    </r>
  </si>
  <si>
    <t>Plot 55_3</t>
  </si>
  <si>
    <t>Plot 55_4</t>
  </si>
  <si>
    <t>Taungoo Forests</t>
  </si>
  <si>
    <t>Area (ha)</t>
  </si>
  <si>
    <t>Plot 60_5</t>
  </si>
  <si>
    <t>Reserve</t>
  </si>
  <si>
    <t>Plot 60_6</t>
  </si>
  <si>
    <t>Protected Public Forest</t>
  </si>
  <si>
    <t>Plot 61_7</t>
  </si>
  <si>
    <t>Plot 61_8</t>
  </si>
  <si>
    <t>Plot 64_9</t>
  </si>
  <si>
    <t>Plot 64_10</t>
  </si>
  <si>
    <t xml:space="preserve">Average </t>
  </si>
  <si>
    <t>Standard Error (SE)</t>
  </si>
  <si>
    <t>Standard Error (SD)</t>
  </si>
  <si>
    <t>Yo Ma Unclessd</t>
  </si>
  <si>
    <t>Yo ma Protected Public Forest</t>
  </si>
  <si>
    <t>Plot 13_1</t>
  </si>
  <si>
    <t>Plot 13_2</t>
  </si>
  <si>
    <t>Plot 13_3</t>
  </si>
  <si>
    <t>Plot 13_4</t>
  </si>
  <si>
    <t>Average</t>
  </si>
  <si>
    <t>Kyaukmasin Resreve (R2)</t>
  </si>
  <si>
    <t>Plot 18_1</t>
  </si>
  <si>
    <t>Plot 19_2</t>
  </si>
  <si>
    <t>Plot 20_3</t>
  </si>
  <si>
    <t>TEAK RESOURCES AND MARKET ASSESSMENT 2010</t>
  </si>
  <si>
    <t>Plot 14_4</t>
  </si>
  <si>
    <t>Plot 12_5</t>
  </si>
  <si>
    <t>50 x 50 Plot level</t>
  </si>
  <si>
    <t>25 x 25 Plot level</t>
  </si>
  <si>
    <t>Site Level (50+25)</t>
  </si>
  <si>
    <t>se</t>
  </si>
  <si>
    <t>Annual Biomass  Increment (t/ha)</t>
  </si>
  <si>
    <t>Annual Biomass Increment  (t/ha)</t>
  </si>
  <si>
    <t>Kabaung Reserved Forest  (R1) </t>
  </si>
  <si>
    <t>Yo Ma Protected Public Forest</t>
  </si>
  <si>
    <t>PLOT LEVEL</t>
  </si>
  <si>
    <t>SITE LEVEL (50+25)</t>
  </si>
  <si>
    <t>Carbon Storage (tC/ha)</t>
  </si>
  <si>
    <t>TAUNGOO DISTRICT FOREST</t>
  </si>
  <si>
    <t>Total Reserve Area (Acre)</t>
  </si>
  <si>
    <t>Total Unclass Forests (Acre)</t>
  </si>
  <si>
    <t>Total area (Ac)</t>
  </si>
  <si>
    <t>Google Answer</t>
  </si>
  <si>
    <t>Time with 0.4</t>
  </si>
  <si>
    <t>Which one is reasonable?</t>
  </si>
  <si>
    <t>Khabaung Rserve (R1)</t>
  </si>
  <si>
    <t>Exension</t>
  </si>
  <si>
    <t>Yoma Protected Public Froest</t>
  </si>
  <si>
    <t>Plot#</t>
  </si>
  <si>
    <t>Tree species</t>
  </si>
  <si>
    <t>d, cm</t>
  </si>
  <si>
    <t>H, m</t>
  </si>
  <si>
    <t>d, m</t>
  </si>
  <si>
    <t>Plot</t>
  </si>
  <si>
    <t>av_d, luba</t>
  </si>
  <si>
    <t>av_d</t>
  </si>
  <si>
    <t>av_H</t>
  </si>
  <si>
    <t>av d, cm</t>
  </si>
  <si>
    <t>av_H, luba</t>
  </si>
  <si>
    <t>av H, m</t>
  </si>
  <si>
    <t>trees</t>
  </si>
  <si>
    <t>Trees/ha</t>
  </si>
  <si>
    <t>BA, m2</t>
  </si>
  <si>
    <t>BA, m2/ha</t>
  </si>
  <si>
    <t>LOCATION 1</t>
  </si>
  <si>
    <t>se d, cm</t>
  </si>
  <si>
    <t>se H, m</t>
  </si>
  <si>
    <t>se Trees/ha</t>
  </si>
  <si>
    <t>se BA, m2/ha</t>
  </si>
  <si>
    <t>Erythrina suberosa</t>
  </si>
  <si>
    <t xml:space="preserve">Kabaung Reserved Forest </t>
  </si>
  <si>
    <t>Tectona grandis</t>
  </si>
  <si>
    <t>Yoma Public Protected Froest</t>
  </si>
  <si>
    <t>Terminalia alata</t>
  </si>
  <si>
    <t>Kyaukmasin Reserved Forest</t>
  </si>
  <si>
    <t>Albizzia lucida</t>
  </si>
  <si>
    <t>Dalbergia cultrata</t>
  </si>
  <si>
    <t>Dalbergia ovata</t>
  </si>
  <si>
    <t>Bridelia retusa</t>
  </si>
  <si>
    <t>Salmalia insignis</t>
  </si>
  <si>
    <t>LOCATION 2</t>
  </si>
  <si>
    <t>Lagerstroemia speciosa</t>
  </si>
  <si>
    <t>LOCATION 3</t>
  </si>
  <si>
    <t>Forest Characteristic of the study area</t>
  </si>
  <si>
    <t>Spondias pinnata</t>
  </si>
  <si>
    <t>Average Diameter (cm)</t>
  </si>
  <si>
    <t>Average Height (m)</t>
  </si>
  <si>
    <t>No. of Trees/ha</t>
  </si>
  <si>
    <t>Basal Area  (m2/ha)</t>
  </si>
  <si>
    <r>
      <t xml:space="preserve">43.3 </t>
    </r>
    <r>
      <rPr>
        <sz val="11"/>
        <color theme="1"/>
        <rFont val="Times New Roman"/>
        <family val="1"/>
      </rPr>
      <t>±</t>
    </r>
    <r>
      <rPr>
        <sz val="9.9"/>
        <color theme="1"/>
        <rFont val="Calibri"/>
        <family val="2"/>
      </rPr>
      <t xml:space="preserve"> 0.8</t>
    </r>
  </si>
  <si>
    <r>
      <t xml:space="preserve">23.1 </t>
    </r>
    <r>
      <rPr>
        <sz val="11"/>
        <color theme="1"/>
        <rFont val="Times New Roman"/>
        <family val="1"/>
      </rPr>
      <t>±</t>
    </r>
    <r>
      <rPr>
        <sz val="9.9"/>
        <color theme="1"/>
        <rFont val="Calibri"/>
        <family val="2"/>
      </rPr>
      <t xml:space="preserve"> 0.9</t>
    </r>
  </si>
  <si>
    <r>
      <t xml:space="preserve">1132 </t>
    </r>
    <r>
      <rPr>
        <sz val="11"/>
        <color theme="1"/>
        <rFont val="Times New Roman"/>
        <family val="1"/>
      </rPr>
      <t>±</t>
    </r>
    <r>
      <rPr>
        <sz val="9.9"/>
        <color theme="1"/>
        <rFont val="Calibri"/>
        <family val="2"/>
      </rPr>
      <t xml:space="preserve"> 69 </t>
    </r>
  </si>
  <si>
    <r>
      <t xml:space="preserve">490.96 </t>
    </r>
    <r>
      <rPr>
        <sz val="11"/>
        <color theme="1"/>
        <rFont val="Times New Roman"/>
        <family val="1"/>
      </rPr>
      <t>±</t>
    </r>
    <r>
      <rPr>
        <sz val="9.9"/>
        <color theme="1"/>
        <rFont val="Calibri"/>
        <family val="2"/>
      </rPr>
      <t xml:space="preserve"> 32.6</t>
    </r>
  </si>
  <si>
    <r>
      <t xml:space="preserve">29.1 </t>
    </r>
    <r>
      <rPr>
        <sz val="11"/>
        <color theme="1"/>
        <rFont val="Times New Roman"/>
        <family val="1"/>
      </rPr>
      <t>±</t>
    </r>
    <r>
      <rPr>
        <sz val="9.9"/>
        <color theme="1"/>
        <rFont val="Calibri"/>
        <family val="2"/>
      </rPr>
      <t>1.2</t>
    </r>
  </si>
  <si>
    <r>
      <t xml:space="preserve">17.8 </t>
    </r>
    <r>
      <rPr>
        <sz val="11"/>
        <color theme="1"/>
        <rFont val="Times New Roman"/>
        <family val="1"/>
      </rPr>
      <t>±</t>
    </r>
    <r>
      <rPr>
        <sz val="9.9"/>
        <color theme="1"/>
        <rFont val="Calibri"/>
        <family val="2"/>
      </rPr>
      <t xml:space="preserve"> 0.4</t>
    </r>
  </si>
  <si>
    <r>
      <t xml:space="preserve">980 </t>
    </r>
    <r>
      <rPr>
        <sz val="11"/>
        <color theme="1"/>
        <rFont val="Times New Roman"/>
        <family val="1"/>
      </rPr>
      <t xml:space="preserve">± 101 </t>
    </r>
  </si>
  <si>
    <r>
      <t xml:space="preserve">285.07 </t>
    </r>
    <r>
      <rPr>
        <sz val="11"/>
        <color theme="1"/>
        <rFont val="Times New Roman"/>
        <family val="1"/>
      </rPr>
      <t>±</t>
    </r>
    <r>
      <rPr>
        <sz val="9.9"/>
        <color theme="1"/>
        <rFont val="Calibri"/>
        <family val="2"/>
      </rPr>
      <t xml:space="preserve"> 30.9</t>
    </r>
  </si>
  <si>
    <r>
      <t xml:space="preserve">38.2 </t>
    </r>
    <r>
      <rPr>
        <sz val="11"/>
        <color theme="1"/>
        <rFont val="Times New Roman"/>
        <family val="1"/>
      </rPr>
      <t>±</t>
    </r>
    <r>
      <rPr>
        <sz val="9.9"/>
        <color theme="1"/>
        <rFont val="Calibri"/>
        <family val="2"/>
      </rPr>
      <t xml:space="preserve"> 0.9</t>
    </r>
  </si>
  <si>
    <r>
      <t xml:space="preserve">17.7 </t>
    </r>
    <r>
      <rPr>
        <sz val="11"/>
        <color theme="1"/>
        <rFont val="Times New Roman"/>
        <family val="1"/>
      </rPr>
      <t>±</t>
    </r>
    <r>
      <rPr>
        <sz val="9.9"/>
        <color theme="1"/>
        <rFont val="Calibri"/>
        <family val="2"/>
      </rPr>
      <t xml:space="preserve"> 2.0</t>
    </r>
  </si>
  <si>
    <r>
      <t xml:space="preserve">1168 </t>
    </r>
    <r>
      <rPr>
        <sz val="11"/>
        <color theme="1"/>
        <rFont val="Times New Roman"/>
        <family val="1"/>
      </rPr>
      <t>±</t>
    </r>
    <r>
      <rPr>
        <sz val="9.9"/>
        <color theme="1"/>
        <rFont val="Calibri"/>
        <family val="2"/>
      </rPr>
      <t xml:space="preserve"> 99</t>
    </r>
  </si>
  <si>
    <r>
      <t xml:space="preserve">446.5 </t>
    </r>
    <r>
      <rPr>
        <sz val="11"/>
        <color theme="1"/>
        <rFont val="Times New Roman"/>
        <family val="1"/>
      </rPr>
      <t>±</t>
    </r>
    <r>
      <rPr>
        <sz val="9.9"/>
        <color theme="1"/>
        <rFont val="Calibri"/>
        <family val="2"/>
      </rPr>
      <t xml:space="preserve"> 40.5</t>
    </r>
  </si>
  <si>
    <t>Xylia dolabriformis</t>
  </si>
  <si>
    <t>Anogeissus acuminata</t>
  </si>
  <si>
    <t>Garuga pinnata</t>
  </si>
  <si>
    <t>Chukrasia tabularis</t>
  </si>
  <si>
    <t>Mitragyna rotundifolia</t>
  </si>
  <si>
    <t>Dalbergia fusca</t>
  </si>
  <si>
    <t>Schleichera oleosa</t>
  </si>
  <si>
    <t>Pterocarpus macrocarpus</t>
  </si>
  <si>
    <t>Plot #</t>
  </si>
  <si>
    <t>Location One</t>
  </si>
  <si>
    <t>Species</t>
  </si>
  <si>
    <t>d,cm</t>
  </si>
  <si>
    <t>Diameter Class</t>
  </si>
  <si>
    <t>Reserved Forests</t>
  </si>
  <si>
    <t>Location  Two</t>
  </si>
  <si>
    <t>Location  Three</t>
  </si>
  <si>
    <t>30.1-40</t>
  </si>
  <si>
    <t>Macaranga denticulata</t>
  </si>
  <si>
    <t>40.1-50</t>
  </si>
  <si>
    <t>Lannea coromandelica</t>
  </si>
  <si>
    <t>50.1-60</t>
  </si>
  <si>
    <t>Bridelia retusa </t>
  </si>
  <si>
    <t>60.1-70</t>
  </si>
  <si>
    <t> Xylia xylocarpa</t>
  </si>
  <si>
    <t>70.1 -80</t>
  </si>
  <si>
    <t>Hyptianthera stricta</t>
  </si>
  <si>
    <t>80.1-90</t>
  </si>
  <si>
    <t>Miliusa roxburghiana </t>
  </si>
  <si>
    <t>90.1 - 100</t>
  </si>
  <si>
    <t>100.1-110</t>
  </si>
  <si>
    <t>Stereospermum colais </t>
  </si>
  <si>
    <t>110.1-120</t>
  </si>
  <si>
    <t>Protium serratum</t>
  </si>
  <si>
    <t>120.1-130</t>
  </si>
  <si>
    <t>130.1-140</t>
  </si>
  <si>
    <t> Bauhinia monandra</t>
  </si>
  <si>
    <t> Hyptianthera stricta</t>
  </si>
  <si>
    <t>Machilus fruticosa</t>
  </si>
  <si>
    <t>Adina cordifolia</t>
  </si>
  <si>
    <t>Markhamia stipulata</t>
  </si>
  <si>
    <t>Xylia xylocarpa</t>
  </si>
  <si>
    <t>Heterophragma adenophylla </t>
  </si>
  <si>
    <t>Chisocheton paniculatus </t>
  </si>
  <si>
    <t>Mucuna monosperma</t>
  </si>
  <si>
    <t>Bombax insigne</t>
  </si>
  <si>
    <t>Millettia ovalifolia</t>
  </si>
  <si>
    <t>Chisocheton paniculatus</t>
  </si>
  <si>
    <t> Pentace griffithii </t>
  </si>
  <si>
    <t>Diospyros ehretioides </t>
  </si>
  <si>
    <t>Erythrina arborescens </t>
  </si>
  <si>
    <t>Stereospermum colais</t>
  </si>
  <si>
    <t>Lannea coromandelica </t>
  </si>
  <si>
    <t>Dalbergia lanceolaria </t>
  </si>
  <si>
    <t>Millettia ovalifolia </t>
  </si>
  <si>
    <t>Derris robusta</t>
  </si>
  <si>
    <t> Berrya ammonilla</t>
  </si>
  <si>
    <t>Cordia dichotoma </t>
  </si>
  <si>
    <t>Gardenia sessiliflora </t>
  </si>
  <si>
    <t>Bombax insigne </t>
  </si>
  <si>
    <t>Colona floribunda</t>
  </si>
  <si>
    <t>Schima wallichii</t>
  </si>
  <si>
    <t> Bombax insigne</t>
  </si>
  <si>
    <t>Albizia procera</t>
  </si>
  <si>
    <t>Shorea obtusa</t>
  </si>
  <si>
    <t>Stereospermum fimbriatum</t>
  </si>
  <si>
    <t>Dalbergia maymyensis</t>
  </si>
  <si>
    <t>unknown</t>
  </si>
  <si>
    <t> Bombax ceiba</t>
  </si>
  <si>
    <t>Pentace griffithii</t>
  </si>
  <si>
    <t>Berrya ammonilla</t>
  </si>
  <si>
    <t>Dalbergia maymyensis </t>
  </si>
  <si>
    <t>Terminalia pyrifolia</t>
  </si>
  <si>
    <t>Alangium begoniifolia</t>
  </si>
  <si>
    <t> Dalbergia maymyensis</t>
  </si>
  <si>
    <t>Eriolaena candollei </t>
  </si>
  <si>
    <t>Garuga pinnata </t>
  </si>
  <si>
    <t>Lithocarpus fenestrata </t>
  </si>
  <si>
    <t>Celtis cinnamomea</t>
  </si>
  <si>
    <t> Dalbergia oliveri </t>
  </si>
  <si>
    <t>Heterophragma adenophylla</t>
  </si>
  <si>
    <t>Lophopetalum wallichii</t>
  </si>
  <si>
    <t>Millettia multiflora</t>
  </si>
  <si>
    <t> Markhamia stipulata </t>
  </si>
  <si>
    <t>Shorea siamensis </t>
  </si>
  <si>
    <t>Adina cordifolia </t>
  </si>
  <si>
    <t>Lagerstroemia villosa</t>
  </si>
  <si>
    <t>Sapium insigne</t>
  </si>
  <si>
    <t>Cratoxylum ligustrinum</t>
  </si>
  <si>
    <t>Firmiana colorata</t>
  </si>
  <si>
    <t>Lagerstroemia reginae</t>
  </si>
  <si>
    <t>Hyptianthera stricta </t>
  </si>
  <si>
    <t>Holarrhena pubescens </t>
  </si>
  <si>
    <t>Cuminum cyminum </t>
  </si>
  <si>
    <t>Unclassed Froest</t>
  </si>
  <si>
    <t>5.1-10</t>
  </si>
  <si>
    <t>10.1-15</t>
  </si>
  <si>
    <t>15.1-20</t>
  </si>
  <si>
    <t>20.1-30</t>
  </si>
  <si>
    <t>Location 1</t>
  </si>
  <si>
    <t xml:space="preserve">Dominant </t>
  </si>
  <si>
    <t>Location2</t>
  </si>
  <si>
    <t>Dominant</t>
  </si>
  <si>
    <t>L3</t>
  </si>
  <si>
    <t>No.</t>
  </si>
  <si>
    <t>Total Trees (283)</t>
  </si>
  <si>
    <t>Local name</t>
  </si>
  <si>
    <t>Scientific Name</t>
  </si>
  <si>
    <t>Family</t>
  </si>
  <si>
    <t>%</t>
  </si>
  <si>
    <t>Total Trees (98)</t>
  </si>
  <si>
    <t>Total Trees (146)</t>
  </si>
  <si>
    <t>Aukchinsa</t>
  </si>
  <si>
    <t>Kyun</t>
  </si>
  <si>
    <t>Tectona grandis </t>
  </si>
  <si>
    <t>Verbenaceae</t>
  </si>
  <si>
    <t>Gyo</t>
  </si>
  <si>
    <r>
      <t>Schleichera oleosa</t>
    </r>
    <r>
      <rPr>
        <sz val="11"/>
        <color rgb="FF000000"/>
        <rFont val="Times New Roman"/>
        <family val="1"/>
      </rPr>
      <t> </t>
    </r>
  </si>
  <si>
    <t>Sapindaceae</t>
  </si>
  <si>
    <t>Taukkyan</t>
  </si>
  <si>
    <t>Terminalia alata </t>
  </si>
  <si>
    <t>Combretaceae</t>
  </si>
  <si>
    <t>Padauk</t>
  </si>
  <si>
    <t>Pterocarpus macrocarpus </t>
  </si>
  <si>
    <t>Fabaceae</t>
  </si>
  <si>
    <t>Pyinma</t>
  </si>
  <si>
    <t>Lagerstroemia speciosa </t>
  </si>
  <si>
    <t>Lythraceae</t>
  </si>
  <si>
    <t>Pyinkado</t>
  </si>
  <si>
    <t> Xylia xylocarpa </t>
  </si>
  <si>
    <t>Mimosaceae</t>
  </si>
  <si>
    <t>Thitya</t>
  </si>
  <si>
    <t>Dipterocarpaceae</t>
  </si>
  <si>
    <t>Madama</t>
  </si>
  <si>
    <t>Bruguiera cylindrica </t>
  </si>
  <si>
    <t>Rhizophoraceae</t>
  </si>
  <si>
    <t>Binga</t>
  </si>
  <si>
    <t>Mitragyna diversifolia </t>
  </si>
  <si>
    <t>Rubiaceae</t>
  </si>
  <si>
    <t>chai</t>
  </si>
  <si>
    <t>Bebya</t>
  </si>
  <si>
    <t>Yon</t>
  </si>
  <si>
    <t>Anogeissus acuminata </t>
  </si>
  <si>
    <t>Chinyok</t>
  </si>
  <si>
    <t>Seikchi</t>
  </si>
  <si>
    <r>
      <t>Bridelia retusa</t>
    </r>
    <r>
      <rPr>
        <sz val="11"/>
        <color rgb="FF000000"/>
        <rFont val="Times New Roman"/>
        <family val="1"/>
      </rPr>
      <t> </t>
    </r>
  </si>
  <si>
    <t>Euphorbiaceae</t>
  </si>
  <si>
    <t>Yindaik</t>
  </si>
  <si>
    <t>Nabe</t>
  </si>
  <si>
    <t> Lannea coromandelica </t>
  </si>
  <si>
    <t>Anacardiaceae</t>
  </si>
  <si>
    <t>Thinwin</t>
  </si>
  <si>
    <t>Millettia peguensis </t>
  </si>
  <si>
    <t>Didu</t>
  </si>
  <si>
    <t>Bombacaceae</t>
  </si>
  <si>
    <t>Dwani</t>
  </si>
  <si>
    <t>Gwe</t>
  </si>
  <si>
    <t>Kabaung</t>
  </si>
  <si>
    <t>Kathit</t>
  </si>
  <si>
    <t>Kyetyo</t>
  </si>
  <si>
    <t>Hmaik</t>
  </si>
  <si>
    <t>Hnaw</t>
  </si>
  <si>
    <t>Ingyin</t>
  </si>
  <si>
    <t>Lein</t>
  </si>
  <si>
    <t>Letpan</t>
  </si>
  <si>
    <t>Magyi-bauk</t>
  </si>
  <si>
    <t>Mahlwa</t>
  </si>
  <si>
    <t>Petthan</t>
  </si>
  <si>
    <t>Pet-waing</t>
  </si>
  <si>
    <t>Pet-wun</t>
  </si>
  <si>
    <t>Pok-thin-ma-myet-kauk</t>
  </si>
  <si>
    <t>Swedaw</t>
  </si>
  <si>
    <t>Tamalan</t>
  </si>
  <si>
    <t>Thabut-thein</t>
  </si>
  <si>
    <t>Thadi</t>
  </si>
  <si>
    <t>Thanat</t>
  </si>
  <si>
    <t>Thande</t>
  </si>
  <si>
    <t>Than-that</t>
  </si>
  <si>
    <t>Thit-pagan</t>
  </si>
  <si>
    <t>Thit-pyu</t>
  </si>
  <si>
    <t>Lettok-gyi</t>
  </si>
  <si>
    <t>ခိန်</t>
  </si>
  <si>
    <t>သစ်ကုလား</t>
  </si>
  <si>
    <t>Myaukchaw</t>
  </si>
  <si>
    <t>Pok-Thin-ma-myet Kauk</t>
  </si>
  <si>
    <t>Thit-payaung</t>
  </si>
  <si>
    <t>Thit-pyauk</t>
  </si>
  <si>
    <t>Wetshaw</t>
  </si>
  <si>
    <t>Yinma</t>
  </si>
  <si>
    <t>Yinzat</t>
  </si>
  <si>
    <t>Zaungbale</t>
  </si>
  <si>
    <t>Zibyu</t>
  </si>
  <si>
    <t>ဆတ်ကုလားမဲ</t>
  </si>
  <si>
    <t>မှတ်အာ</t>
  </si>
  <si>
    <t>သျှစ်ရှား</t>
  </si>
  <si>
    <t>Kabaung Reserved Forest </t>
  </si>
  <si>
    <t>Yoma Unclassed Froest</t>
  </si>
  <si>
    <t>Emblica officinalis</t>
  </si>
  <si>
    <t>Plto 13_1</t>
  </si>
  <si>
    <t>Plot55_4</t>
  </si>
  <si>
    <t>Diameter Class (cm)</t>
  </si>
  <si>
    <t>Reserved Forest</t>
  </si>
  <si>
    <t>Location Two</t>
  </si>
  <si>
    <t>Location Three</t>
  </si>
  <si>
    <t>Croton oblongifolius </t>
  </si>
  <si>
    <t>Gardenia sessiliflora</t>
  </si>
  <si>
    <t>Miliusa velutina</t>
  </si>
  <si>
    <t>Dolichandrone atrovirens </t>
  </si>
  <si>
    <t>Grewia glabra</t>
  </si>
  <si>
    <t>Gardenia turgida</t>
  </si>
  <si>
    <t>Randia uliginosa</t>
  </si>
  <si>
    <t>Wrightia arborea</t>
  </si>
  <si>
    <t>Canthium parvifolium</t>
  </si>
  <si>
    <t>L2</t>
  </si>
  <si>
    <t>Total Trees (48)</t>
  </si>
  <si>
    <t>Total Trees (23)</t>
  </si>
  <si>
    <t>Total Trees (13)</t>
  </si>
  <si>
    <t>Hmanbyu</t>
  </si>
  <si>
    <t>I used the local names to arrange the tree name alphabatically so that I can</t>
  </si>
  <si>
    <t>see the dominant one from the list.</t>
  </si>
  <si>
    <t>Thabut-gyi</t>
  </si>
  <si>
    <t>Thakut</t>
  </si>
  <si>
    <t>Thetyin-gyi</t>
  </si>
  <si>
    <t>Kuthan</t>
  </si>
  <si>
    <t>Kyet-tayaw</t>
  </si>
  <si>
    <t>Lettokthein</t>
  </si>
  <si>
    <t>Ngu</t>
  </si>
  <si>
    <t>Se-thanbaya</t>
  </si>
  <si>
    <t>L1</t>
  </si>
  <si>
    <t xml:space="preserve"> Carbon</t>
  </si>
  <si>
    <t>Sample Plots No.</t>
  </si>
  <si>
    <t>CI</t>
  </si>
  <si>
    <t>Yoma Protected Public Forest</t>
  </si>
  <si>
    <t>No. of tree</t>
  </si>
  <si>
    <t>Bamboo Culms</t>
  </si>
  <si>
    <t>no. of Pole</t>
  </si>
  <si>
    <t xml:space="preserve">Height </t>
  </si>
  <si>
    <t>Diameter</t>
  </si>
  <si>
    <t>Plot (54_1)</t>
  </si>
  <si>
    <t>Plot (54_2)</t>
  </si>
  <si>
    <t>Kyat Thaung War</t>
  </si>
  <si>
    <t>9 culms</t>
  </si>
  <si>
    <t>56 poles</t>
  </si>
  <si>
    <t>Plot (55_3)</t>
  </si>
  <si>
    <t> Millettia peguensis</t>
  </si>
  <si>
    <t>Kyat thaung war</t>
  </si>
  <si>
    <t>4 culms</t>
  </si>
  <si>
    <t>50 poles</t>
  </si>
  <si>
    <t>Plot (55_4)</t>
  </si>
  <si>
    <t>Kyat thaung</t>
  </si>
  <si>
    <t>3 culms</t>
  </si>
  <si>
    <t>51 poles</t>
  </si>
  <si>
    <t>Plot (60_5)</t>
  </si>
  <si>
    <t>Bauhinia acuminata </t>
  </si>
  <si>
    <t xml:space="preserve">Kyathaung </t>
  </si>
  <si>
    <t>12 culms</t>
  </si>
  <si>
    <t>92 poles</t>
  </si>
  <si>
    <t>Plot (60_6)</t>
  </si>
  <si>
    <t xml:space="preserve">Kyat thaung </t>
  </si>
  <si>
    <t>1 culm</t>
  </si>
  <si>
    <t>9 poles</t>
  </si>
  <si>
    <t>Plot (61_7)</t>
  </si>
  <si>
    <t> Hymenodictyon orixense</t>
  </si>
  <si>
    <t>Cassia fistula</t>
  </si>
  <si>
    <t>Emblica officinalis </t>
  </si>
  <si>
    <t>Markhamia stipulata </t>
  </si>
  <si>
    <t>30 poles</t>
  </si>
  <si>
    <t>Plot (61_8)</t>
  </si>
  <si>
    <t>2 culms</t>
  </si>
  <si>
    <t>44 poles</t>
  </si>
  <si>
    <t>Plot (64_9)</t>
  </si>
  <si>
    <t>29 poles</t>
  </si>
  <si>
    <t>Plot (64_10)</t>
  </si>
  <si>
    <t>15 poles</t>
  </si>
  <si>
    <t>Plot (13_1)</t>
  </si>
  <si>
    <t>Gardenia erythroclada</t>
  </si>
  <si>
    <t>Albizzia procera</t>
  </si>
  <si>
    <t>Plot (13_2)</t>
  </si>
  <si>
    <r>
      <t>Miliusa velutina</t>
    </r>
    <r>
      <rPr>
        <sz val="11"/>
        <color rgb="FF000000"/>
        <rFont val="Times New Roman"/>
        <family val="1"/>
      </rPr>
      <t> </t>
    </r>
  </si>
  <si>
    <r>
      <t>Cordia dichotoma</t>
    </r>
    <r>
      <rPr>
        <sz val="11"/>
        <color rgb="FF000000"/>
        <rFont val="Times New Roman"/>
        <family val="1"/>
      </rPr>
      <t> </t>
    </r>
  </si>
  <si>
    <r>
      <t>Holarrhena pubescens</t>
    </r>
    <r>
      <rPr>
        <sz val="11"/>
        <color rgb="FF000000"/>
        <rFont val="Times New Roman"/>
        <family val="1"/>
      </rPr>
      <t> </t>
    </r>
  </si>
  <si>
    <r>
      <t> </t>
    </r>
    <r>
      <rPr>
        <i/>
        <sz val="11"/>
        <color rgb="FF000000"/>
        <rFont val="Times New Roman"/>
        <family val="1"/>
      </rPr>
      <t>Aporusa roxburghii</t>
    </r>
  </si>
  <si>
    <t>Plot (13_3)</t>
  </si>
  <si>
    <r>
      <t> </t>
    </r>
    <r>
      <rPr>
        <i/>
        <sz val="11"/>
        <color rgb="FF000000"/>
        <rFont val="Times New Roman"/>
        <family val="1"/>
      </rPr>
      <t>Xylia xylocarpa</t>
    </r>
    <r>
      <rPr>
        <sz val="11"/>
        <color rgb="FF000000"/>
        <rFont val="Times New Roman"/>
        <family val="1"/>
      </rPr>
      <t> </t>
    </r>
  </si>
  <si>
    <r>
      <t> </t>
    </r>
    <r>
      <rPr>
        <i/>
        <sz val="11"/>
        <color rgb="FF000000"/>
        <rFont val="Times New Roman"/>
        <family val="1"/>
      </rPr>
      <t>Mitragyna diversifolia</t>
    </r>
    <r>
      <rPr>
        <sz val="11"/>
        <color rgb="FF000000"/>
        <rFont val="Times New Roman"/>
        <family val="1"/>
      </rPr>
      <t> </t>
    </r>
  </si>
  <si>
    <t>Excoecaria agallocha</t>
  </si>
  <si>
    <r>
      <t>Terminalia chebula</t>
    </r>
    <r>
      <rPr>
        <sz val="11"/>
        <color rgb="FF000000"/>
        <rFont val="Times New Roman"/>
        <family val="1"/>
      </rPr>
      <t> </t>
    </r>
  </si>
  <si>
    <t>Holarrhena pubescens</t>
  </si>
  <si>
    <r>
      <t> </t>
    </r>
    <r>
      <rPr>
        <i/>
        <sz val="11"/>
        <color rgb="FF000000"/>
        <rFont val="Times New Roman"/>
        <family val="1"/>
      </rPr>
      <t>Albizia odoratissima</t>
    </r>
    <r>
      <rPr>
        <sz val="11"/>
        <color rgb="FF000000"/>
        <rFont val="Times New Roman"/>
        <family val="1"/>
      </rPr>
      <t> </t>
    </r>
  </si>
  <si>
    <t>Plot (13_4)</t>
  </si>
  <si>
    <r>
      <t> </t>
    </r>
    <r>
      <rPr>
        <i/>
        <sz val="11"/>
        <color rgb="FF000000"/>
        <rFont val="Times New Roman"/>
        <family val="1"/>
      </rPr>
      <t>Celtis cinnamomea</t>
    </r>
  </si>
  <si>
    <r>
      <t>Excoecaria agallocha</t>
    </r>
    <r>
      <rPr>
        <sz val="11"/>
        <color rgb="FF000000"/>
        <rFont val="Times New Roman"/>
        <family val="1"/>
      </rPr>
      <t> </t>
    </r>
  </si>
  <si>
    <t>Walsura robusta</t>
  </si>
  <si>
    <t>Mitragyna diversifolia</t>
  </si>
  <si>
    <t>Plot (18_1)</t>
  </si>
  <si>
    <r>
      <t>Bombax insigne</t>
    </r>
    <r>
      <rPr>
        <sz val="11"/>
        <color rgb="FF000000"/>
        <rFont val="Times New Roman"/>
        <family val="1"/>
      </rPr>
      <t> </t>
    </r>
  </si>
  <si>
    <t>Kyatthaung</t>
  </si>
  <si>
    <t>28 poles</t>
  </si>
  <si>
    <t>Plot (19_2)</t>
  </si>
  <si>
    <r>
      <t>Heterophragma adenophylla</t>
    </r>
    <r>
      <rPr>
        <sz val="11"/>
        <color rgb="FF000000"/>
        <rFont val="Times New Roman"/>
        <family val="1"/>
      </rPr>
      <t> </t>
    </r>
  </si>
  <si>
    <t>TinWar</t>
  </si>
  <si>
    <t>Plot (20_3)</t>
  </si>
  <si>
    <r>
      <t> </t>
    </r>
    <r>
      <rPr>
        <i/>
        <sz val="11"/>
        <color rgb="FF000000"/>
        <rFont val="Times New Roman"/>
        <family val="1"/>
      </rPr>
      <t>Xylia xylocarpa</t>
    </r>
  </si>
  <si>
    <t>7culms</t>
  </si>
  <si>
    <t>50poles</t>
  </si>
  <si>
    <t>Plot (14_4)</t>
  </si>
  <si>
    <t>Kyathaung</t>
  </si>
  <si>
    <t>8poles</t>
  </si>
  <si>
    <t>Plot (12_5)</t>
  </si>
  <si>
    <t>Antidesma bunius</t>
  </si>
  <si>
    <r>
      <t>Diospyros ehretioides</t>
    </r>
    <r>
      <rPr>
        <sz val="11"/>
        <color rgb="FF000000"/>
        <rFont val="Times New Roman"/>
        <family val="1"/>
      </rPr>
      <t> </t>
    </r>
  </si>
  <si>
    <t>Premna pyramidata</t>
  </si>
  <si>
    <t>Croton oblongifolius</t>
  </si>
  <si>
    <t>Excoecaria agallocha </t>
  </si>
  <si>
    <t>Tin culm</t>
  </si>
  <si>
    <t>3poles</t>
  </si>
  <si>
    <t>*Bamboo</t>
  </si>
  <si>
    <t>Plot Number = 1 (A) (50 m x 50 m)</t>
  </si>
  <si>
    <t>Date = 3.1.2014</t>
  </si>
  <si>
    <t>Plot Number = 1 (B) (25 m x 25 m)</t>
  </si>
  <si>
    <t>Plot Number = 1 (C) (12.5 m x 12.5 m)</t>
  </si>
  <si>
    <t>GPS points</t>
  </si>
  <si>
    <t>Position = Kabaung Reserved forest (54)</t>
  </si>
  <si>
    <t>Inventory leader = U Zaw Zaw</t>
  </si>
  <si>
    <t>Tree No.</t>
  </si>
  <si>
    <t>Tree Name</t>
  </si>
  <si>
    <t>DBH(cm)</t>
  </si>
  <si>
    <t>H(m)</t>
  </si>
  <si>
    <t>Biomass (kg)</t>
  </si>
  <si>
    <t>Sum Biomass (t/ha)</t>
  </si>
  <si>
    <t>Biomass(t/ha)</t>
  </si>
  <si>
    <t>Remark</t>
  </si>
  <si>
    <t>* To measure all trees (DBH = 5 cm to 10 cm)</t>
  </si>
  <si>
    <t>No: of Trees</t>
  </si>
  <si>
    <t>* To count all trees (H ≥ 1.3 m)</t>
  </si>
  <si>
    <t>*To count all bamboos</t>
  </si>
  <si>
    <t>1 = 46Q 0806279, 2092521</t>
  </si>
  <si>
    <t>2 = 46Q 0806257, 2092542</t>
  </si>
  <si>
    <t xml:space="preserve">3 = 46Q 0806298, 2092541 </t>
  </si>
  <si>
    <t>4 = 46Q 0806256, 2092497</t>
  </si>
  <si>
    <t>5 = 46Q 0806303, 2092488</t>
  </si>
  <si>
    <t>6 = 46Q 0806255, 2092521</t>
  </si>
  <si>
    <t>* To measure all trees (DBH = 10 cm to 20 cm)</t>
  </si>
  <si>
    <t>7 = 46Q 0806302, 2092517</t>
  </si>
  <si>
    <t>8 = 46Q 0806275, 2092542</t>
  </si>
  <si>
    <t>9 = 46Q 0806278, 2092494</t>
  </si>
  <si>
    <t>* To measure all trees (≥ 20 cm)</t>
  </si>
  <si>
    <t>Plot Number = 2 (A) (50 m x 50 m)</t>
  </si>
  <si>
    <t>Plot Number = 2 (B) (25 m x 25 m)</t>
  </si>
  <si>
    <t>Plot Number = 2 (C) (12.5 m x 12.5 m)</t>
  </si>
  <si>
    <t>1 = 46Q 0806171, 2092468</t>
  </si>
  <si>
    <t>2 = 46Q 0806151, 2092492</t>
  </si>
  <si>
    <t xml:space="preserve">3 = 46Q 0806194, 2092494 </t>
  </si>
  <si>
    <t>4 = 46Q 0806194, 2092450</t>
  </si>
  <si>
    <t>5 = 46Q 0106197, 2092465</t>
  </si>
  <si>
    <t>6 = 46Q 0806150, 2092469</t>
  </si>
  <si>
    <t>7 = 46Q 0806186, 2092468</t>
  </si>
  <si>
    <t>8 = 46Q 0806169, 2092474</t>
  </si>
  <si>
    <t>9 = 46Q 0806164, 2092445</t>
  </si>
  <si>
    <t>Plot Number = 3 (A) (50 m x 50 m)</t>
  </si>
  <si>
    <t>Date = 4.1.2014</t>
  </si>
  <si>
    <t>Plot Number = 3 (B) (25 m x 25 m)</t>
  </si>
  <si>
    <t>Plot Number = 3 (C) (12.5 m x 12.5 m)</t>
  </si>
  <si>
    <t>Position = Kabaung Reserved forest (55)</t>
  </si>
  <si>
    <t xml:space="preserve"> </t>
  </si>
  <si>
    <t xml:space="preserve">1 = 46Q 0806937, 2091680 </t>
  </si>
  <si>
    <t xml:space="preserve">    </t>
  </si>
  <si>
    <t>2 = 46Q 0806908, 2091704</t>
  </si>
  <si>
    <t>3 = 46Q 0806954, 2091712</t>
  </si>
  <si>
    <r>
      <t>Millettia ovalifolia</t>
    </r>
    <r>
      <rPr>
        <sz val="8"/>
        <color rgb="FF000000"/>
        <rFont val="Verdana"/>
        <family val="2"/>
      </rPr>
      <t> </t>
    </r>
  </si>
  <si>
    <t xml:space="preserve">4 = 46Q 0806917, 2091663 </t>
  </si>
  <si>
    <t xml:space="preserve">5 = 46Q 0806962, 2091666 </t>
  </si>
  <si>
    <t>6 = 46Q 0806910, 2091681</t>
  </si>
  <si>
    <t>7 = 46Q 0806937, 2091693</t>
  </si>
  <si>
    <t xml:space="preserve">8 = 46Q 0806937, 2091710 </t>
  </si>
  <si>
    <t>9 = 46Q 0806941, 2091663</t>
  </si>
  <si>
    <t>Plot Number = 4 (A) (50 m x 50 m)</t>
  </si>
  <si>
    <t>Plot Number = 4 (B) (25 m x 25 m)</t>
  </si>
  <si>
    <t>Plot Number = 4 (C) (12.5 m x 12.5 m)</t>
  </si>
  <si>
    <t>1 = 46Q 0806868, 2091723</t>
  </si>
  <si>
    <t>2 = 46Q 0806850, 2091748</t>
  </si>
  <si>
    <t>3 = 46Q 0806893, 2091752</t>
  </si>
  <si>
    <t>4 = 46Q 0806847, 2091696</t>
  </si>
  <si>
    <t xml:space="preserve">                                                                                                                                                                                                                          </t>
  </si>
  <si>
    <t xml:space="preserve">5 = 46Q 0806893, 2091699 </t>
  </si>
  <si>
    <t>6 = 46Q 0806848, 2091719</t>
  </si>
  <si>
    <t>7 = 46Q 0806894, 2091724</t>
  </si>
  <si>
    <t>8 = 46Q 0806873, 2091750</t>
  </si>
  <si>
    <t>9 = 46Q 0806873, 2091698</t>
  </si>
  <si>
    <t>Plot Number = 5 (A) (50 m x 50 m)</t>
  </si>
  <si>
    <t>Date = 5.1.2014</t>
  </si>
  <si>
    <t>Plot Number = 5 (B) (25 m x 25 m)</t>
  </si>
  <si>
    <t>Plot Number = 5 (C) (12.5 m x 12.5 m)</t>
  </si>
  <si>
    <t>Position = Kabaung Reserved forest (60)</t>
  </si>
  <si>
    <t>Biomass(kg)</t>
  </si>
  <si>
    <t xml:space="preserve">1 = 46Q 0807639, 2090751 </t>
  </si>
  <si>
    <t xml:space="preserve">2 = 46Q 0807610, 2090771 </t>
  </si>
  <si>
    <t xml:space="preserve">3 = 46Q 0807648, 2090782 </t>
  </si>
  <si>
    <t xml:space="preserve">4 = 46Q 0807607, 2090725 </t>
  </si>
  <si>
    <t xml:space="preserve">5 = 46Q 0807639, 2090735 </t>
  </si>
  <si>
    <t xml:space="preserve">6 = 46Q 0807609, 2090748 </t>
  </si>
  <si>
    <t>7 = 46Q  0807653, 2090750</t>
  </si>
  <si>
    <t xml:space="preserve">8 = 46Q 0807633, 2090775 </t>
  </si>
  <si>
    <t xml:space="preserve">9 = 46Q 0807621, 2090748 </t>
  </si>
  <si>
    <t>Plot Number = 6 (A) (50 m x 50 m)</t>
  </si>
  <si>
    <t>Plot Number = 6 (B) (25 m x 25 m)</t>
  </si>
  <si>
    <t>Plot Number = 6 (C) (12.5 m x 12.5 m)</t>
  </si>
  <si>
    <t>1 = 46Q 0807569, 2090810</t>
  </si>
  <si>
    <t xml:space="preserve">2 = 46Q 0807537, 2090839 </t>
  </si>
  <si>
    <t xml:space="preserve">3 = 46Q 0807584, 2090833  </t>
  </si>
  <si>
    <t xml:space="preserve">4 = 46Q 0807548, 2090792 </t>
  </si>
  <si>
    <t xml:space="preserve">5 = 46Q 0807585, 2090788 </t>
  </si>
  <si>
    <t>6 = 46Q 0807537, 2090810</t>
  </si>
  <si>
    <t>7 = 46Q  0807580, 2090806</t>
  </si>
  <si>
    <t>8 = 46Q 0807569, 2090828</t>
  </si>
  <si>
    <t xml:space="preserve">9 = 46Q 0807565, 2090794 </t>
  </si>
  <si>
    <t>Plot Number = 7 (A) (50 m x 50 m)</t>
  </si>
  <si>
    <t>Date = 6.1.2014</t>
  </si>
  <si>
    <t>Plot Number = 7 (B) (25 m x 25 m)</t>
  </si>
  <si>
    <t>Plot Number = 7 (C) (12.5 m x 12.5 m)</t>
  </si>
  <si>
    <t>Position = Kabaung Reserved forest (61)</t>
  </si>
  <si>
    <t>1 = 46Q 0809332, 2090474</t>
  </si>
  <si>
    <t>2 = 46Q  0809308, 2090490</t>
  </si>
  <si>
    <t xml:space="preserve">                             </t>
  </si>
  <si>
    <t xml:space="preserve">3 = 46Q 0809351, 2090499 </t>
  </si>
  <si>
    <t>4 = 46Q 0809310, 2090451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</si>
  <si>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</si>
  <si>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 = 46Q 0809352, 2090464</t>
  </si>
  <si>
    <t xml:space="preserve">6 = 46Q 0809312, 2090472 </t>
  </si>
  <si>
    <t>7 = 46Q  0809341, 2090471</t>
  </si>
  <si>
    <t xml:space="preserve">8 = 46Q 0809330, 2090489 </t>
  </si>
  <si>
    <t xml:space="preserve">9 = 46Q 0809333, 2090451 </t>
  </si>
  <si>
    <t xml:space="preserve">                                                                                                                                   </t>
  </si>
  <si>
    <t>Plot Number = 8 (A) (50 m x 50 m)</t>
  </si>
  <si>
    <t>Plot Number = 8 (B) (25 m x 25 m)</t>
  </si>
  <si>
    <t>Plot Number = 8 (C) (12.5 m x 12.5 m)</t>
  </si>
  <si>
    <t xml:space="preserve">1 = 46Q 0809262, 2090409 </t>
  </si>
  <si>
    <t>2 = 46Q 0809234, 2090431</t>
  </si>
  <si>
    <t xml:space="preserve">3 = 46Q 0809285, 2090438 </t>
  </si>
  <si>
    <t xml:space="preserve">4 = 46Q 0809248, 2090385 </t>
  </si>
  <si>
    <t xml:space="preserve">5 = 46Q 0809291, 2090395 </t>
  </si>
  <si>
    <t xml:space="preserve">6 = 46Q 0809240, 2090408 </t>
  </si>
  <si>
    <t>7 = 46Q  0809288, 2090415</t>
  </si>
  <si>
    <t xml:space="preserve">8 = 46Q 0809262, 2090436  </t>
  </si>
  <si>
    <t>9 = 46Q 0809268, 2090393</t>
  </si>
  <si>
    <t>Plot Number = 9 (A) (50 m x 50 m)</t>
  </si>
  <si>
    <t>Date = 7.1.2014</t>
  </si>
  <si>
    <t>Plot Number = 9 (B) (25 m x 25 m)</t>
  </si>
  <si>
    <t>Plot Number = 9 (C) (12.5 m x 12.5 m)</t>
  </si>
  <si>
    <t>Position = Kabaung Reserved forest (64)</t>
  </si>
  <si>
    <t xml:space="preserve">1 = 46Q 0809623, 2089947 </t>
  </si>
  <si>
    <t>2 = 46Q 0809597, 2089983</t>
  </si>
  <si>
    <t xml:space="preserve">3 = 46Q 0809642, 2089987 </t>
  </si>
  <si>
    <t>4 = 46Q 0809599, 2089936</t>
  </si>
  <si>
    <t>5 = 46Q  0809637, 2089930</t>
  </si>
  <si>
    <t xml:space="preserve">6 = 46Q 0809603, 2089962 </t>
  </si>
  <si>
    <t xml:space="preserve">7 = 46Q  0809631, 2089957 </t>
  </si>
  <si>
    <t>8 = 46Q 0809627, 2089976</t>
  </si>
  <si>
    <t xml:space="preserve">9 = 46Q 0809622, 2089946 </t>
  </si>
  <si>
    <t>Plot Number = 10 (A) (50 m x 50 m)</t>
  </si>
  <si>
    <t>Plot Number = 10 (B) (25 m x 25 m)</t>
  </si>
  <si>
    <t>Plot Number = 10 (C) (12.5 m x 12.5 m)</t>
  </si>
  <si>
    <t>Biomass</t>
  </si>
  <si>
    <t>B (t/ha)</t>
  </si>
  <si>
    <t>B(t/ha)</t>
  </si>
  <si>
    <t xml:space="preserve">1 = 46Q 0809669, 2089871 </t>
  </si>
  <si>
    <t xml:space="preserve">2 = 46Q 0809642, 2089898 </t>
  </si>
  <si>
    <t>3 = 46Q 0809686, 2089894</t>
  </si>
  <si>
    <t xml:space="preserve">4 = 46Q 0809649, 2089845 </t>
  </si>
  <si>
    <t xml:space="preserve">5 = 46Q  0809695, 2089847 </t>
  </si>
  <si>
    <t>6 = 46Q 0809649,  2089871</t>
  </si>
  <si>
    <t xml:space="preserve">7 = 46Q   0809685, 2089869 </t>
  </si>
  <si>
    <t xml:space="preserve">8 = 46Q 0809668, 2089895 </t>
  </si>
  <si>
    <t xml:space="preserve">9 = 46Q 0809668, 2089850 </t>
  </si>
  <si>
    <t>Plot Number = 1(A) (50 m x 50 m)</t>
  </si>
  <si>
    <t>Date = 30.11.2013</t>
  </si>
  <si>
    <t>Plot Number = 1(B) (25 m x 25 m)</t>
  </si>
  <si>
    <t>Plot Number = 1(C) (10 m x 10 m)</t>
  </si>
  <si>
    <t>Position = Yoma Unclassed forest (13)</t>
  </si>
  <si>
    <t>Species Name</t>
  </si>
  <si>
    <t>DBH (cm)</t>
  </si>
  <si>
    <t>Height (m)</t>
  </si>
  <si>
    <t>Hmanni</t>
  </si>
  <si>
    <t>Sit</t>
  </si>
  <si>
    <t>1 = 47Q 0193307, 2141424</t>
  </si>
  <si>
    <t>2 = 47Q 0193286, 2141453</t>
  </si>
  <si>
    <t>3 = 47Q 0193325, 2141452</t>
  </si>
  <si>
    <t>4 = 47Q 0193330, 2141428</t>
  </si>
  <si>
    <t>5 = 47Q 0193330, 2141402</t>
  </si>
  <si>
    <t>6 = 47Q 0193309, 2141447</t>
  </si>
  <si>
    <t>7 = 47Q 0193286, 2141406</t>
  </si>
  <si>
    <t>8 = 47Q 0193286, 2141432</t>
  </si>
  <si>
    <t>9 = 47Q 0193309, 2141402</t>
  </si>
  <si>
    <t>Plot Number = 2(A) (50 m x 50 m)</t>
  </si>
  <si>
    <t>Plot Number = 2(B) (25 m x 25 m)</t>
  </si>
  <si>
    <t>Plot Number = 2(C) (10 m x 10 m)</t>
  </si>
  <si>
    <r>
      <t>Miliusa velutina</t>
    </r>
    <r>
      <rPr>
        <sz val="8"/>
        <color rgb="FF000000"/>
        <rFont val="Verdana"/>
        <family val="2"/>
      </rPr>
      <t> </t>
    </r>
  </si>
  <si>
    <r>
      <t>Cordia dichotoma</t>
    </r>
    <r>
      <rPr>
        <sz val="8"/>
        <color rgb="FF000000"/>
        <rFont val="Verdana"/>
        <family val="2"/>
      </rPr>
      <t> </t>
    </r>
  </si>
  <si>
    <r>
      <t>Holarrhena pubescens</t>
    </r>
    <r>
      <rPr>
        <sz val="8"/>
        <color rgb="FF000000"/>
        <rFont val="Verdana"/>
        <family val="2"/>
      </rPr>
      <t> </t>
    </r>
  </si>
  <si>
    <t>1 = 47Q 0193418, 2141465</t>
  </si>
  <si>
    <t>Ye-mein</t>
  </si>
  <si>
    <r>
      <t> </t>
    </r>
    <r>
      <rPr>
        <i/>
        <sz val="8"/>
        <color rgb="FF000000"/>
        <rFont val="Verdana"/>
        <family val="2"/>
      </rPr>
      <t>Aporusa roxburghii</t>
    </r>
  </si>
  <si>
    <t>2 = 47Q 0193396, 2141489</t>
  </si>
  <si>
    <t>3 = 47Q 0193433, 2141486</t>
  </si>
  <si>
    <t>4 = 47Q 0193387, 2141440</t>
  </si>
  <si>
    <t>5 = 47Q 0193440, 2141433</t>
  </si>
  <si>
    <t>6 = 47Q 0193393, 2141465</t>
  </si>
  <si>
    <t>7 = 47Q 0193440, 2141458</t>
  </si>
  <si>
    <t>8 = 47Q 0193417, 2141493</t>
  </si>
  <si>
    <t>9 = 47Q 0193420, 2141442</t>
  </si>
  <si>
    <t>Plot Number = 3(A) (50 m x 50 m)</t>
  </si>
  <si>
    <t>Date = 1.12.2013</t>
  </si>
  <si>
    <t>Plot Number = 3(B) (25 m x 25 m)</t>
  </si>
  <si>
    <t>Plot Number = 3(C) (10 m x 10 m)</t>
  </si>
  <si>
    <r>
      <t> </t>
    </r>
    <r>
      <rPr>
        <i/>
        <sz val="8"/>
        <color rgb="FF000000"/>
        <rFont val="Verdana"/>
        <family val="2"/>
      </rPr>
      <t>Xylia xylocarpa</t>
    </r>
    <r>
      <rPr>
        <sz val="8"/>
        <color rgb="FF000000"/>
        <rFont val="Verdana"/>
        <family val="2"/>
      </rPr>
      <t> </t>
    </r>
  </si>
  <si>
    <r>
      <t> </t>
    </r>
    <r>
      <rPr>
        <i/>
        <sz val="8"/>
        <color rgb="FF000000"/>
        <rFont val="Verdana"/>
        <family val="2"/>
      </rPr>
      <t>Mitragyna diversifolia</t>
    </r>
    <r>
      <rPr>
        <sz val="8"/>
        <color rgb="FF000000"/>
        <rFont val="Verdana"/>
        <family val="2"/>
      </rPr>
      <t> </t>
    </r>
  </si>
  <si>
    <t>Tayaw</t>
  </si>
  <si>
    <t>Panga</t>
  </si>
  <si>
    <r>
      <t>Terminalia chebula</t>
    </r>
    <r>
      <rPr>
        <sz val="8"/>
        <color rgb="FF000000"/>
        <rFont val="Verdana"/>
        <family val="2"/>
      </rPr>
      <t> </t>
    </r>
  </si>
  <si>
    <t>1 = 47Q 0193210, 2141304</t>
  </si>
  <si>
    <t>2 = 47Q 0193191, 2141327</t>
  </si>
  <si>
    <t>Thit-magyi</t>
  </si>
  <si>
    <r>
      <t> </t>
    </r>
    <r>
      <rPr>
        <i/>
        <sz val="8"/>
        <color rgb="FF000000"/>
        <rFont val="Verdana"/>
        <family val="2"/>
      </rPr>
      <t>Albizia odoratissima</t>
    </r>
    <r>
      <rPr>
        <sz val="8"/>
        <color rgb="FF000000"/>
        <rFont val="Verdana"/>
        <family val="2"/>
      </rPr>
      <t> </t>
    </r>
  </si>
  <si>
    <t>3 = 47Q 0193235, 2141337</t>
  </si>
  <si>
    <t>4 = 47Q 0193184, 2141280</t>
  </si>
  <si>
    <t>5 = 47Q 0193232, 2141281</t>
  </si>
  <si>
    <r>
      <t>Lannea coromandelica</t>
    </r>
    <r>
      <rPr>
        <sz val="8"/>
        <color rgb="FF000000"/>
        <rFont val="Verdana"/>
        <family val="2"/>
      </rPr>
      <t> </t>
    </r>
  </si>
  <si>
    <t>6 = 47Q 0193191, 2141307</t>
  </si>
  <si>
    <t>7 = 47Q 0193229, 2141305</t>
  </si>
  <si>
    <t>8 = 47Q 0193212, 2141323</t>
  </si>
  <si>
    <t>9 = 47Q 0193207, 2141282</t>
  </si>
  <si>
    <t>Plot Number = 4(A) (50 m x 50 m)</t>
  </si>
  <si>
    <t>Plot Number = 4(B) (25 m x 25 m)</t>
  </si>
  <si>
    <t>Plot Number = 4(C) (10 m x 10 m)</t>
  </si>
  <si>
    <t>B(kg)</t>
  </si>
  <si>
    <r>
      <t> </t>
    </r>
    <r>
      <rPr>
        <i/>
        <sz val="8"/>
        <color rgb="FF000000"/>
        <rFont val="Verdana"/>
        <family val="2"/>
      </rPr>
      <t>Celtis cinnamomea</t>
    </r>
  </si>
  <si>
    <r>
      <t>Excoecaria agallocha</t>
    </r>
    <r>
      <rPr>
        <sz val="8"/>
        <color rgb="FF000000"/>
        <rFont val="Verdana"/>
        <family val="2"/>
      </rPr>
      <t> </t>
    </r>
  </si>
  <si>
    <r>
      <t>Schleichera oleosa</t>
    </r>
    <r>
      <rPr>
        <sz val="8"/>
        <color rgb="FF000000"/>
        <rFont val="Verdana"/>
        <family val="2"/>
      </rPr>
      <t> </t>
    </r>
  </si>
  <si>
    <t>Gyobo</t>
  </si>
  <si>
    <t>3 = 47Q 0193235, 2141331</t>
  </si>
  <si>
    <r>
      <t> </t>
    </r>
    <r>
      <rPr>
        <i/>
        <sz val="8"/>
        <color rgb="FF000000"/>
        <rFont val="Verdana"/>
        <family val="2"/>
      </rPr>
      <t>Xylia xylocarpa</t>
    </r>
  </si>
  <si>
    <t>s</t>
  </si>
  <si>
    <t>Date = 16.11.2013</t>
  </si>
  <si>
    <t>Position = Kyaukmasin RF(18)</t>
  </si>
  <si>
    <r>
      <t>Bridelia retusa</t>
    </r>
    <r>
      <rPr>
        <sz val="8"/>
        <color rgb="FF000000"/>
        <rFont val="Verdana"/>
        <family val="2"/>
      </rPr>
      <t> </t>
    </r>
  </si>
  <si>
    <r>
      <t>Bombax insigne</t>
    </r>
    <r>
      <rPr>
        <sz val="8"/>
        <color rgb="FF000000"/>
        <rFont val="Verdana"/>
        <family val="2"/>
      </rPr>
      <t> </t>
    </r>
  </si>
  <si>
    <r>
      <t>Miliusa roxburghiana</t>
    </r>
    <r>
      <rPr>
        <sz val="8"/>
        <color rgb="FF000000"/>
        <rFont val="Verdana"/>
        <family val="2"/>
      </rPr>
      <t> </t>
    </r>
  </si>
  <si>
    <r>
      <t>Stereospermum colais</t>
    </r>
    <r>
      <rPr>
        <sz val="8"/>
        <color rgb="FF000000"/>
        <rFont val="Verdana"/>
        <family val="2"/>
      </rPr>
      <t> </t>
    </r>
  </si>
  <si>
    <t>1 = ?</t>
  </si>
  <si>
    <t>2 = 46 Q 0802970, 2151811</t>
  </si>
  <si>
    <t>3 = 46 Q 0802957, 2151808</t>
  </si>
  <si>
    <t>4 = 46 Q 0802962, 2151769</t>
  </si>
  <si>
    <t>5 = 46Q 0802968, 2151771</t>
  </si>
  <si>
    <r>
      <t> </t>
    </r>
    <r>
      <rPr>
        <i/>
        <sz val="8"/>
        <color rgb="FF000000"/>
        <rFont val="Verdana"/>
        <family val="2"/>
      </rPr>
      <t>Bauhinia monandra</t>
    </r>
  </si>
  <si>
    <r>
      <t> </t>
    </r>
    <r>
      <rPr>
        <i/>
        <sz val="8"/>
        <color rgb="FF000000"/>
        <rFont val="Verdana"/>
        <family val="2"/>
      </rPr>
      <t>Hyptianthera stricta</t>
    </r>
  </si>
  <si>
    <t>Date = 17.11.2013</t>
  </si>
  <si>
    <t>Position = Kyaukmasin RF(19)</t>
  </si>
  <si>
    <r>
      <t>Croton oblongifolius</t>
    </r>
    <r>
      <rPr>
        <sz val="8"/>
        <color rgb="FF000000"/>
        <rFont val="Verdana"/>
        <family val="2"/>
      </rPr>
      <t> </t>
    </r>
  </si>
  <si>
    <r>
      <t>Heterophragma adenophylla</t>
    </r>
    <r>
      <rPr>
        <sz val="8"/>
        <color rgb="FF000000"/>
        <rFont val="Verdana"/>
        <family val="2"/>
      </rPr>
      <t> </t>
    </r>
  </si>
  <si>
    <t>1 = 46 Q 0800225, 2151504</t>
  </si>
  <si>
    <t>2 = 46 Q 0800198, 2151522</t>
  </si>
  <si>
    <t>3 = 46 Q 0800251, 2151528</t>
  </si>
  <si>
    <t>4 = 46 Q 0800203, 2151482</t>
  </si>
  <si>
    <t>5 = 46Q 0800248, 2151478</t>
  </si>
  <si>
    <r>
      <t>Diospyros ehretioides</t>
    </r>
    <r>
      <rPr>
        <sz val="8"/>
        <color rgb="FF000000"/>
        <rFont val="Verdana"/>
        <family val="2"/>
      </rPr>
      <t> </t>
    </r>
  </si>
  <si>
    <t>Position = Kyaukmasin RF(20)</t>
  </si>
  <si>
    <t>B (kg)</t>
  </si>
  <si>
    <r>
      <t>Dolichandrone atrovirens</t>
    </r>
    <r>
      <rPr>
        <sz val="8"/>
        <color rgb="FF000000"/>
        <rFont val="Verdana"/>
        <family val="2"/>
      </rPr>
      <t> </t>
    </r>
  </si>
  <si>
    <r>
      <t>Erythrina arborescens</t>
    </r>
    <r>
      <rPr>
        <sz val="8"/>
        <color rgb="FF000000"/>
        <rFont val="Verdana"/>
        <family val="2"/>
      </rPr>
      <t> </t>
    </r>
  </si>
  <si>
    <t xml:space="preserve">1 = 46 Q 0799624, 2151801 </t>
  </si>
  <si>
    <t>2 = 46 Q 0799596, 2151831</t>
  </si>
  <si>
    <t xml:space="preserve">3 = 46 Q 0799650, 2151824 </t>
  </si>
  <si>
    <t>4 = 46 Q 0799595, 2151774</t>
  </si>
  <si>
    <t xml:space="preserve">5 = 46 Q 0799649, 2151780 </t>
  </si>
  <si>
    <r>
      <t>Dalbergia lanceolaria</t>
    </r>
    <r>
      <rPr>
        <sz val="8"/>
        <color rgb="FF000000"/>
        <rFont val="Verdana"/>
        <family val="2"/>
      </rPr>
      <t> </t>
    </r>
  </si>
  <si>
    <r>
      <t>Gardenia sessiliflora</t>
    </r>
    <r>
      <rPr>
        <sz val="8"/>
        <color rgb="FF000000"/>
        <rFont val="Verdana"/>
        <family val="2"/>
      </rPr>
      <t> </t>
    </r>
  </si>
  <si>
    <t>Date = 18.11.2013</t>
  </si>
  <si>
    <t>Position = Kyaukmasin RF(14)</t>
  </si>
  <si>
    <t xml:space="preserve">1 = 46 Q 0798656, 2152383 </t>
  </si>
  <si>
    <t xml:space="preserve">2 = 46 Q 0798626, 5152411 </t>
  </si>
  <si>
    <t>3 = 46 Q 0798673, 2152411</t>
  </si>
  <si>
    <t xml:space="preserve">4 = 46 Q 0798627, 2152366 </t>
  </si>
  <si>
    <t xml:space="preserve">5 = 46 Q 0798672, 2152366 </t>
  </si>
  <si>
    <t>Plot Number = 5(A) (50 m x 50 m)</t>
  </si>
  <si>
    <t>Plot Number = 5(B) (25 m x 25 m)</t>
  </si>
  <si>
    <t>Plot Number = 5(C) (10 m x 10 m)</t>
  </si>
  <si>
    <t>Position = Kyaukmasin RF(12)</t>
  </si>
  <si>
    <t>Kinbalin</t>
  </si>
  <si>
    <t>Kyunbo</t>
  </si>
  <si>
    <t xml:space="preserve">1 = 46 Q 0796559, 2153465 </t>
  </si>
  <si>
    <t xml:space="preserve">2 = 46 Q 0796532, 2153485   </t>
  </si>
  <si>
    <t>3 = 46 Q 0796585, 2153486</t>
  </si>
  <si>
    <t>4 = 46 Q 0796531, 2153439</t>
  </si>
  <si>
    <t xml:space="preserve">5 = 46 Q 0796585, 2153435  </t>
  </si>
  <si>
    <t xml:space="preserve">     </t>
  </si>
  <si>
    <t>Khabaung Reserve</t>
  </si>
  <si>
    <t>Sciencetific name</t>
  </si>
  <si>
    <t>Kyaukmasin Reserve Forest</t>
  </si>
  <si>
    <t>No. of Species</t>
  </si>
  <si>
    <t>No. of species</t>
  </si>
  <si>
    <t>No.of species</t>
  </si>
  <si>
    <t>N</t>
  </si>
  <si>
    <t>LEGUMINOSAE</t>
  </si>
  <si>
    <t>Meliaceae</t>
  </si>
  <si>
    <t>Bignoniaceae</t>
  </si>
  <si>
    <t>Burseraceae</t>
  </si>
  <si>
    <t>Phyllanthaceae</t>
  </si>
  <si>
    <t>CELASTRACEAE</t>
  </si>
  <si>
    <t>Fagaceae</t>
  </si>
  <si>
    <t>CLUSIACEAE</t>
  </si>
  <si>
    <t>ALANGIACEAE</t>
  </si>
  <si>
    <t>TILIACEAE</t>
  </si>
  <si>
    <t> Lythraceae</t>
  </si>
  <si>
    <t>DIPTEROCARPACEAE</t>
  </si>
  <si>
    <t>Tiliaceae</t>
  </si>
  <si>
    <t> Bignoniaceae</t>
  </si>
  <si>
    <t>Malvaceae</t>
  </si>
  <si>
    <t>LAURACEAE</t>
  </si>
  <si>
    <t>Ulmaceae</t>
  </si>
  <si>
    <t>COMBRETACEAE</t>
  </si>
  <si>
    <t>Caesalpiniaceae</t>
  </si>
  <si>
    <t>Annonaceae</t>
  </si>
  <si>
    <t>Combretaceae </t>
  </si>
  <si>
    <t>54_1</t>
  </si>
  <si>
    <t>54_2</t>
  </si>
  <si>
    <t>55_3</t>
  </si>
  <si>
    <t>55_4</t>
  </si>
  <si>
    <t>60_5</t>
  </si>
  <si>
    <t>60_6</t>
  </si>
  <si>
    <t>61_7</t>
  </si>
  <si>
    <t>61_8</t>
  </si>
  <si>
    <t>64_9</t>
  </si>
  <si>
    <t>64_10</t>
  </si>
  <si>
    <t>13_1</t>
  </si>
  <si>
    <t>13_2</t>
  </si>
  <si>
    <t>13_3</t>
  </si>
  <si>
    <t>13_4</t>
  </si>
  <si>
    <t>18_1</t>
  </si>
  <si>
    <t>19_2</t>
  </si>
  <si>
    <t>20_3</t>
  </si>
  <si>
    <t>14_4</t>
  </si>
  <si>
    <t>12_5</t>
  </si>
  <si>
    <t>Plots</t>
  </si>
  <si>
    <t xml:space="preserve">Basal Area (m2/ha) </t>
  </si>
  <si>
    <t>Plot level BA (m2/ha)</t>
  </si>
  <si>
    <t>Plot no.</t>
  </si>
  <si>
    <t>STD ERR</t>
  </si>
  <si>
    <t>Site Level Basal Area (m2/ha)</t>
  </si>
  <si>
    <t>AVG Height</t>
  </si>
  <si>
    <t>Average Height</t>
  </si>
  <si>
    <t>Average height</t>
  </si>
  <si>
    <t>AVG Hei</t>
  </si>
  <si>
    <t>AVG H (m)</t>
  </si>
  <si>
    <t>AVG H</t>
  </si>
  <si>
    <t>AVG h</t>
  </si>
  <si>
    <t>avg H</t>
  </si>
  <si>
    <t>KBR</t>
  </si>
  <si>
    <t>YMPPF</t>
  </si>
  <si>
    <t>KMSR</t>
  </si>
  <si>
    <t>Carbon</t>
  </si>
  <si>
    <t>carbon1</t>
  </si>
  <si>
    <t>Families</t>
  </si>
  <si>
    <t>Apocynaceae</t>
  </si>
  <si>
    <t>Sterculiaceae </t>
  </si>
  <si>
    <t>Teak</t>
  </si>
  <si>
    <t>% Teak</t>
  </si>
  <si>
    <t>Biomass * MAI is annual increment? Sure</t>
  </si>
  <si>
    <t>Kyaukmasin Resreve</t>
  </si>
  <si>
    <t>Kabaung Reserved Forest</t>
  </si>
  <si>
    <r>
      <t xml:space="preserve">6.843 </t>
    </r>
    <r>
      <rPr>
        <sz val="11"/>
        <color theme="4"/>
        <rFont val="Calibri"/>
        <family val="2"/>
      </rPr>
      <t>± 8.21</t>
    </r>
  </si>
  <si>
    <r>
      <t xml:space="preserve">19.114 </t>
    </r>
    <r>
      <rPr>
        <sz val="11"/>
        <color theme="4"/>
        <rFont val="Calibri"/>
        <family val="2"/>
      </rPr>
      <t>±  1.511</t>
    </r>
  </si>
  <si>
    <r>
      <t xml:space="preserve">15.182 </t>
    </r>
    <r>
      <rPr>
        <sz val="11"/>
        <color theme="4"/>
        <rFont val="Calibri"/>
        <family val="2"/>
      </rPr>
      <t>± 1.576</t>
    </r>
  </si>
  <si>
    <t>SE</t>
  </si>
  <si>
    <t>Basal Area (m^2/ha)</t>
  </si>
  <si>
    <t>Yoma  Protected  Public Froest</t>
  </si>
  <si>
    <t>No. of Tree (ha)</t>
  </si>
  <si>
    <t>Height</t>
  </si>
  <si>
    <t>No. of Big Tree (ha)</t>
  </si>
  <si>
    <t>se big</t>
  </si>
  <si>
    <t>se small</t>
  </si>
  <si>
    <t>Tree (&gt;20 cm)</t>
  </si>
  <si>
    <t>Trees&lt;20 cm</t>
  </si>
  <si>
    <t>year</t>
  </si>
  <si>
    <t>Area of Froest</t>
  </si>
  <si>
    <t>Leakeage</t>
  </si>
  <si>
    <t>Revenue</t>
  </si>
  <si>
    <t>Credit</t>
  </si>
  <si>
    <t>Revenue per year</t>
  </si>
  <si>
    <t>Kyaukmasin Resreve Forest</t>
  </si>
  <si>
    <t xml:space="preserve">Total Carbon Storage </t>
  </si>
  <si>
    <t xml:space="preserve">25x 25 Annual Biomass Increment (t/ha </t>
  </si>
  <si>
    <t>Kyaukmasin Resreved Forest</t>
  </si>
  <si>
    <t>m</t>
  </si>
  <si>
    <t>YPPF</t>
  </si>
  <si>
    <t>STD ER</t>
  </si>
  <si>
    <t>Indaing Forest</t>
  </si>
  <si>
    <t xml:space="preserve">Dry Forest </t>
  </si>
  <si>
    <t>Mixed Deciduous Forest</t>
  </si>
  <si>
    <t>Evergreen Forest</t>
  </si>
  <si>
    <t>Plantations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</si>
</sst>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42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0"/>
      <name val="Times New Roman"/>
      <family val="1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name val="Times New Roman"/>
      <family val="1"/>
    </font>
    <font>
      <i/>
      <sz val="11"/>
      <name val="Times New Roman"/>
      <family val="1"/>
    </font>
    <font>
      <i/>
      <sz val="11"/>
      <color rgb="FFFF0000"/>
      <name val="Times New Roman"/>
      <family val="1"/>
    </font>
    <font>
      <sz val="11"/>
      <color rgb="FF00B0F0"/>
      <name val="Myanmar3"/>
      <family val="1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8"/>
      <color rgb="FF000000"/>
      <name val="Verdana"/>
      <family val="2"/>
    </font>
    <font>
      <sz val="8"/>
      <color rgb="FF000000"/>
      <name val="Verdana"/>
      <family val="2"/>
    </font>
    <font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rgb="FF000000"/>
      <name val="Times New Roman"/>
      <family val="1"/>
    </font>
    <font>
      <sz val="11"/>
      <color rgb="FF000000"/>
      <name val="Times New Roman"/>
      <family val="1"/>
    </font>
    <font>
      <b/>
      <sz val="11"/>
      <color rgb="FFFF0000"/>
      <name val="Times New Roman"/>
      <family val="1"/>
    </font>
    <font>
      <u/>
      <sz val="11"/>
      <color theme="10"/>
      <name val="Calibri"/>
      <family val="2"/>
      <scheme val="minor"/>
    </font>
    <font>
      <sz val="9.9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i/>
      <sz val="11"/>
      <color theme="4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0"/>
      <color rgb="FF222222"/>
      <name val="Arial"/>
      <family val="2"/>
    </font>
    <font>
      <b/>
      <sz val="11"/>
      <name val="Times New Roman"/>
      <family val="1"/>
    </font>
    <font>
      <sz val="11"/>
      <color theme="4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/>
      <name val="Calibri"/>
      <family val="2"/>
    </font>
    <font>
      <i/>
      <sz val="12"/>
      <name val="Times New Roman"/>
      <family val="1"/>
    </font>
    <font>
      <i/>
      <sz val="12"/>
      <color rgb="FF000000"/>
      <name val="Times New Roman"/>
      <family val="1"/>
    </font>
    <font>
      <b/>
      <sz val="11"/>
      <color theme="4" tint="-0.249977111117893"/>
      <name val="Calibri"/>
      <family val="2"/>
      <scheme val="minor"/>
    </font>
    <font>
      <sz val="11"/>
      <color theme="1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theme="1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BD5B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345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1" fillId="3" borderId="9" xfId="0" applyFont="1" applyFill="1" applyBorder="1" applyAlignment="1">
      <alignment horizontal="center"/>
    </xf>
    <xf numFmtId="0" fontId="1" fillId="0" borderId="9" xfId="0" applyFont="1" applyBorder="1"/>
    <xf numFmtId="2" fontId="1" fillId="0" borderId="9" xfId="0" applyNumberFormat="1" applyFont="1" applyBorder="1"/>
    <xf numFmtId="0" fontId="1" fillId="0" borderId="9" xfId="0" applyFont="1" applyBorder="1" applyAlignment="1">
      <alignment horizontal="center"/>
    </xf>
    <xf numFmtId="0" fontId="1" fillId="0" borderId="9" xfId="0" applyFont="1" applyFill="1" applyBorder="1"/>
    <xf numFmtId="0" fontId="1" fillId="0" borderId="9" xfId="0" applyFont="1" applyFill="1" applyBorder="1" applyAlignment="1">
      <alignment horizontal="center"/>
    </xf>
    <xf numFmtId="0" fontId="1" fillId="0" borderId="0" xfId="0" applyFont="1" applyBorder="1"/>
    <xf numFmtId="0" fontId="1" fillId="0" borderId="1" xfId="0" applyFont="1" applyBorder="1"/>
    <xf numFmtId="0" fontId="1" fillId="0" borderId="7" xfId="0" applyFont="1" applyBorder="1"/>
    <xf numFmtId="0" fontId="1" fillId="0" borderId="2" xfId="0" applyFont="1" applyBorder="1"/>
    <xf numFmtId="0" fontId="1" fillId="0" borderId="8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6" xfId="0" applyFont="1" applyBorder="1"/>
    <xf numFmtId="0" fontId="1" fillId="0" borderId="5" xfId="0" applyFont="1" applyBorder="1"/>
    <xf numFmtId="0" fontId="1" fillId="0" borderId="0" xfId="0" applyFont="1" applyAlignment="1">
      <alignment horizontal="left"/>
    </xf>
    <xf numFmtId="0" fontId="1" fillId="0" borderId="9" xfId="0" applyFont="1" applyBorder="1" applyAlignment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4" fillId="0" borderId="0" xfId="0" applyFont="1" applyAlignment="1"/>
    <xf numFmtId="0" fontId="4" fillId="0" borderId="0" xfId="0" applyFont="1"/>
    <xf numFmtId="0" fontId="1" fillId="0" borderId="0" xfId="0" applyFont="1" applyBorder="1" applyAlignment="1">
      <alignment horizontal="left"/>
    </xf>
    <xf numFmtId="0" fontId="5" fillId="3" borderId="9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0" borderId="0" xfId="0" applyFont="1" applyFill="1" applyBorder="1"/>
    <xf numFmtId="0" fontId="1" fillId="0" borderId="0" xfId="0" applyFont="1" applyFill="1" applyBorder="1"/>
    <xf numFmtId="0" fontId="5" fillId="0" borderId="9" xfId="0" applyFont="1" applyFill="1" applyBorder="1" applyAlignment="1">
      <alignment horizontal="center" vertical="center"/>
    </xf>
    <xf numFmtId="2" fontId="1" fillId="0" borderId="9" xfId="0" applyNumberFormat="1" applyFont="1" applyFill="1" applyBorder="1"/>
    <xf numFmtId="0" fontId="5" fillId="0" borderId="9" xfId="0" applyFont="1" applyFill="1" applyBorder="1"/>
    <xf numFmtId="2" fontId="5" fillId="0" borderId="9" xfId="0" applyNumberFormat="1" applyFont="1" applyFill="1" applyBorder="1"/>
    <xf numFmtId="2" fontId="1" fillId="0" borderId="9" xfId="0" applyNumberFormat="1" applyFont="1" applyFill="1" applyBorder="1" applyAlignment="1">
      <alignment horizontal="center"/>
    </xf>
    <xf numFmtId="0" fontId="1" fillId="0" borderId="0" xfId="0" applyFont="1" applyFill="1"/>
    <xf numFmtId="0" fontId="5" fillId="0" borderId="9" xfId="0" applyFont="1" applyFill="1" applyBorder="1" applyAlignment="1">
      <alignment horizontal="center"/>
    </xf>
    <xf numFmtId="0" fontId="5" fillId="0" borderId="0" xfId="0" applyFont="1" applyFill="1"/>
    <xf numFmtId="0" fontId="5" fillId="0" borderId="9" xfId="0" applyFont="1" applyFill="1" applyBorder="1" applyAlignment="1"/>
    <xf numFmtId="0" fontId="6" fillId="0" borderId="9" xfId="0" applyFont="1" applyFill="1" applyBorder="1"/>
    <xf numFmtId="0" fontId="4" fillId="0" borderId="0" xfId="0" applyFont="1" applyBorder="1"/>
    <xf numFmtId="0" fontId="7" fillId="0" borderId="0" xfId="0" applyFont="1" applyBorder="1"/>
    <xf numFmtId="0" fontId="5" fillId="0" borderId="0" xfId="0" applyFont="1" applyFill="1" applyBorder="1"/>
    <xf numFmtId="0" fontId="6" fillId="0" borderId="0" xfId="0" applyFont="1" applyFill="1" applyBorder="1"/>
    <xf numFmtId="0" fontId="1" fillId="4" borderId="9" xfId="0" applyFont="1" applyFill="1" applyBorder="1" applyAlignment="1">
      <alignment horizontal="center"/>
    </xf>
    <xf numFmtId="0" fontId="6" fillId="0" borderId="9" xfId="0" applyFont="1" applyBorder="1" applyAlignment="1">
      <alignment horizontal="left"/>
    </xf>
    <xf numFmtId="164" fontId="1" fillId="0" borderId="9" xfId="0" applyNumberFormat="1" applyFont="1" applyBorder="1"/>
    <xf numFmtId="1" fontId="1" fillId="0" borderId="9" xfId="0" applyNumberFormat="1" applyFont="1" applyBorder="1" applyAlignment="1">
      <alignment horizontal="center"/>
    </xf>
    <xf numFmtId="0" fontId="0" fillId="0" borderId="9" xfId="0" applyBorder="1"/>
    <xf numFmtId="0" fontId="6" fillId="0" borderId="9" xfId="0" applyFont="1" applyBorder="1"/>
    <xf numFmtId="0" fontId="1" fillId="0" borderId="9" xfId="0" applyFont="1" applyBorder="1" applyAlignment="1">
      <alignment horizontal="right"/>
    </xf>
    <xf numFmtId="0" fontId="5" fillId="0" borderId="9" xfId="0" applyFont="1" applyBorder="1" applyAlignment="1">
      <alignment horizontal="right"/>
    </xf>
    <xf numFmtId="1" fontId="1" fillId="0" borderId="9" xfId="0" applyNumberFormat="1" applyFont="1" applyBorder="1" applyAlignment="1">
      <alignment horizontal="right"/>
    </xf>
    <xf numFmtId="0" fontId="0" fillId="0" borderId="9" xfId="0" applyBorder="1" applyAlignment="1">
      <alignment horizontal="right"/>
    </xf>
    <xf numFmtId="0" fontId="5" fillId="4" borderId="9" xfId="0" applyFont="1" applyFill="1" applyBorder="1" applyAlignment="1">
      <alignment horizontal="center"/>
    </xf>
    <xf numFmtId="1" fontId="1" fillId="0" borderId="9" xfId="0" applyNumberFormat="1" applyFont="1" applyFill="1" applyBorder="1"/>
    <xf numFmtId="0" fontId="2" fillId="0" borderId="11" xfId="0" applyFont="1" applyFill="1" applyBorder="1"/>
    <xf numFmtId="0" fontId="2" fillId="0" borderId="12" xfId="0" applyFont="1" applyFill="1" applyBorder="1"/>
    <xf numFmtId="0" fontId="1" fillId="0" borderId="13" xfId="0" applyFont="1" applyFill="1" applyBorder="1"/>
    <xf numFmtId="2" fontId="1" fillId="0" borderId="13" xfId="0" applyNumberFormat="1" applyFont="1" applyFill="1" applyBorder="1"/>
    <xf numFmtId="0" fontId="1" fillId="0" borderId="14" xfId="0" applyFont="1" applyFill="1" applyBorder="1"/>
    <xf numFmtId="0" fontId="1" fillId="0" borderId="15" xfId="0" applyFont="1" applyFill="1" applyBorder="1"/>
    <xf numFmtId="0" fontId="1" fillId="0" borderId="16" xfId="0" applyFont="1" applyFill="1" applyBorder="1"/>
    <xf numFmtId="0" fontId="1" fillId="0" borderId="17" xfId="0" applyFont="1" applyFill="1" applyBorder="1"/>
    <xf numFmtId="0" fontId="1" fillId="0" borderId="18" xfId="0" applyFont="1" applyFill="1" applyBorder="1"/>
    <xf numFmtId="0" fontId="5" fillId="5" borderId="9" xfId="0" applyFont="1" applyFill="1" applyBorder="1"/>
    <xf numFmtId="0" fontId="1" fillId="5" borderId="9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left"/>
    </xf>
    <xf numFmtId="0" fontId="5" fillId="5" borderId="9" xfId="0" applyFont="1" applyFill="1" applyBorder="1" applyAlignment="1"/>
    <xf numFmtId="0" fontId="1" fillId="5" borderId="9" xfId="0" applyFont="1" applyFill="1" applyBorder="1" applyAlignment="1">
      <alignment horizontal="left"/>
    </xf>
    <xf numFmtId="0" fontId="1" fillId="5" borderId="0" xfId="0" applyFont="1" applyFill="1"/>
    <xf numFmtId="0" fontId="1" fillId="5" borderId="9" xfId="0" applyFont="1" applyFill="1" applyBorder="1"/>
    <xf numFmtId="0" fontId="1" fillId="0" borderId="0" xfId="0" applyFont="1" applyFill="1" applyAlignment="1">
      <alignment horizontal="center"/>
    </xf>
    <xf numFmtId="2" fontId="1" fillId="0" borderId="0" xfId="0" applyNumberFormat="1" applyFont="1"/>
    <xf numFmtId="0" fontId="8" fillId="0" borderId="9" xfId="0" applyFont="1" applyBorder="1"/>
    <xf numFmtId="0" fontId="8" fillId="0" borderId="9" xfId="0" applyFont="1" applyFill="1" applyBorder="1"/>
    <xf numFmtId="0" fontId="8" fillId="0" borderId="9" xfId="0" applyFont="1" applyFill="1" applyBorder="1" applyAlignment="1">
      <alignment horizontal="left"/>
    </xf>
    <xf numFmtId="0" fontId="0" fillId="0" borderId="0" xfId="0" applyBorder="1"/>
    <xf numFmtId="0" fontId="0" fillId="0" borderId="0" xfId="0" applyFill="1" applyBorder="1"/>
    <xf numFmtId="2" fontId="5" fillId="0" borderId="0" xfId="0" applyNumberFormat="1" applyFont="1" applyFill="1" applyBorder="1"/>
    <xf numFmtId="0" fontId="6" fillId="0" borderId="0" xfId="0" applyFont="1" applyBorder="1" applyAlignment="1">
      <alignment horizontal="left"/>
    </xf>
    <xf numFmtId="2" fontId="1" fillId="0" borderId="0" xfId="0" applyNumberFormat="1" applyFont="1" applyBorder="1"/>
    <xf numFmtId="2" fontId="1" fillId="0" borderId="0" xfId="0" applyNumberFormat="1" applyFont="1" applyFill="1" applyBorder="1"/>
    <xf numFmtId="1" fontId="1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2" fontId="1" fillId="0" borderId="0" xfId="0" applyNumberFormat="1" applyFont="1" applyFill="1" applyBorder="1" applyAlignment="1">
      <alignment horizontal="right"/>
    </xf>
    <xf numFmtId="2" fontId="1" fillId="0" borderId="0" xfId="0" applyNumberFormat="1" applyFont="1" applyBorder="1" applyAlignment="1">
      <alignment horizontal="right"/>
    </xf>
    <xf numFmtId="2" fontId="5" fillId="0" borderId="0" xfId="0" applyNumberFormat="1" applyFont="1" applyFill="1" applyBorder="1" applyAlignment="1">
      <alignment horizontal="right"/>
    </xf>
    <xf numFmtId="2" fontId="0" fillId="0" borderId="0" xfId="0" applyNumberFormat="1" applyBorder="1"/>
    <xf numFmtId="0" fontId="0" fillId="0" borderId="0" xfId="0" applyBorder="1" applyAlignment="1">
      <alignment horizontal="right"/>
    </xf>
    <xf numFmtId="0" fontId="5" fillId="0" borderId="0" xfId="0" applyFont="1" applyFill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5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164" fontId="0" fillId="6" borderId="0" xfId="0" applyNumberFormat="1" applyFill="1"/>
    <xf numFmtId="164" fontId="9" fillId="0" borderId="0" xfId="0" applyNumberFormat="1" applyFont="1"/>
    <xf numFmtId="164" fontId="0" fillId="0" borderId="0" xfId="0" applyNumberFormat="1"/>
    <xf numFmtId="0" fontId="0" fillId="5" borderId="0" xfId="0" applyFill="1"/>
    <xf numFmtId="0" fontId="10" fillId="0" borderId="0" xfId="0" applyFont="1" applyAlignment="1">
      <alignment horizontal="center"/>
    </xf>
    <xf numFmtId="0" fontId="11" fillId="7" borderId="9" xfId="0" applyFont="1" applyFill="1" applyBorder="1" applyAlignment="1">
      <alignment horizontal="center"/>
    </xf>
    <xf numFmtId="0" fontId="0" fillId="7" borderId="9" xfId="0" applyFill="1" applyBorder="1"/>
    <xf numFmtId="0" fontId="0" fillId="0" borderId="0" xfId="0" applyAlignment="1">
      <alignment horizontal="right"/>
    </xf>
    <xf numFmtId="0" fontId="11" fillId="8" borderId="9" xfId="0" applyFont="1" applyFill="1" applyBorder="1"/>
    <xf numFmtId="0" fontId="0" fillId="8" borderId="9" xfId="0" applyFill="1" applyBorder="1"/>
    <xf numFmtId="0" fontId="11" fillId="6" borderId="9" xfId="0" applyFont="1" applyFill="1" applyBorder="1"/>
    <xf numFmtId="0" fontId="0" fillId="6" borderId="9" xfId="0" applyFill="1" applyBorder="1"/>
    <xf numFmtId="0" fontId="10" fillId="0" borderId="0" xfId="0" applyFont="1" applyAlignment="1">
      <alignment horizontal="right"/>
    </xf>
    <xf numFmtId="0" fontId="10" fillId="0" borderId="0" xfId="0" applyFont="1"/>
    <xf numFmtId="0" fontId="0" fillId="0" borderId="0" xfId="0" applyAlignment="1">
      <alignment horizontal="center" wrapText="1"/>
    </xf>
    <xf numFmtId="0" fontId="12" fillId="0" borderId="0" xfId="0" applyFont="1"/>
    <xf numFmtId="0" fontId="13" fillId="0" borderId="0" xfId="0" applyFont="1"/>
    <xf numFmtId="0" fontId="0" fillId="0" borderId="0" xfId="0" applyFont="1"/>
    <xf numFmtId="0" fontId="5" fillId="5" borderId="19" xfId="0" applyFont="1" applyFill="1" applyBorder="1" applyAlignment="1">
      <alignment horizontal="left"/>
    </xf>
    <xf numFmtId="0" fontId="1" fillId="5" borderId="19" xfId="0" applyFont="1" applyFill="1" applyBorder="1"/>
    <xf numFmtId="0" fontId="5" fillId="5" borderId="19" xfId="0" applyFont="1" applyFill="1" applyBorder="1"/>
    <xf numFmtId="2" fontId="1" fillId="0" borderId="20" xfId="0" applyNumberFormat="1" applyFont="1" applyFill="1" applyBorder="1"/>
    <xf numFmtId="0" fontId="1" fillId="3" borderId="7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2" fillId="0" borderId="0" xfId="0" applyFont="1" applyBorder="1"/>
    <xf numFmtId="0" fontId="13" fillId="0" borderId="0" xfId="0" applyFont="1" applyBorder="1"/>
    <xf numFmtId="0" fontId="11" fillId="9" borderId="9" xfId="0" applyFont="1" applyFill="1" applyBorder="1" applyAlignment="1">
      <alignment horizontal="center"/>
    </xf>
    <xf numFmtId="0" fontId="0" fillId="9" borderId="9" xfId="0" applyFill="1" applyBorder="1"/>
    <xf numFmtId="0" fontId="16" fillId="0" borderId="0" xfId="0" applyFont="1"/>
    <xf numFmtId="0" fontId="5" fillId="0" borderId="0" xfId="0" applyFont="1" applyFill="1" applyBorder="1" applyAlignment="1">
      <alignment horizontal="center"/>
    </xf>
    <xf numFmtId="0" fontId="11" fillId="10" borderId="0" xfId="0" applyFont="1" applyFill="1" applyBorder="1" applyAlignment="1">
      <alignment horizontal="center"/>
    </xf>
    <xf numFmtId="0" fontId="0" fillId="10" borderId="0" xfId="0" applyFill="1" applyBorder="1"/>
    <xf numFmtId="0" fontId="0" fillId="0" borderId="0" xfId="0" applyAlignment="1">
      <alignment horizontal="left"/>
    </xf>
    <xf numFmtId="0" fontId="18" fillId="0" borderId="9" xfId="0" applyFont="1" applyBorder="1"/>
    <xf numFmtId="0" fontId="18" fillId="0" borderId="9" xfId="0" applyFont="1" applyFill="1" applyBorder="1"/>
    <xf numFmtId="164" fontId="0" fillId="0" borderId="9" xfId="0" applyNumberFormat="1" applyFill="1" applyBorder="1"/>
    <xf numFmtId="0" fontId="19" fillId="0" borderId="9" xfId="0" applyFont="1" applyBorder="1"/>
    <xf numFmtId="0" fontId="11" fillId="10" borderId="9" xfId="0" applyFont="1" applyFill="1" applyBorder="1"/>
    <xf numFmtId="0" fontId="11" fillId="10" borderId="9" xfId="0" applyFont="1" applyFill="1" applyBorder="1" applyAlignment="1">
      <alignment horizontal="left"/>
    </xf>
    <xf numFmtId="0" fontId="0" fillId="10" borderId="9" xfId="0" applyFill="1" applyBorder="1"/>
    <xf numFmtId="0" fontId="0" fillId="10" borderId="9" xfId="0" applyFont="1" applyFill="1" applyBorder="1"/>
    <xf numFmtId="0" fontId="6" fillId="0" borderId="9" xfId="0" applyFont="1" applyFill="1" applyBorder="1" applyAlignment="1">
      <alignment horizontal="left"/>
    </xf>
    <xf numFmtId="0" fontId="18" fillId="0" borderId="9" xfId="0" applyFont="1" applyFill="1" applyBorder="1" applyAlignment="1">
      <alignment horizontal="left"/>
    </xf>
    <xf numFmtId="0" fontId="19" fillId="0" borderId="9" xfId="0" applyFont="1" applyFill="1" applyBorder="1" applyAlignment="1">
      <alignment horizontal="left"/>
    </xf>
    <xf numFmtId="164" fontId="1" fillId="0" borderId="9" xfId="0" applyNumberFormat="1" applyFont="1" applyFill="1" applyBorder="1" applyAlignment="1">
      <alignment horizontal="center"/>
    </xf>
    <xf numFmtId="164" fontId="5" fillId="0" borderId="9" xfId="0" applyNumberFormat="1" applyFont="1" applyFill="1" applyBorder="1" applyAlignment="1">
      <alignment horizontal="center"/>
    </xf>
    <xf numFmtId="0" fontId="11" fillId="10" borderId="9" xfId="0" applyFont="1" applyFill="1" applyBorder="1" applyAlignment="1">
      <alignment horizontal="center"/>
    </xf>
    <xf numFmtId="0" fontId="15" fillId="7" borderId="9" xfId="0" applyFont="1" applyFill="1" applyBorder="1" applyAlignment="1">
      <alignment horizontal="center"/>
    </xf>
    <xf numFmtId="0" fontId="16" fillId="0" borderId="9" xfId="0" applyFont="1" applyFill="1" applyBorder="1"/>
    <xf numFmtId="0" fontId="14" fillId="0" borderId="9" xfId="0" applyFont="1" applyFill="1" applyBorder="1" applyAlignment="1">
      <alignment horizontal="left"/>
    </xf>
    <xf numFmtId="164" fontId="1" fillId="0" borderId="9" xfId="0" applyNumberFormat="1" applyFont="1" applyFill="1" applyBorder="1"/>
    <xf numFmtId="0" fontId="17" fillId="0" borderId="9" xfId="0" applyFont="1" applyFill="1" applyBorder="1"/>
    <xf numFmtId="0" fontId="15" fillId="9" borderId="9" xfId="0" applyFont="1" applyFill="1" applyBorder="1" applyAlignment="1">
      <alignment horizontal="center"/>
    </xf>
    <xf numFmtId="0" fontId="19" fillId="0" borderId="9" xfId="0" applyFont="1" applyFill="1" applyBorder="1"/>
    <xf numFmtId="0" fontId="15" fillId="10" borderId="9" xfId="0" applyFont="1" applyFill="1" applyBorder="1" applyAlignment="1">
      <alignment horizontal="center"/>
    </xf>
    <xf numFmtId="0" fontId="14" fillId="0" borderId="9" xfId="0" applyFont="1" applyFill="1" applyBorder="1"/>
    <xf numFmtId="0" fontId="21" fillId="0" borderId="0" xfId="0" applyFont="1" applyFill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0" fillId="10" borderId="0" xfId="0" applyFill="1" applyBorder="1" applyAlignment="1">
      <alignment horizontal="right"/>
    </xf>
    <xf numFmtId="0" fontId="5" fillId="0" borderId="0" xfId="0" applyFont="1" applyFill="1" applyBorder="1" applyAlignment="1"/>
    <xf numFmtId="0" fontId="1" fillId="10" borderId="0" xfId="0" applyFont="1" applyFill="1" applyBorder="1" applyAlignment="1">
      <alignment horizontal="left"/>
    </xf>
    <xf numFmtId="0" fontId="19" fillId="0" borderId="0" xfId="0" applyFont="1" applyBorder="1"/>
    <xf numFmtId="0" fontId="20" fillId="0" borderId="0" xfId="0" applyFont="1" applyBorder="1"/>
    <xf numFmtId="0" fontId="9" fillId="0" borderId="0" xfId="0" applyFont="1"/>
    <xf numFmtId="0" fontId="11" fillId="0" borderId="0" xfId="0" applyFont="1"/>
    <xf numFmtId="0" fontId="17" fillId="0" borderId="9" xfId="0" applyFont="1" applyFill="1" applyBorder="1" applyAlignment="1">
      <alignment horizontal="left"/>
    </xf>
    <xf numFmtId="164" fontId="0" fillId="0" borderId="9" xfId="0" applyNumberFormat="1" applyFill="1" applyBorder="1" applyAlignment="1">
      <alignment horizontal="right" vertical="center"/>
    </xf>
    <xf numFmtId="164" fontId="5" fillId="0" borderId="9" xfId="0" applyNumberFormat="1" applyFont="1" applyFill="1" applyBorder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0" fontId="6" fillId="0" borderId="9" xfId="0" applyFont="1" applyFill="1" applyBorder="1" applyAlignment="1"/>
    <xf numFmtId="0" fontId="19" fillId="0" borderId="9" xfId="0" applyFont="1" applyFill="1" applyBorder="1" applyAlignment="1"/>
    <xf numFmtId="0" fontId="18" fillId="0" borderId="9" xfId="0" applyFont="1" applyFill="1" applyBorder="1" applyAlignment="1"/>
    <xf numFmtId="164" fontId="0" fillId="0" borderId="0" xfId="0" applyNumberFormat="1" applyFill="1" applyBorder="1" applyAlignment="1">
      <alignment horizontal="right" vertical="center"/>
    </xf>
    <xf numFmtId="164" fontId="5" fillId="0" borderId="0" xfId="0" applyNumberFormat="1" applyFont="1" applyFill="1" applyBorder="1" applyAlignment="1">
      <alignment horizontal="right" vertical="center"/>
    </xf>
    <xf numFmtId="0" fontId="9" fillId="0" borderId="0" xfId="0" applyFont="1" applyAlignment="1">
      <alignment vertical="top"/>
    </xf>
    <xf numFmtId="0" fontId="9" fillId="0" borderId="0" xfId="0" applyFont="1" applyAlignment="1">
      <alignment horizontal="left" vertical="top"/>
    </xf>
    <xf numFmtId="0" fontId="22" fillId="0" borderId="0" xfId="1"/>
    <xf numFmtId="0" fontId="0" fillId="8" borderId="0" xfId="0" applyFill="1" applyAlignment="1">
      <alignment horizontal="right"/>
    </xf>
    <xf numFmtId="0" fontId="10" fillId="8" borderId="0" xfId="0" applyFont="1" applyFill="1" applyAlignment="1">
      <alignment horizontal="right"/>
    </xf>
    <xf numFmtId="0" fontId="0" fillId="8" borderId="0" xfId="0" applyFill="1" applyAlignment="1">
      <alignment horizontal="left"/>
    </xf>
    <xf numFmtId="164" fontId="0" fillId="8" borderId="0" xfId="0" applyNumberFormat="1" applyFill="1" applyAlignment="1">
      <alignment horizontal="right"/>
    </xf>
    <xf numFmtId="0" fontId="10" fillId="0" borderId="0" xfId="0" applyFont="1" applyFill="1" applyAlignment="1">
      <alignment horizontal="left"/>
    </xf>
    <xf numFmtId="164" fontId="11" fillId="0" borderId="0" xfId="0" applyNumberFormat="1" applyFont="1" applyFill="1" applyBorder="1" applyAlignment="1">
      <alignment horizontal="right" vertical="center"/>
    </xf>
    <xf numFmtId="0" fontId="1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left"/>
    </xf>
    <xf numFmtId="0" fontId="0" fillId="0" borderId="0" xfId="0" applyFill="1"/>
    <xf numFmtId="0" fontId="11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0" fontId="5" fillId="11" borderId="0" xfId="0" applyFont="1" applyFill="1" applyBorder="1" applyAlignment="1">
      <alignment horizontal="left"/>
    </xf>
    <xf numFmtId="0" fontId="18" fillId="11" borderId="0" xfId="0" applyFont="1" applyFill="1" applyBorder="1"/>
    <xf numFmtId="0" fontId="0" fillId="11" borderId="0" xfId="0" applyFill="1" applyBorder="1"/>
    <xf numFmtId="164" fontId="0" fillId="11" borderId="0" xfId="0" applyNumberFormat="1" applyFill="1" applyBorder="1"/>
    <xf numFmtId="0" fontId="6" fillId="11" borderId="0" xfId="0" applyFont="1" applyFill="1" applyBorder="1" applyAlignment="1">
      <alignment horizontal="left"/>
    </xf>
    <xf numFmtId="0" fontId="1" fillId="11" borderId="0" xfId="0" applyFont="1" applyFill="1" applyBorder="1" applyAlignment="1">
      <alignment horizontal="left"/>
    </xf>
    <xf numFmtId="0" fontId="18" fillId="11" borderId="0" xfId="0" applyFont="1" applyFill="1" applyBorder="1" applyAlignment="1">
      <alignment horizontal="left"/>
    </xf>
    <xf numFmtId="0" fontId="5" fillId="11" borderId="0" xfId="0" applyFont="1" applyFill="1" applyBorder="1"/>
    <xf numFmtId="0" fontId="19" fillId="11" borderId="0" xfId="0" applyFont="1" applyFill="1"/>
    <xf numFmtId="0" fontId="0" fillId="11" borderId="0" xfId="0" applyFill="1" applyBorder="1" applyAlignment="1">
      <alignment horizontal="center"/>
    </xf>
    <xf numFmtId="0" fontId="1" fillId="11" borderId="0" xfId="0" applyFont="1" applyFill="1" applyBorder="1"/>
    <xf numFmtId="0" fontId="19" fillId="11" borderId="0" xfId="0" applyFont="1" applyFill="1" applyAlignment="1">
      <alignment vertical="center"/>
    </xf>
    <xf numFmtId="0" fontId="11" fillId="0" borderId="0" xfId="0" applyFont="1" applyBorder="1" applyAlignment="1">
      <alignment horizontal="center" wrapText="1"/>
    </xf>
    <xf numFmtId="0" fontId="11" fillId="0" borderId="0" xfId="0" applyFont="1" applyBorder="1" applyAlignment="1">
      <alignment vertical="center"/>
    </xf>
    <xf numFmtId="0" fontId="0" fillId="0" borderId="0" xfId="0" applyFill="1" applyBorder="1" applyAlignment="1"/>
    <xf numFmtId="2" fontId="0" fillId="0" borderId="0" xfId="0" applyNumberFormat="1"/>
    <xf numFmtId="0" fontId="0" fillId="0" borderId="0" xfId="0" applyFont="1" applyFill="1" applyBorder="1"/>
    <xf numFmtId="0" fontId="4" fillId="0" borderId="0" xfId="0" applyFont="1" applyFill="1" applyBorder="1" applyAlignment="1">
      <alignment horizontal="left"/>
    </xf>
    <xf numFmtId="0" fontId="0" fillId="0" borderId="0" xfId="0" applyFill="1" applyAlignment="1"/>
    <xf numFmtId="0" fontId="5" fillId="3" borderId="0" xfId="0" applyFont="1" applyFill="1" applyBorder="1" applyAlignment="1">
      <alignment horizontal="center"/>
    </xf>
    <xf numFmtId="164" fontId="5" fillId="0" borderId="0" xfId="0" applyNumberFormat="1" applyFont="1" applyFill="1" applyBorder="1"/>
    <xf numFmtId="164" fontId="1" fillId="0" borderId="0" xfId="0" applyNumberFormat="1" applyFont="1"/>
    <xf numFmtId="0" fontId="1" fillId="2" borderId="0" xfId="0" applyFont="1" applyFill="1" applyBorder="1" applyAlignment="1">
      <alignment horizontal="center"/>
    </xf>
    <xf numFmtId="164" fontId="1" fillId="0" borderId="0" xfId="0" applyNumberFormat="1" applyFont="1" applyBorder="1"/>
    <xf numFmtId="164" fontId="1" fillId="0" borderId="0" xfId="0" applyNumberFormat="1" applyFont="1" applyFill="1" applyBorder="1"/>
    <xf numFmtId="0" fontId="5" fillId="12" borderId="0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1" fontId="5" fillId="0" borderId="9" xfId="0" applyNumberFormat="1" applyFont="1" applyFill="1" applyBorder="1"/>
    <xf numFmtId="0" fontId="6" fillId="5" borderId="9" xfId="0" applyFont="1" applyFill="1" applyBorder="1"/>
    <xf numFmtId="2" fontId="5" fillId="5" borderId="9" xfId="0" applyNumberFormat="1" applyFont="1" applyFill="1" applyBorder="1"/>
    <xf numFmtId="1" fontId="5" fillId="5" borderId="9" xfId="0" applyNumberFormat="1" applyFont="1" applyFill="1" applyBorder="1"/>
    <xf numFmtId="164" fontId="5" fillId="0" borderId="9" xfId="0" applyNumberFormat="1" applyFont="1" applyFill="1" applyBorder="1"/>
    <xf numFmtId="164" fontId="0" fillId="0" borderId="9" xfId="0" applyNumberFormat="1" applyBorder="1"/>
    <xf numFmtId="164" fontId="0" fillId="0" borderId="0" xfId="0" applyNumberFormat="1" applyBorder="1"/>
    <xf numFmtId="164" fontId="1" fillId="0" borderId="20" xfId="0" applyNumberFormat="1" applyFont="1" applyFill="1" applyBorder="1"/>
    <xf numFmtId="0" fontId="0" fillId="13" borderId="0" xfId="0" applyFill="1"/>
    <xf numFmtId="0" fontId="24" fillId="0" borderId="0" xfId="0" applyFont="1"/>
    <xf numFmtId="0" fontId="0" fillId="0" borderId="0" xfId="0" applyAlignment="1">
      <alignment horizontal="center" vertical="top" wrapText="1"/>
    </xf>
    <xf numFmtId="0" fontId="0" fillId="14" borderId="0" xfId="0" applyFill="1"/>
    <xf numFmtId="164" fontId="0" fillId="14" borderId="0" xfId="0" applyNumberFormat="1" applyFill="1"/>
    <xf numFmtId="0" fontId="0" fillId="0" borderId="0" xfId="0" applyAlignment="1">
      <alignment vertical="top" wrapText="1"/>
    </xf>
    <xf numFmtId="0" fontId="0" fillId="14" borderId="0" xfId="0" applyFill="1" applyAlignment="1">
      <alignment vertical="top"/>
    </xf>
    <xf numFmtId="0" fontId="0" fillId="0" borderId="0" xfId="0" applyAlignment="1">
      <alignment horizontal="center"/>
    </xf>
    <xf numFmtId="0" fontId="0" fillId="15" borderId="0" xfId="0" applyFill="1"/>
    <xf numFmtId="164" fontId="0" fillId="15" borderId="0" xfId="0" applyNumberFormat="1" applyFill="1"/>
    <xf numFmtId="164" fontId="0" fillId="10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0" fontId="0" fillId="0" borderId="0" xfId="0" applyFill="1" applyAlignment="1">
      <alignment vertical="top"/>
    </xf>
    <xf numFmtId="165" fontId="0" fillId="15" borderId="0" xfId="0" applyNumberFormat="1" applyFill="1"/>
    <xf numFmtId="165" fontId="0" fillId="10" borderId="0" xfId="0" applyNumberFormat="1" applyFill="1"/>
    <xf numFmtId="0" fontId="0" fillId="0" borderId="0" xfId="0" applyFill="1" applyAlignment="1">
      <alignment horizontal="right"/>
    </xf>
    <xf numFmtId="0" fontId="0" fillId="18" borderId="0" xfId="0" applyFill="1"/>
    <xf numFmtId="164" fontId="11" fillId="0" borderId="0" xfId="0" applyNumberFormat="1" applyFont="1" applyFill="1" applyAlignment="1">
      <alignment horizontal="right"/>
    </xf>
    <xf numFmtId="164" fontId="9" fillId="0" borderId="0" xfId="0" applyNumberFormat="1" applyFont="1" applyFill="1"/>
    <xf numFmtId="164" fontId="0" fillId="0" borderId="0" xfId="0" applyNumberFormat="1" applyFont="1" applyFill="1"/>
    <xf numFmtId="164" fontId="25" fillId="0" borderId="0" xfId="0" applyNumberFormat="1" applyFont="1" applyFill="1" applyAlignment="1">
      <alignment horizontal="right"/>
    </xf>
    <xf numFmtId="165" fontId="27" fillId="0" borderId="0" xfId="0" applyNumberFormat="1" applyFont="1" applyFill="1"/>
    <xf numFmtId="0" fontId="25" fillId="0" borderId="0" xfId="0" applyFont="1"/>
    <xf numFmtId="0" fontId="28" fillId="0" borderId="0" xfId="0" applyFont="1"/>
    <xf numFmtId="0" fontId="25" fillId="0" borderId="0" xfId="0" applyFont="1" applyAlignment="1">
      <alignment wrapText="1"/>
    </xf>
    <xf numFmtId="0" fontId="10" fillId="0" borderId="0" xfId="0" applyFont="1" applyFill="1" applyAlignment="1">
      <alignment horizontal="center" vertical="top"/>
    </xf>
    <xf numFmtId="0" fontId="10" fillId="0" borderId="0" xfId="0" applyFont="1" applyFill="1" applyAlignment="1">
      <alignment horizontal="center" vertical="top" wrapText="1"/>
    </xf>
    <xf numFmtId="0" fontId="10" fillId="0" borderId="0" xfId="0" applyFont="1" applyFill="1"/>
    <xf numFmtId="0" fontId="10" fillId="17" borderId="0" xfId="0" applyFont="1" applyFill="1" applyAlignment="1">
      <alignment horizontal="center" vertical="top" wrapText="1"/>
    </xf>
    <xf numFmtId="0" fontId="11" fillId="0" borderId="0" xfId="0" applyFont="1" applyFill="1" applyAlignment="1">
      <alignment horizontal="right"/>
    </xf>
    <xf numFmtId="0" fontId="11" fillId="0" borderId="0" xfId="0" applyFont="1" applyFill="1"/>
    <xf numFmtId="0" fontId="9" fillId="0" borderId="0" xfId="0" applyFont="1" applyFill="1"/>
    <xf numFmtId="0" fontId="9" fillId="0" borderId="0" xfId="0" applyFont="1" applyFill="1" applyAlignment="1">
      <alignment horizontal="center"/>
    </xf>
    <xf numFmtId="0" fontId="9" fillId="0" borderId="0" xfId="0" applyFont="1" applyFill="1" applyAlignment="1">
      <alignment horizontal="right"/>
    </xf>
    <xf numFmtId="165" fontId="0" fillId="0" borderId="0" xfId="0" applyNumberFormat="1"/>
    <xf numFmtId="0" fontId="25" fillId="0" borderId="0" xfId="0" applyFont="1" applyFill="1" applyAlignment="1">
      <alignment horizontal="right"/>
    </xf>
    <xf numFmtId="164" fontId="0" fillId="0" borderId="0" xfId="0" applyNumberFormat="1" applyAlignment="1">
      <alignment horizontal="right" vertical="top" wrapText="1"/>
    </xf>
    <xf numFmtId="164" fontId="0" fillId="0" borderId="0" xfId="0" applyNumberFormat="1" applyAlignment="1">
      <alignment horizontal="right"/>
    </xf>
    <xf numFmtId="1" fontId="0" fillId="16" borderId="0" xfId="0" applyNumberFormat="1" applyFill="1"/>
    <xf numFmtId="1" fontId="0" fillId="0" borderId="0" xfId="0" applyNumberFormat="1" applyFill="1"/>
    <xf numFmtId="0" fontId="0" fillId="0" borderId="0" xfId="0" applyAlignment="1">
      <alignment vertical="top"/>
    </xf>
    <xf numFmtId="2" fontId="0" fillId="15" borderId="0" xfId="0" applyNumberFormat="1" applyFill="1"/>
    <xf numFmtId="2" fontId="9" fillId="0" borderId="0" xfId="0" applyNumberFormat="1" applyFont="1" applyFill="1"/>
    <xf numFmtId="2" fontId="27" fillId="0" borderId="0" xfId="0" applyNumberFormat="1" applyFont="1" applyFill="1"/>
    <xf numFmtId="2" fontId="11" fillId="0" borderId="0" xfId="0" applyNumberFormat="1" applyFont="1" applyFill="1"/>
    <xf numFmtId="2" fontId="25" fillId="0" borderId="0" xfId="0" applyNumberFormat="1" applyFont="1" applyFill="1"/>
    <xf numFmtId="165" fontId="11" fillId="0" borderId="0" xfId="0" applyNumberFormat="1" applyFont="1" applyFill="1"/>
    <xf numFmtId="0" fontId="0" fillId="0" borderId="0" xfId="0" applyAlignment="1">
      <alignment vertical="center" wrapText="1"/>
    </xf>
    <xf numFmtId="164" fontId="26" fillId="0" borderId="0" xfId="0" applyNumberFormat="1" applyFont="1" applyFill="1" applyAlignment="1">
      <alignment horizontal="right"/>
    </xf>
    <xf numFmtId="165" fontId="0" fillId="10" borderId="0" xfId="0" applyNumberFormat="1" applyFill="1" applyAlignment="1">
      <alignment horizontal="right"/>
    </xf>
    <xf numFmtId="165" fontId="25" fillId="0" borderId="0" xfId="0" applyNumberFormat="1" applyFont="1" applyFill="1" applyAlignment="1">
      <alignment horizontal="right"/>
    </xf>
    <xf numFmtId="165" fontId="0" fillId="0" borderId="0" xfId="0" applyNumberFormat="1" applyFill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right" vertical="top"/>
    </xf>
    <xf numFmtId="165" fontId="11" fillId="0" borderId="0" xfId="0" applyNumberFormat="1" applyFont="1" applyFill="1" applyAlignment="1">
      <alignment horizontal="right"/>
    </xf>
    <xf numFmtId="164" fontId="11" fillId="0" borderId="0" xfId="0" applyNumberFormat="1" applyFont="1" applyFill="1"/>
    <xf numFmtId="0" fontId="0" fillId="0" borderId="0" xfId="0" applyAlignment="1">
      <alignment horizontal="center" vertical="center" wrapText="1"/>
    </xf>
    <xf numFmtId="164" fontId="27" fillId="0" borderId="0" xfId="0" applyNumberFormat="1" applyFont="1" applyFill="1" applyAlignment="1">
      <alignment horizontal="right"/>
    </xf>
    <xf numFmtId="164" fontId="10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164" fontId="25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9" borderId="0" xfId="0" applyFill="1"/>
    <xf numFmtId="0" fontId="0" fillId="16" borderId="0" xfId="0" applyFill="1" applyBorder="1"/>
    <xf numFmtId="0" fontId="10" fillId="0" borderId="0" xfId="0" applyFont="1" applyBorder="1"/>
    <xf numFmtId="0" fontId="12" fillId="0" borderId="0" xfId="0" applyFont="1" applyFill="1" applyBorder="1"/>
    <xf numFmtId="0" fontId="13" fillId="0" borderId="0" xfId="0" applyFont="1" applyFill="1" applyBorder="1"/>
    <xf numFmtId="0" fontId="5" fillId="0" borderId="0" xfId="0" applyFont="1"/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5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right"/>
    </xf>
    <xf numFmtId="164" fontId="1" fillId="0" borderId="0" xfId="0" applyNumberFormat="1" applyFont="1" applyFill="1" applyBorder="1" applyAlignment="1">
      <alignment horizontal="right"/>
    </xf>
    <xf numFmtId="0" fontId="13" fillId="0" borderId="0" xfId="0" applyFont="1" applyFill="1" applyBorder="1" applyAlignment="1">
      <alignment horizontal="right"/>
    </xf>
    <xf numFmtId="0" fontId="30" fillId="0" borderId="0" xfId="0" applyFont="1" applyFill="1" applyBorder="1" applyAlignment="1">
      <alignment horizontal="right"/>
    </xf>
    <xf numFmtId="0" fontId="10" fillId="6" borderId="0" xfId="0" applyFont="1" applyFill="1"/>
    <xf numFmtId="0" fontId="32" fillId="0" borderId="0" xfId="0" applyFont="1"/>
    <xf numFmtId="0" fontId="33" fillId="0" borderId="0" xfId="0" applyFont="1"/>
    <xf numFmtId="0" fontId="31" fillId="0" borderId="0" xfId="0" applyFont="1" applyAlignment="1">
      <alignment horizontal="right"/>
    </xf>
    <xf numFmtId="2" fontId="31" fillId="0" borderId="0" xfId="0" applyNumberFormat="1" applyFont="1" applyAlignment="1">
      <alignment horizontal="right" wrapText="1"/>
    </xf>
    <xf numFmtId="0" fontId="10" fillId="0" borderId="0" xfId="0" applyFont="1" applyAlignment="1">
      <alignment horizontal="center" wrapText="1"/>
    </xf>
    <xf numFmtId="0" fontId="35" fillId="0" borderId="9" xfId="0" applyFont="1" applyFill="1" applyBorder="1"/>
    <xf numFmtId="0" fontId="35" fillId="0" borderId="9" xfId="0" applyFont="1" applyFill="1" applyBorder="1" applyAlignment="1">
      <alignment horizontal="left"/>
    </xf>
    <xf numFmtId="0" fontId="36" fillId="0" borderId="0" xfId="0" applyFont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6" fillId="0" borderId="7" xfId="0" applyFont="1" applyFill="1" applyBorder="1"/>
    <xf numFmtId="2" fontId="6" fillId="0" borderId="0" xfId="0" applyNumberFormat="1" applyFont="1" applyFill="1" applyBorder="1"/>
    <xf numFmtId="2" fontId="11" fillId="0" borderId="0" xfId="0" applyNumberFormat="1" applyFont="1"/>
    <xf numFmtId="2" fontId="37" fillId="0" borderId="0" xfId="0" applyNumberFormat="1" applyFont="1"/>
    <xf numFmtId="0" fontId="1" fillId="0" borderId="0" xfId="0" applyFont="1" applyAlignment="1">
      <alignment horizontal="center"/>
    </xf>
    <xf numFmtId="0" fontId="38" fillId="0" borderId="0" xfId="0" applyFont="1" applyFill="1" applyBorder="1"/>
    <xf numFmtId="0" fontId="30" fillId="0" borderId="0" xfId="0" applyFont="1" applyFill="1" applyBorder="1"/>
    <xf numFmtId="0" fontId="5" fillId="0" borderId="9" xfId="0" applyFont="1" applyFill="1" applyBorder="1" applyAlignment="1">
      <alignment horizontal="left"/>
    </xf>
    <xf numFmtId="0" fontId="29" fillId="0" borderId="0" xfId="0" applyFont="1" applyFill="1" applyBorder="1"/>
    <xf numFmtId="10" fontId="1" fillId="0" borderId="0" xfId="0" applyNumberFormat="1" applyFont="1"/>
    <xf numFmtId="9" fontId="1" fillId="0" borderId="0" xfId="0" applyNumberFormat="1" applyFont="1"/>
    <xf numFmtId="10" fontId="0" fillId="0" borderId="0" xfId="0" applyNumberFormat="1"/>
    <xf numFmtId="0" fontId="9" fillId="6" borderId="0" xfId="0" applyFont="1" applyFill="1"/>
    <xf numFmtId="164" fontId="11" fillId="0" borderId="0" xfId="0" applyNumberFormat="1" applyFont="1"/>
    <xf numFmtId="164" fontId="10" fillId="0" borderId="0" xfId="0" applyNumberFormat="1" applyFont="1"/>
    <xf numFmtId="0" fontId="41" fillId="0" borderId="0" xfId="0" applyFont="1" applyAlignment="1">
      <alignment horizontal="center" vertical="center" wrapText="1"/>
    </xf>
    <xf numFmtId="0" fontId="41" fillId="0" borderId="0" xfId="0" applyFont="1" applyAlignment="1">
      <alignment horizontal="right" vertical="center" wrapText="1"/>
    </xf>
    <xf numFmtId="0" fontId="41" fillId="0" borderId="21" xfId="0" applyFont="1" applyBorder="1" applyAlignment="1">
      <alignment horizontal="right" vertical="center" wrapText="1"/>
    </xf>
    <xf numFmtId="0" fontId="1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0" xfId="0" applyFont="1" applyBorder="1" applyAlignment="1">
      <alignment horizontal="left"/>
    </xf>
    <xf numFmtId="0" fontId="4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4" fillId="0" borderId="0" xfId="0" applyFont="1" applyBorder="1" applyAlignment="1">
      <alignment horizontal="left"/>
    </xf>
    <xf numFmtId="0" fontId="1" fillId="0" borderId="0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0064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25</a:t>
            </a:r>
            <a:r>
              <a:rPr lang="en-US" baseline="0"/>
              <a:t> x25 Carbon (tC/ha)</a:t>
            </a:r>
            <a:endParaRPr lang="en-US"/>
          </a:p>
        </c:rich>
      </c:tx>
      <c:layout>
        <c:manualLayout>
          <c:xMode val="edge"/>
          <c:yMode val="edge"/>
          <c:x val="0.49326159170157269"/>
          <c:y val="2.500000410105054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5817176456147861E-2"/>
          <c:y val="0.10761107178621089"/>
          <c:w val="0.74628209412399882"/>
          <c:h val="0.799060363953949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'Study site Biomass and Carbon'!$H$34</c:f>
              <c:strCache>
                <c:ptCount val="1"/>
                <c:pt idx="0">
                  <c:v>Carbon (tC/ha)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'Study site Biomass and Carbon'!$I$35:$I$37</c:f>
                <c:numCache>
                  <c:formatCode>General</c:formatCode>
                  <c:ptCount val="3"/>
                  <c:pt idx="0">
                    <c:v>0.55958424805127882</c:v>
                  </c:pt>
                  <c:pt idx="1">
                    <c:v>0.54934473299805942</c:v>
                  </c:pt>
                  <c:pt idx="2">
                    <c:v>0.96724906698059732</c:v>
                  </c:pt>
                </c:numCache>
              </c:numRef>
            </c:plus>
            <c:minus>
              <c:numRef>
                <c:f>'Study site Biomass and Carbon'!$I$35:$I$37</c:f>
                <c:numCache>
                  <c:formatCode>General</c:formatCode>
                  <c:ptCount val="3"/>
                  <c:pt idx="0">
                    <c:v>0.55958424805127882</c:v>
                  </c:pt>
                  <c:pt idx="1">
                    <c:v>0.54934473299805942</c:v>
                  </c:pt>
                  <c:pt idx="2">
                    <c:v>0.96724906698059732</c:v>
                  </c:pt>
                </c:numCache>
              </c:numRef>
            </c:minus>
          </c:errBars>
          <c:cat>
            <c:strRef>
              <c:f>'Study site Biomass and Carbon'!$G$35:$G$37</c:f>
              <c:strCache>
                <c:ptCount val="3"/>
                <c:pt idx="0">
                  <c:v>Kabaung Reserved Forest  (R1) </c:v>
                </c:pt>
                <c:pt idx="1">
                  <c:v>Yo Ma Protected Public Forest</c:v>
                </c:pt>
                <c:pt idx="2">
                  <c:v>Kyaukmasin Resreve (R2)</c:v>
                </c:pt>
              </c:strCache>
            </c:strRef>
          </c:cat>
          <c:val>
            <c:numRef>
              <c:f>'Study site Biomass and Carbon'!$H$35:$H$37</c:f>
              <c:numCache>
                <c:formatCode>0.0</c:formatCode>
                <c:ptCount val="3"/>
                <c:pt idx="0">
                  <c:v>1.2976582595128181</c:v>
                </c:pt>
                <c:pt idx="1">
                  <c:v>2.5608326501373595</c:v>
                </c:pt>
                <c:pt idx="2">
                  <c:v>1.1974304651062035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4-4847-9FD5-810268A4A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376496"/>
        <c:axId val="521375712"/>
      </c:barChart>
      <c:catAx>
        <c:axId val="52137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AU" sz="1800"/>
                  <a:t>Study Areas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521375712"/>
        <c:crosses val="autoZero"/>
        <c:auto val="1"/>
        <c:lblAlgn val="ctr"/>
        <c:lblOffset val="100"/>
        <c:noMultiLvlLbl val="0"/>
      </c:catAx>
      <c:valAx>
        <c:axId val="521375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800"/>
                </a:pPr>
                <a:r>
                  <a:rPr lang="en-AU" sz="1800"/>
                  <a:t>Carbon (t/ha)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5213764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7057162994492203"/>
          <c:y val="0.20962830644354574"/>
          <c:w val="0.30449362784572764"/>
          <c:h val="7.7237508979148217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4680382633659"/>
          <c:y val="8.0918765872369638E-2"/>
          <c:w val="0.82668441430661987"/>
          <c:h val="0.754628281978916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'Study site Biomass and Carbon'!$N$34</c:f>
              <c:strCache>
                <c:ptCount val="1"/>
                <c:pt idx="0">
                  <c:v>Annual Biomass  Increment (t/ha)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'Study site Biomass and Carbon'!$O$35:$O$37</c:f>
                <c:numCache>
                  <c:formatCode>General</c:formatCode>
                  <c:ptCount val="3"/>
                  <c:pt idx="0">
                    <c:v>7.2507831290048674</c:v>
                  </c:pt>
                  <c:pt idx="1">
                    <c:v>7.1181051573578387</c:v>
                  </c:pt>
                  <c:pt idx="2">
                    <c:v>12.533078335982633</c:v>
                  </c:pt>
                </c:numCache>
              </c:numRef>
            </c:plus>
            <c:minus>
              <c:numRef>
                <c:f>'Study site Biomass and Carbon'!$O$35:$O$37</c:f>
                <c:numCache>
                  <c:formatCode>General</c:formatCode>
                  <c:ptCount val="3"/>
                  <c:pt idx="0">
                    <c:v>7.2507831290048674</c:v>
                  </c:pt>
                  <c:pt idx="1">
                    <c:v>7.1181051573578387</c:v>
                  </c:pt>
                  <c:pt idx="2">
                    <c:v>12.533078335982633</c:v>
                  </c:pt>
                </c:numCache>
              </c:numRef>
            </c:minus>
          </c:errBars>
          <c:cat>
            <c:strRef>
              <c:f>'Study site Biomass and Carbon'!$M$35:$M$37</c:f>
              <c:strCache>
                <c:ptCount val="3"/>
                <c:pt idx="0">
                  <c:v>Kabaung Reserved Forest</c:v>
                </c:pt>
                <c:pt idx="1">
                  <c:v>Yoma Protected Public Forest</c:v>
                </c:pt>
                <c:pt idx="2">
                  <c:v>Kyaukmasin Resreved Forest</c:v>
                </c:pt>
              </c:strCache>
            </c:strRef>
          </c:cat>
          <c:val>
            <c:numRef>
              <c:f>'Study site Biomass and Carbon'!$N$35:$N$37</c:f>
              <c:numCache>
                <c:formatCode>0.000</c:formatCode>
                <c:ptCount val="3"/>
                <c:pt idx="0">
                  <c:v>16.814337873261834</c:v>
                </c:pt>
                <c:pt idx="1">
                  <c:v>33.181852849652167</c:v>
                </c:pt>
                <c:pt idx="2">
                  <c:v>15.515641558503784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5-412D-99B4-94E80227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377672"/>
        <c:axId val="521378064"/>
      </c:barChart>
      <c:catAx>
        <c:axId val="521377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Study Area</a:t>
                </a:r>
              </a:p>
            </c:rich>
          </c:tx>
          <c:layout>
            <c:manualLayout>
              <c:xMode val="edge"/>
              <c:yMode val="edge"/>
              <c:x val="0.45704816667905235"/>
              <c:y val="0.9438235496496201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crossAx val="521378064"/>
        <c:crosses val="autoZero"/>
        <c:auto val="1"/>
        <c:lblAlgn val="ctr"/>
        <c:lblOffset val="100"/>
        <c:noMultiLvlLbl val="0"/>
      </c:catAx>
      <c:valAx>
        <c:axId val="521378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Biomass (t/ha)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5213776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3027420856277074"/>
          <c:y val="0.28506232354977895"/>
          <c:w val="0.32933400421581099"/>
          <c:h val="4.6816604235150217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 50 x 50 Carbon (tC/ha)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'Study site Biomass and Carbon'!$B$34</c:f>
              <c:strCache>
                <c:ptCount val="1"/>
                <c:pt idx="0">
                  <c:v>Carbon (tC/ha)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'Study site Biomass and Carbon'!$C$35:$C$37</c:f>
                <c:numCache>
                  <c:formatCode>General</c:formatCode>
                  <c:ptCount val="3"/>
                  <c:pt idx="0">
                    <c:v>5.8829142700726171</c:v>
                  </c:pt>
                  <c:pt idx="1">
                    <c:v>2.1337200907394158</c:v>
                  </c:pt>
                  <c:pt idx="2">
                    <c:v>5.3132638227951707</c:v>
                  </c:pt>
                </c:numCache>
              </c:numRef>
            </c:plus>
            <c:minus>
              <c:numRef>
                <c:f>'Study site Biomass and Carbon'!$C$35:$C$37</c:f>
                <c:numCache>
                  <c:formatCode>General</c:formatCode>
                  <c:ptCount val="3"/>
                  <c:pt idx="0">
                    <c:v>5.8829142700726171</c:v>
                  </c:pt>
                  <c:pt idx="1">
                    <c:v>2.1337200907394158</c:v>
                  </c:pt>
                  <c:pt idx="2">
                    <c:v>5.3132638227951707</c:v>
                  </c:pt>
                </c:numCache>
              </c:numRef>
            </c:minus>
          </c:errBars>
          <c:cat>
            <c:strRef>
              <c:f>'Study site Biomass and Carbon'!$A$35:$A$37</c:f>
              <c:strCache>
                <c:ptCount val="3"/>
                <c:pt idx="0">
                  <c:v>Kabaung Reserved Forest  (R1) </c:v>
                </c:pt>
                <c:pt idx="1">
                  <c:v>Yo Ma Protected Public Forest</c:v>
                </c:pt>
                <c:pt idx="2">
                  <c:v>Kyaukmasin Resreve (R2)</c:v>
                </c:pt>
              </c:strCache>
            </c:strRef>
          </c:cat>
          <c:val>
            <c:numRef>
              <c:f>'Study site Biomass and Carbon'!$B$35:$B$37</c:f>
              <c:numCache>
                <c:formatCode>0.0</c:formatCode>
                <c:ptCount val="3"/>
                <c:pt idx="0">
                  <c:v>63.151267999999995</c:v>
                </c:pt>
                <c:pt idx="1">
                  <c:v>16.472324999999998</c:v>
                </c:pt>
                <c:pt idx="2">
                  <c:v>46.111981999999998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6-4281-9E6B-1203842E5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7691776"/>
        <c:axId val="497692560"/>
      </c:barChart>
      <c:catAx>
        <c:axId val="4976917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97692560"/>
        <c:crosses val="autoZero"/>
        <c:auto val="1"/>
        <c:lblAlgn val="ctr"/>
        <c:lblOffset val="100"/>
        <c:noMultiLvlLbl val="0"/>
      </c:catAx>
      <c:valAx>
        <c:axId val="49769256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497691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ln>
      <a:solidFill>
        <a:srgbClr val="00B050"/>
      </a:solidFill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413206591688265"/>
          <c:y val="0.10728674955295614"/>
          <c:w val="0.78197219060195333"/>
          <c:h val="0.71772855945487968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'Study site Biomass and Carbon'!$I$77</c:f>
              <c:strCache>
                <c:ptCount val="1"/>
                <c:pt idx="0">
                  <c:v>Carbon Storage (tC/ha)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'Study site Biomass and Carbon'!$J$78:$J$80</c:f>
                <c:numCache>
                  <c:formatCode>General</c:formatCode>
                  <c:ptCount val="3"/>
                  <c:pt idx="0">
                    <c:v>5.6580762884722757</c:v>
                  </c:pt>
                  <c:pt idx="1">
                    <c:v>1.5959212032098014</c:v>
                  </c:pt>
                  <c:pt idx="2">
                    <c:v>4.6503286104825223</c:v>
                  </c:pt>
                </c:numCache>
              </c:numRef>
            </c:plus>
            <c:minus>
              <c:numRef>
                <c:f>'Study site Biomass and Carbon'!$J$78:$J$80</c:f>
                <c:numCache>
                  <c:formatCode>General</c:formatCode>
                  <c:ptCount val="3"/>
                  <c:pt idx="0">
                    <c:v>5.6580762884722757</c:v>
                  </c:pt>
                  <c:pt idx="1">
                    <c:v>1.5959212032098014</c:v>
                  </c:pt>
                  <c:pt idx="2">
                    <c:v>4.6503286104825223</c:v>
                  </c:pt>
                </c:numCache>
              </c:numRef>
            </c:minus>
          </c:errBars>
          <c:cat>
            <c:strRef>
              <c:f>'Study site Biomass and Carbon'!$H$78:$H$80</c:f>
              <c:strCache>
                <c:ptCount val="3"/>
                <c:pt idx="0">
                  <c:v>Kabaung Reserved Forest  (R1) </c:v>
                </c:pt>
                <c:pt idx="1">
                  <c:v>Yoma Protected Public Forest</c:v>
                </c:pt>
                <c:pt idx="2">
                  <c:v>Kyaukmasin Resreve Forest</c:v>
                </c:pt>
              </c:strCache>
            </c:strRef>
          </c:cat>
          <c:val>
            <c:numRef>
              <c:f>'Study site Biomass and Carbon'!$I$78:$I$80</c:f>
              <c:numCache>
                <c:formatCode>0.000</c:formatCode>
                <c:ptCount val="3"/>
                <c:pt idx="0">
                  <c:v>64.448926259512803</c:v>
                </c:pt>
                <c:pt idx="1">
                  <c:v>19.033157650137358</c:v>
                </c:pt>
                <c:pt idx="2">
                  <c:v>47.309412465106206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96-4FF2-9AC6-27D72C68E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7693344"/>
        <c:axId val="497694520"/>
      </c:barChart>
      <c:catAx>
        <c:axId val="49769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AU" sz="1800"/>
                  <a:t>Study Area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97694520"/>
        <c:crosses val="autoZero"/>
        <c:auto val="1"/>
        <c:lblAlgn val="ctr"/>
        <c:lblOffset val="100"/>
        <c:noMultiLvlLbl val="0"/>
      </c:catAx>
      <c:valAx>
        <c:axId val="497694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800"/>
                </a:pPr>
                <a:r>
                  <a:rPr lang="en-AU" sz="1800"/>
                  <a:t>Carbon (tC/ha)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4976933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333275727543661"/>
          <c:y val="0.30090356013190661"/>
          <c:w val="0.32933400421581099"/>
          <c:h val="4.6816604235150217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site</a:t>
            </a:r>
            <a:r>
              <a:rPr lang="en-US" baseline="0"/>
              <a:t> </a:t>
            </a:r>
            <a:r>
              <a:rPr lang="en-US"/>
              <a:t>Annual Biomass Increment (t/ha )</a:t>
            </a:r>
          </a:p>
        </c:rich>
      </c:tx>
      <c:layout>
        <c:manualLayout>
          <c:xMode val="edge"/>
          <c:yMode val="edge"/>
          <c:x val="0.26011538347313773"/>
          <c:y val="3.003040080358570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289976075953237"/>
          <c:y val="0.10893866422037052"/>
          <c:w val="0.74449350022978111"/>
          <c:h val="0.7738919042886628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'Study site Biomass and Carbon'!$T$34</c:f>
              <c:strCache>
                <c:ptCount val="1"/>
                <c:pt idx="0">
                  <c:v>Annual Biomass Increment  (t/ha)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'Study site Biomass and Carbon'!$U$35:$U$37</c:f>
                <c:numCache>
                  <c:formatCode>General</c:formatCode>
                  <c:ptCount val="3"/>
                  <c:pt idx="0">
                    <c:v>73.314222546374722</c:v>
                  </c:pt>
                  <c:pt idx="1">
                    <c:v>20.679064101165363</c:v>
                  </c:pt>
                  <c:pt idx="2">
                    <c:v>60.256385612422413</c:v>
                  </c:pt>
                </c:numCache>
              </c:numRef>
            </c:plus>
            <c:minus>
              <c:numRef>
                <c:f>'Study site Biomass and Carbon'!$U$35:$U$37</c:f>
                <c:numCache>
                  <c:formatCode>General</c:formatCode>
                  <c:ptCount val="3"/>
                  <c:pt idx="0">
                    <c:v>73.314222546374722</c:v>
                  </c:pt>
                  <c:pt idx="1">
                    <c:v>20.679064101165363</c:v>
                  </c:pt>
                  <c:pt idx="2">
                    <c:v>60.256385612422413</c:v>
                  </c:pt>
                </c:numCache>
              </c:numRef>
            </c:minus>
          </c:errBars>
          <c:cat>
            <c:strRef>
              <c:f>'Study site Biomass and Carbon'!$S$35:$S$37</c:f>
              <c:strCache>
                <c:ptCount val="3"/>
                <c:pt idx="0">
                  <c:v>Kabaung Reserved Forest</c:v>
                </c:pt>
                <c:pt idx="1">
                  <c:v>Yoma Protected Public Forest</c:v>
                </c:pt>
                <c:pt idx="2">
                  <c:v>Kyaukmasin Resreve</c:v>
                </c:pt>
              </c:strCache>
            </c:strRef>
          </c:cat>
          <c:val>
            <c:numRef>
              <c:f>'Study site Biomass and Carbon'!$T$35:$T$37</c:f>
              <c:numCache>
                <c:formatCode>0.00</c:formatCode>
                <c:ptCount val="3"/>
                <c:pt idx="0">
                  <c:v>835.09353387326178</c:v>
                </c:pt>
                <c:pt idx="1">
                  <c:v>246.62112784965214</c:v>
                </c:pt>
                <c:pt idx="2">
                  <c:v>613.00919555850373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5-412D-99B4-94E80227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7425984"/>
        <c:axId val="490039728"/>
      </c:barChart>
      <c:catAx>
        <c:axId val="37742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 sz="1200"/>
                  <a:t>Stuy Areas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490039728"/>
        <c:crosses val="autoZero"/>
        <c:auto val="1"/>
        <c:lblAlgn val="ctr"/>
        <c:lblOffset val="100"/>
        <c:noMultiLvlLbl val="0"/>
      </c:catAx>
      <c:valAx>
        <c:axId val="490039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 sz="1400"/>
                  <a:t>Biomass (t/ha)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774259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3027420856277074"/>
          <c:y val="0.28506232354977895"/>
          <c:w val="0.32933400421581099"/>
          <c:h val="4.6816604235150217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'BA &amp; % Teak and Height'!$AC$20:$AC$22</c:f>
                <c:numCache>
                  <c:formatCode>General</c:formatCode>
                  <c:ptCount val="3"/>
                  <c:pt idx="0">
                    <c:v>1.5109069578544965</c:v>
                  </c:pt>
                  <c:pt idx="1">
                    <c:v>0.82106217915106261</c:v>
                  </c:pt>
                  <c:pt idx="2">
                    <c:v>1.5764416396240166</c:v>
                  </c:pt>
                </c:numCache>
              </c:numRef>
            </c:plus>
            <c:minus>
              <c:numRef>
                <c:f>'BA &amp; % Teak and Height'!$AC$20:$AC$22</c:f>
                <c:numCache>
                  <c:formatCode>General</c:formatCode>
                  <c:ptCount val="3"/>
                  <c:pt idx="0">
                    <c:v>1.5109069578544965</c:v>
                  </c:pt>
                  <c:pt idx="1">
                    <c:v>0.82106217915106261</c:v>
                  </c:pt>
                  <c:pt idx="2">
                    <c:v>1.5764416396240166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'BA &amp; % Teak and Height'!$AA$20:$AA$22</c:f>
              <c:strCache>
                <c:ptCount val="3"/>
                <c:pt idx="0">
                  <c:v>Kabaung Reserved Forest </c:v>
                </c:pt>
                <c:pt idx="1">
                  <c:v>Yoma Protected Public Froest</c:v>
                </c:pt>
                <c:pt idx="2">
                  <c:v>Kyaukmasin Reserved Forest</c:v>
                </c:pt>
              </c:strCache>
            </c:strRef>
          </c:cat>
          <c:val>
            <c:numRef>
              <c:f>'BA &amp; % Teak and Height'!$AB$20:$AB$22</c:f>
              <c:numCache>
                <c:formatCode>0.00</c:formatCode>
                <c:ptCount val="3"/>
                <c:pt idx="0">
                  <c:v>19.113622492036246</c:v>
                </c:pt>
                <c:pt idx="1">
                  <c:v>6.8427791424057771</c:v>
                </c:pt>
                <c:pt idx="2">
                  <c:v>15.182397436470499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C9-49DE-89FD-F58253544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039336"/>
        <c:axId val="490038552"/>
      </c:barChart>
      <c:catAx>
        <c:axId val="490039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Study</a:t>
                </a:r>
                <a:r>
                  <a:rPr lang="en-AU" baseline="0"/>
                  <a:t> Areas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38552"/>
        <c:crosses val="autoZero"/>
        <c:auto val="1"/>
        <c:lblAlgn val="ctr"/>
        <c:lblOffset val="100"/>
        <c:noMultiLvlLbl val="0"/>
      </c:catAx>
      <c:valAx>
        <c:axId val="49003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>
                    <a:effectLst/>
                  </a:rPr>
                  <a:t>Basal Area (m</a:t>
                </a:r>
                <a:r>
                  <a:rPr lang="en-AU" sz="1200" baseline="30000">
                    <a:effectLst/>
                  </a:rPr>
                  <a:t>2</a:t>
                </a:r>
                <a:r>
                  <a:rPr lang="en-AU" sz="1200">
                    <a:effectLst/>
                  </a:rPr>
                  <a:t>/ha)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39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12146864572587E-2"/>
          <c:y val="3.7348657335807368E-2"/>
          <c:w val="0.87575232446947326"/>
          <c:h val="0.638973160759833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'Diameter Distribution (site le)'!$H$1</c:f>
              <c:strCache>
                <c:ptCount val="1"/>
                <c:pt idx="0">
                  <c:v>Kabaung Reserved Forest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'Diameter Distribution (site le)'!$G$2:$G$16</c:f>
              <c:strCache>
                <c:ptCount val="15"/>
                <c:pt idx="0">
                  <c:v>5.1-10</c:v>
                </c:pt>
                <c:pt idx="1">
                  <c:v>10.1-15</c:v>
                </c:pt>
                <c:pt idx="2">
                  <c:v>15.1-20</c:v>
                </c:pt>
                <c:pt idx="3">
                  <c:v>20.1-30</c:v>
                </c:pt>
                <c:pt idx="4">
                  <c:v>30.1-40</c:v>
                </c:pt>
                <c:pt idx="5">
                  <c:v>40.1-50</c:v>
                </c:pt>
                <c:pt idx="6">
                  <c:v>50.1-60</c:v>
                </c:pt>
                <c:pt idx="7">
                  <c:v>60.1-70</c:v>
                </c:pt>
                <c:pt idx="8">
                  <c:v>70.1 -80</c:v>
                </c:pt>
                <c:pt idx="9">
                  <c:v>80.1-90</c:v>
                </c:pt>
                <c:pt idx="10">
                  <c:v>90.1 - 100</c:v>
                </c:pt>
                <c:pt idx="11">
                  <c:v>100.1-110</c:v>
                </c:pt>
                <c:pt idx="12">
                  <c:v>110.1-120</c:v>
                </c:pt>
                <c:pt idx="13">
                  <c:v>120.1-130</c:v>
                </c:pt>
                <c:pt idx="14">
                  <c:v>130.1-140</c:v>
                </c:pt>
              </c:strCache>
            </c:strRef>
          </c:cat>
          <c:val>
            <c:numRef>
              <c:f>'Diameter Distribution (site le)'!$H$2:$H$16</c:f>
              <c:numCache>
                <c:formatCode>General</c:formatCode>
                <c:ptCount val="15"/>
                <c:pt idx="0">
                  <c:v>7</c:v>
                </c:pt>
                <c:pt idx="1">
                  <c:v>19</c:v>
                </c:pt>
                <c:pt idx="2">
                  <c:v>9</c:v>
                </c:pt>
                <c:pt idx="3">
                  <c:v>73</c:v>
                </c:pt>
                <c:pt idx="4">
                  <c:v>61</c:v>
                </c:pt>
                <c:pt idx="5">
                  <c:v>61</c:v>
                </c:pt>
                <c:pt idx="6">
                  <c:v>50</c:v>
                </c:pt>
                <c:pt idx="7">
                  <c:v>21</c:v>
                </c:pt>
                <c:pt idx="8">
                  <c:v>10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E-4323-BB7D-3A0A4FB42F61}"/>
            </c:ext>
          </c:extLst>
        </c:ser>
        <c:ser>
          <c:idx val="1"/>
          <c:order val="1"/>
          <c:tx>
            <c:strRef>
              <c:f>'Diameter Distribution (site le)'!$I$1</c:f>
              <c:strCache>
                <c:ptCount val="1"/>
                <c:pt idx="0">
                  <c:v>Yoma Protected Public Froest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'Diameter Distribution (site le)'!$G$2:$G$16</c:f>
              <c:strCache>
                <c:ptCount val="15"/>
                <c:pt idx="0">
                  <c:v>5.1-10</c:v>
                </c:pt>
                <c:pt idx="1">
                  <c:v>10.1-15</c:v>
                </c:pt>
                <c:pt idx="2">
                  <c:v>15.1-20</c:v>
                </c:pt>
                <c:pt idx="3">
                  <c:v>20.1-30</c:v>
                </c:pt>
                <c:pt idx="4">
                  <c:v>30.1-40</c:v>
                </c:pt>
                <c:pt idx="5">
                  <c:v>40.1-50</c:v>
                </c:pt>
                <c:pt idx="6">
                  <c:v>50.1-60</c:v>
                </c:pt>
                <c:pt idx="7">
                  <c:v>60.1-70</c:v>
                </c:pt>
                <c:pt idx="8">
                  <c:v>70.1 -80</c:v>
                </c:pt>
                <c:pt idx="9">
                  <c:v>80.1-90</c:v>
                </c:pt>
                <c:pt idx="10">
                  <c:v>90.1 - 100</c:v>
                </c:pt>
                <c:pt idx="11">
                  <c:v>100.1-110</c:v>
                </c:pt>
                <c:pt idx="12">
                  <c:v>110.1-120</c:v>
                </c:pt>
                <c:pt idx="13">
                  <c:v>120.1-130</c:v>
                </c:pt>
                <c:pt idx="14">
                  <c:v>130.1-140</c:v>
                </c:pt>
              </c:strCache>
            </c:strRef>
          </c:cat>
          <c:val>
            <c:numRef>
              <c:f>'Diameter Distribution (site le)'!$I$2:$I$16</c:f>
              <c:numCache>
                <c:formatCode>General</c:formatCode>
                <c:ptCount val="15"/>
                <c:pt idx="0">
                  <c:v>1</c:v>
                </c:pt>
                <c:pt idx="1">
                  <c:v>13</c:v>
                </c:pt>
                <c:pt idx="2">
                  <c:v>9</c:v>
                </c:pt>
                <c:pt idx="3">
                  <c:v>58</c:v>
                </c:pt>
                <c:pt idx="4">
                  <c:v>34</c:v>
                </c:pt>
                <c:pt idx="5">
                  <c:v>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3E-4323-BB7D-3A0A4FB42F61}"/>
            </c:ext>
          </c:extLst>
        </c:ser>
        <c:ser>
          <c:idx val="2"/>
          <c:order val="2"/>
          <c:tx>
            <c:strRef>
              <c:f>'Diameter Distribution (site le)'!$J$1</c:f>
              <c:strCache>
                <c:ptCount val="1"/>
                <c:pt idx="0">
                  <c:v>Kyaukmasin Reserved Forest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'Diameter Distribution (site le)'!$G$2:$G$16</c:f>
              <c:strCache>
                <c:ptCount val="15"/>
                <c:pt idx="0">
                  <c:v>5.1-10</c:v>
                </c:pt>
                <c:pt idx="1">
                  <c:v>10.1-15</c:v>
                </c:pt>
                <c:pt idx="2">
                  <c:v>15.1-20</c:v>
                </c:pt>
                <c:pt idx="3">
                  <c:v>20.1-30</c:v>
                </c:pt>
                <c:pt idx="4">
                  <c:v>30.1-40</c:v>
                </c:pt>
                <c:pt idx="5">
                  <c:v>40.1-50</c:v>
                </c:pt>
                <c:pt idx="6">
                  <c:v>50.1-60</c:v>
                </c:pt>
                <c:pt idx="7">
                  <c:v>60.1-70</c:v>
                </c:pt>
                <c:pt idx="8">
                  <c:v>70.1 -80</c:v>
                </c:pt>
                <c:pt idx="9">
                  <c:v>80.1-90</c:v>
                </c:pt>
                <c:pt idx="10">
                  <c:v>90.1 - 100</c:v>
                </c:pt>
                <c:pt idx="11">
                  <c:v>100.1-110</c:v>
                </c:pt>
                <c:pt idx="12">
                  <c:v>110.1-120</c:v>
                </c:pt>
                <c:pt idx="13">
                  <c:v>120.1-130</c:v>
                </c:pt>
                <c:pt idx="14">
                  <c:v>130.1-140</c:v>
                </c:pt>
              </c:strCache>
            </c:strRef>
          </c:cat>
          <c:val>
            <c:numRef>
              <c:f>'Diameter Distribution (site le)'!$J$2:$J$16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5</c:v>
                </c:pt>
                <c:pt idx="3">
                  <c:v>55</c:v>
                </c:pt>
                <c:pt idx="4">
                  <c:v>31</c:v>
                </c:pt>
                <c:pt idx="5">
                  <c:v>32</c:v>
                </c:pt>
                <c:pt idx="6">
                  <c:v>18</c:v>
                </c:pt>
                <c:pt idx="7">
                  <c:v>6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3E-4323-BB7D-3A0A4FB42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428672"/>
        <c:axId val="498429456"/>
      </c:barChart>
      <c:catAx>
        <c:axId val="498428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diameter class (cm)</a:t>
                </a:r>
              </a:p>
            </c:rich>
          </c:tx>
          <c:layout>
            <c:manualLayout>
              <c:xMode val="edge"/>
              <c:yMode val="edge"/>
              <c:x val="0.419499764828694"/>
              <c:y val="0.791659454648547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98429456"/>
        <c:crosses val="autoZero"/>
        <c:auto val="1"/>
        <c:lblAlgn val="ctr"/>
        <c:lblOffset val="100"/>
        <c:noMultiLvlLbl val="0"/>
      </c:catAx>
      <c:valAx>
        <c:axId val="4984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number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of  tree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4.6703292998931216E-3"/>
              <c:y val="0.275578380446975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9842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9295713115767903E-2"/>
          <c:y val="0.84932283099652239"/>
          <c:w val="0.94452200405423825"/>
          <c:h val="0.101629594260345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Diamete</a:t>
            </a:r>
            <a:r>
              <a:rPr lang="en-AU" baseline="0"/>
              <a:t>r Distribution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'Diameter Distribution'!$B$2</c:f>
              <c:strCache>
                <c:ptCount val="1"/>
                <c:pt idx="0">
                  <c:v>Reserved Forests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'Diameter Distribution'!$A$3:$A$17</c:f>
              <c:strCache>
                <c:ptCount val="15"/>
                <c:pt idx="0">
                  <c:v>5.1-10</c:v>
                </c:pt>
                <c:pt idx="1">
                  <c:v>10.1-15</c:v>
                </c:pt>
                <c:pt idx="2">
                  <c:v>15.1-20</c:v>
                </c:pt>
                <c:pt idx="3">
                  <c:v>20.1-30</c:v>
                </c:pt>
                <c:pt idx="4">
                  <c:v>30.1-40</c:v>
                </c:pt>
                <c:pt idx="5">
                  <c:v>40.1-50</c:v>
                </c:pt>
                <c:pt idx="6">
                  <c:v>50.1-60</c:v>
                </c:pt>
                <c:pt idx="7">
                  <c:v>60.1-70</c:v>
                </c:pt>
                <c:pt idx="8">
                  <c:v>70.1 -80</c:v>
                </c:pt>
                <c:pt idx="9">
                  <c:v>80.1-90</c:v>
                </c:pt>
                <c:pt idx="10">
                  <c:v>90.1 - 100</c:v>
                </c:pt>
                <c:pt idx="11">
                  <c:v>100.1-110</c:v>
                </c:pt>
                <c:pt idx="12">
                  <c:v>110.1-120</c:v>
                </c:pt>
                <c:pt idx="13">
                  <c:v>120.1-130</c:v>
                </c:pt>
                <c:pt idx="14">
                  <c:v>130.1-140</c:v>
                </c:pt>
              </c:strCache>
            </c:strRef>
          </c:cat>
          <c:val>
            <c:numRef>
              <c:f>'Diameter Distribution'!$B$3:$B$17</c:f>
              <c:numCache>
                <c:formatCode>General</c:formatCode>
                <c:ptCount val="15"/>
                <c:pt idx="0">
                  <c:v>7</c:v>
                </c:pt>
                <c:pt idx="1">
                  <c:v>27</c:v>
                </c:pt>
                <c:pt idx="2">
                  <c:v>14</c:v>
                </c:pt>
                <c:pt idx="3">
                  <c:v>128</c:v>
                </c:pt>
                <c:pt idx="4">
                  <c:v>92</c:v>
                </c:pt>
                <c:pt idx="5">
                  <c:v>93</c:v>
                </c:pt>
                <c:pt idx="6">
                  <c:v>68</c:v>
                </c:pt>
                <c:pt idx="7">
                  <c:v>27</c:v>
                </c:pt>
                <c:pt idx="8">
                  <c:v>12</c:v>
                </c:pt>
                <c:pt idx="9">
                  <c:v>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8E-4DDC-B11D-6258693817AB}"/>
            </c:ext>
          </c:extLst>
        </c:ser>
        <c:ser>
          <c:idx val="1"/>
          <c:order val="1"/>
          <c:tx>
            <c:strRef>
              <c:f>'Diameter Distribution'!$C$2</c:f>
              <c:strCache>
                <c:ptCount val="1"/>
                <c:pt idx="0">
                  <c:v>Unclassed Froest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'Diameter Distribution'!$A$3:$A$17</c:f>
              <c:strCache>
                <c:ptCount val="15"/>
                <c:pt idx="0">
                  <c:v>5.1-10</c:v>
                </c:pt>
                <c:pt idx="1">
                  <c:v>10.1-15</c:v>
                </c:pt>
                <c:pt idx="2">
                  <c:v>15.1-20</c:v>
                </c:pt>
                <c:pt idx="3">
                  <c:v>20.1-30</c:v>
                </c:pt>
                <c:pt idx="4">
                  <c:v>30.1-40</c:v>
                </c:pt>
                <c:pt idx="5">
                  <c:v>40.1-50</c:v>
                </c:pt>
                <c:pt idx="6">
                  <c:v>50.1-60</c:v>
                </c:pt>
                <c:pt idx="7">
                  <c:v>60.1-70</c:v>
                </c:pt>
                <c:pt idx="8">
                  <c:v>70.1 -80</c:v>
                </c:pt>
                <c:pt idx="9">
                  <c:v>80.1-90</c:v>
                </c:pt>
                <c:pt idx="10">
                  <c:v>90.1 - 100</c:v>
                </c:pt>
                <c:pt idx="11">
                  <c:v>100.1-110</c:v>
                </c:pt>
                <c:pt idx="12">
                  <c:v>110.1-120</c:v>
                </c:pt>
                <c:pt idx="13">
                  <c:v>120.1-130</c:v>
                </c:pt>
                <c:pt idx="14">
                  <c:v>130.1-140</c:v>
                </c:pt>
              </c:strCache>
            </c:strRef>
          </c:cat>
          <c:val>
            <c:numRef>
              <c:f>'Diameter Distribution'!$C$3:$C$17</c:f>
              <c:numCache>
                <c:formatCode>General</c:formatCode>
                <c:ptCount val="15"/>
                <c:pt idx="0">
                  <c:v>1</c:v>
                </c:pt>
                <c:pt idx="1">
                  <c:v>13</c:v>
                </c:pt>
                <c:pt idx="2">
                  <c:v>9</c:v>
                </c:pt>
                <c:pt idx="3">
                  <c:v>58</c:v>
                </c:pt>
                <c:pt idx="4">
                  <c:v>34</c:v>
                </c:pt>
                <c:pt idx="5">
                  <c:v>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8E-4DDC-B11D-62586938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429848"/>
        <c:axId val="498431416"/>
      </c:barChart>
      <c:catAx>
        <c:axId val="498429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Diameter</a:t>
                </a:r>
                <a:r>
                  <a:rPr lang="en-US" baseline="0"/>
                  <a:t> Class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31416"/>
        <c:crosses val="autoZero"/>
        <c:auto val="1"/>
        <c:lblAlgn val="ctr"/>
        <c:lblOffset val="100"/>
        <c:noMultiLvlLbl val="0"/>
      </c:catAx>
      <c:valAx>
        <c:axId val="49843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 tree/ha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2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'50x50 Plots (tree no.) DBH'!$AD$1</c:f>
              <c:strCache>
                <c:ptCount val="1"/>
                <c:pt idx="0">
                  <c:v>av d, cm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'50x50 Plots (tree no.) DBH'!$AH$2:$AH$4</c:f>
                <c:numCache>
                  <c:formatCode>General</c:formatCode>
                  <c:ptCount val="3"/>
                  <c:pt idx="0">
                    <c:v>0.80157637209209198</c:v>
                  </c:pt>
                  <c:pt idx="1">
                    <c:v>1.1808753815143522</c:v>
                  </c:pt>
                  <c:pt idx="2">
                    <c:v>0.87408466409152896</c:v>
                  </c:pt>
                </c:numCache>
              </c:numRef>
            </c:plus>
            <c:minus>
              <c:numRef>
                <c:f>'50x50 Plots (tree no.) DBH'!$AH$2:$AH$4</c:f>
                <c:numCache>
                  <c:formatCode>General</c:formatCode>
                  <c:ptCount val="3"/>
                  <c:pt idx="0">
                    <c:v>0.80157637209209198</c:v>
                  </c:pt>
                  <c:pt idx="1">
                    <c:v>1.1808753815143522</c:v>
                  </c:pt>
                  <c:pt idx="2">
                    <c:v>0.87408466409152896</c:v>
                  </c:pt>
                </c:numCache>
              </c:numRef>
            </c:minus>
          </c:errBars>
          <c:cat>
            <c:strRef>
              <c:f>'50x50 Plots (tree no.) DBH'!$AC$2:$AC$4</c:f>
              <c:strCache>
                <c:ptCount val="3"/>
                <c:pt idx="0">
                  <c:v>Kabaung Reserved Forest </c:v>
                </c:pt>
                <c:pt idx="1">
                  <c:v>Yoma Public Protected Froest</c:v>
                </c:pt>
                <c:pt idx="2">
                  <c:v>Kyaukmasin Reserved Forest</c:v>
                </c:pt>
              </c:strCache>
            </c:strRef>
          </c:cat>
          <c:val>
            <c:numRef>
              <c:f>'50x50 Plots (tree no.) DBH'!$AD$2:$AD$4</c:f>
              <c:numCache>
                <c:formatCode>0.0</c:formatCode>
                <c:ptCount val="3"/>
                <c:pt idx="0">
                  <c:v>43.27081722112429</c:v>
                </c:pt>
                <c:pt idx="1">
                  <c:v>29.12</c:v>
                </c:pt>
                <c:pt idx="2">
                  <c:v>38.182000000000002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F-4019-8A8E-714E54C05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8426320"/>
        <c:axId val="498428280"/>
      </c:barChart>
      <c:catAx>
        <c:axId val="498426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98428280"/>
        <c:crosses val="autoZero"/>
        <c:auto val="1"/>
        <c:lblAlgn val="ctr"/>
        <c:lblOffset val="100"/>
        <c:noMultiLvlLbl val="0"/>
      </c:catAx>
      <c:valAx>
        <c:axId val="49842828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498426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'50x50 Plots (tree no.) DBH'!$AE$1</c:f>
              <c:strCache>
                <c:ptCount val="1"/>
                <c:pt idx="0">
                  <c:v>av H, m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'50x50 Plots (tree no.) DBH'!$AI$2:$AI$4</c:f>
                <c:numCache>
                  <c:formatCode>General</c:formatCode>
                  <c:ptCount val="3"/>
                  <c:pt idx="0">
                    <c:v>0.86390109652547253</c:v>
                  </c:pt>
                  <c:pt idx="1">
                    <c:v>0.37498888872427527</c:v>
                  </c:pt>
                  <c:pt idx="2">
                    <c:v>1.9535265547209733</c:v>
                  </c:pt>
                </c:numCache>
              </c:numRef>
            </c:plus>
            <c:minus>
              <c:numRef>
                <c:f>'50x50 Plots (tree no.) DBH'!$AI$2:$AI$4</c:f>
                <c:numCache>
                  <c:formatCode>General</c:formatCode>
                  <c:ptCount val="3"/>
                  <c:pt idx="0">
                    <c:v>0.86390109652547253</c:v>
                  </c:pt>
                  <c:pt idx="1">
                    <c:v>0.37498888872427527</c:v>
                  </c:pt>
                  <c:pt idx="2">
                    <c:v>1.9535265547209733</c:v>
                  </c:pt>
                </c:numCache>
              </c:numRef>
            </c:minus>
          </c:errBars>
          <c:cat>
            <c:strRef>
              <c:f>'50x50 Plots (tree no.) DBH'!$AC$2:$AC$4</c:f>
              <c:strCache>
                <c:ptCount val="3"/>
                <c:pt idx="0">
                  <c:v>Kabaung Reserved Forest </c:v>
                </c:pt>
                <c:pt idx="1">
                  <c:v>Yoma Public Protected Froest</c:v>
                </c:pt>
                <c:pt idx="2">
                  <c:v>Kyaukmasin Reserved Forest</c:v>
                </c:pt>
              </c:strCache>
            </c:strRef>
          </c:cat>
          <c:val>
            <c:numRef>
              <c:f>'50x50 Plots (tree no.) DBH'!$AE$2:$AE$4</c:f>
              <c:numCache>
                <c:formatCode>0.0</c:formatCode>
                <c:ptCount val="3"/>
                <c:pt idx="0">
                  <c:v>23.108364129095833</c:v>
                </c:pt>
                <c:pt idx="1">
                  <c:v>17.839999999999996</c:v>
                </c:pt>
                <c:pt idx="2">
                  <c:v>17.734000000000002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F6-4CAA-AF8F-F1BA3BEF9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8429064"/>
        <c:axId val="498432984"/>
      </c:barChart>
      <c:catAx>
        <c:axId val="498429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98432984"/>
        <c:crosses val="autoZero"/>
        <c:auto val="1"/>
        <c:lblAlgn val="ctr"/>
        <c:lblOffset val="100"/>
        <c:noMultiLvlLbl val="0"/>
      </c:catAx>
      <c:valAx>
        <c:axId val="49843298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498429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'50x50 Plots (tree no.) DBH'!$AF$1</c:f>
              <c:strCache>
                <c:ptCount val="1"/>
                <c:pt idx="0">
                  <c:v>Trees/ha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'50x50 Plots (tree no.) DBH'!$AJ$2:$AJ$4</c:f>
                <c:numCache>
                  <c:formatCode>General</c:formatCode>
                  <c:ptCount val="3"/>
                  <c:pt idx="0">
                    <c:v>68.77984200815429</c:v>
                  </c:pt>
                  <c:pt idx="1">
                    <c:v>101.32456102380442</c:v>
                  </c:pt>
                  <c:pt idx="2">
                    <c:v>99.116093546910932</c:v>
                  </c:pt>
                </c:numCache>
              </c:numRef>
            </c:plus>
            <c:minus>
              <c:numRef>
                <c:f>'50x50 Plots (tree no.) DBH'!$AJ$2:$AJ$4</c:f>
                <c:numCache>
                  <c:formatCode>General</c:formatCode>
                  <c:ptCount val="3"/>
                  <c:pt idx="0">
                    <c:v>68.77984200815429</c:v>
                  </c:pt>
                  <c:pt idx="1">
                    <c:v>101.32456102380442</c:v>
                  </c:pt>
                  <c:pt idx="2">
                    <c:v>99.116093546910932</c:v>
                  </c:pt>
                </c:numCache>
              </c:numRef>
            </c:minus>
          </c:errBars>
          <c:cat>
            <c:strRef>
              <c:f>'50x50 Plots (tree no.) DBH'!$AC$2:$AC$4</c:f>
              <c:strCache>
                <c:ptCount val="3"/>
                <c:pt idx="0">
                  <c:v>Kabaung Reserved Forest </c:v>
                </c:pt>
                <c:pt idx="1">
                  <c:v>Yoma Public Protected Froest</c:v>
                </c:pt>
                <c:pt idx="2">
                  <c:v>Kyaukmasin Reserved Forest</c:v>
                </c:pt>
              </c:strCache>
            </c:strRef>
          </c:cat>
          <c:val>
            <c:numRef>
              <c:f>'50x50 Plots (tree no.) DBH'!$AF$2:$AF$4</c:f>
              <c:numCache>
                <c:formatCode>0.0</c:formatCode>
                <c:ptCount val="3"/>
                <c:pt idx="0">
                  <c:v>1132</c:v>
                </c:pt>
                <c:pt idx="1">
                  <c:v>980</c:v>
                </c:pt>
                <c:pt idx="2">
                  <c:v>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E-4CC9-9A94-F4E8E53B5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8430632"/>
        <c:axId val="498425536"/>
      </c:barChart>
      <c:catAx>
        <c:axId val="498430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98425536"/>
        <c:crosses val="autoZero"/>
        <c:auto val="1"/>
        <c:lblAlgn val="ctr"/>
        <c:lblOffset val="100"/>
        <c:noMultiLvlLbl val="0"/>
      </c:catAx>
      <c:valAx>
        <c:axId val="49842553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498430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'50x50 Plots (tree no.) DBH'!$AG$1</c:f>
              <c:strCache>
                <c:ptCount val="1"/>
                <c:pt idx="0">
                  <c:v>BA, m2/ha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'50x50 Plots (tree no.) DBH'!$AK$2:$AK$4</c:f>
                <c:numCache>
                  <c:formatCode>General</c:formatCode>
                  <c:ptCount val="3"/>
                  <c:pt idx="0">
                    <c:v>32.635111289666092</c:v>
                  </c:pt>
                  <c:pt idx="1">
                    <c:v>30.90631165312357</c:v>
                  </c:pt>
                  <c:pt idx="2">
                    <c:v>40.527611131178084</c:v>
                  </c:pt>
                </c:numCache>
              </c:numRef>
            </c:plus>
            <c:minus>
              <c:numRef>
                <c:f>'50x50 Plots (tree no.) DBH'!$AK$2:$AK$4</c:f>
                <c:numCache>
                  <c:formatCode>General</c:formatCode>
                  <c:ptCount val="3"/>
                  <c:pt idx="0">
                    <c:v>32.635111289666092</c:v>
                  </c:pt>
                  <c:pt idx="1">
                    <c:v>30.90631165312357</c:v>
                  </c:pt>
                  <c:pt idx="2">
                    <c:v>40.527611131178084</c:v>
                  </c:pt>
                </c:numCache>
              </c:numRef>
            </c:minus>
          </c:errBars>
          <c:cat>
            <c:strRef>
              <c:f>'50x50 Plots (tree no.) DBH'!$AC$2:$AC$4</c:f>
              <c:strCache>
                <c:ptCount val="3"/>
                <c:pt idx="0">
                  <c:v>Kabaung Reserved Forest </c:v>
                </c:pt>
                <c:pt idx="1">
                  <c:v>Yoma Public Protected Froest</c:v>
                </c:pt>
                <c:pt idx="2">
                  <c:v>Kyaukmasin Reserved Forest</c:v>
                </c:pt>
              </c:strCache>
            </c:strRef>
          </c:cat>
          <c:val>
            <c:numRef>
              <c:f>'50x50 Plots (tree no.) DBH'!$AG$2:$AG$4</c:f>
              <c:numCache>
                <c:formatCode>0.0</c:formatCode>
                <c:ptCount val="3"/>
                <c:pt idx="0">
                  <c:v>490.95999999999992</c:v>
                </c:pt>
                <c:pt idx="1">
                  <c:v>285.07</c:v>
                </c:pt>
                <c:pt idx="2">
                  <c:v>446.52799999999996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3-47C8-B60A-40FC383BC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266776"/>
        <c:axId val="536267168"/>
      </c:barChart>
      <c:catAx>
        <c:axId val="5362667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36267168"/>
        <c:crosses val="autoZero"/>
        <c:auto val="1"/>
        <c:lblAlgn val="ctr"/>
        <c:lblOffset val="100"/>
        <c:noMultiLvlLbl val="0"/>
      </c:catAx>
      <c:valAx>
        <c:axId val="53626716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536266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rgbClr val="00642D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642D"/>
              </a:solidFill>
              <a:ln>
                <a:solidFill>
                  <a:srgbClr val="00642D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52-462D-BEAC-86C9F6FB1F61}"/>
              </c:ext>
            </c:extLst>
          </c:dPt>
          <c:dPt>
            <c:idx val="1"/>
            <c:invertIfNegative val="0"/>
            <c:bubble3D val="0"/>
            <c:spPr>
              <a:solidFill>
                <a:srgbClr val="00642D"/>
              </a:solidFill>
              <a:ln>
                <a:solidFill>
                  <a:srgbClr val="00642D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52-462D-BEAC-86C9F6FB1F61}"/>
              </c:ext>
            </c:extLst>
          </c:dPt>
          <c:dPt>
            <c:idx val="2"/>
            <c:invertIfNegative val="0"/>
            <c:bubble3D val="0"/>
            <c:spPr>
              <a:solidFill>
                <a:srgbClr val="00642D"/>
              </a:solidFill>
              <a:ln>
                <a:solidFill>
                  <a:srgbClr val="00642D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52-462D-BEAC-86C9F6FB1F61}"/>
              </c:ext>
            </c:extLst>
          </c:dPt>
          <c:errBars>
            <c:errBarType val="both"/>
            <c:errValType val="cust"/>
            <c:noEndCap val="0"/>
            <c:plus>
              <c:numRef>
                <c:f>'50x50 Plots (tree no.) DBH'!$V$34:$V$36</c:f>
                <c:numCache>
                  <c:formatCode>General</c:formatCode>
                  <c:ptCount val="3"/>
                  <c:pt idx="0">
                    <c:v>6.8779842008154333</c:v>
                  </c:pt>
                  <c:pt idx="1">
                    <c:v>10.132456102380443</c:v>
                  </c:pt>
                  <c:pt idx="2">
                    <c:v>9.9116093546911017</c:v>
                  </c:pt>
                </c:numCache>
              </c:numRef>
            </c:plus>
            <c:minus>
              <c:numRef>
                <c:f>'50x50 Plots (tree no.) DBH'!$V$34:$V$36</c:f>
                <c:numCache>
                  <c:formatCode>General</c:formatCode>
                  <c:ptCount val="3"/>
                  <c:pt idx="0">
                    <c:v>6.8779842008154333</c:v>
                  </c:pt>
                  <c:pt idx="1">
                    <c:v>10.132456102380443</c:v>
                  </c:pt>
                  <c:pt idx="2">
                    <c:v>9.9116093546911017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'50x50 Plots (tree no.) DBH'!$T$34:$T$36</c:f>
              <c:strCache>
                <c:ptCount val="3"/>
                <c:pt idx="0">
                  <c:v>Kabaung Reserved Forest </c:v>
                </c:pt>
                <c:pt idx="1">
                  <c:v>Yoma  Protected  Public Froest</c:v>
                </c:pt>
                <c:pt idx="2">
                  <c:v>Kyaukmasin Reserved Forest</c:v>
                </c:pt>
              </c:strCache>
            </c:strRef>
          </c:cat>
          <c:val>
            <c:numRef>
              <c:f>'50x50 Plots (tree no.) DBH'!$U$34:$U$36</c:f>
              <c:numCache>
                <c:formatCode>General</c:formatCode>
                <c:ptCount val="3"/>
                <c:pt idx="0" formatCode="0.0">
                  <c:v>113.2</c:v>
                </c:pt>
                <c:pt idx="1">
                  <c:v>98</c:v>
                </c:pt>
                <c:pt idx="2" formatCode="0.0">
                  <c:v>116.8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52-462D-BEAC-86C9F6FB1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265992"/>
        <c:axId val="536267560"/>
      </c:barChart>
      <c:catAx>
        <c:axId val="536265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Study</a:t>
                </a:r>
                <a:r>
                  <a:rPr lang="en-AU" baseline="0"/>
                  <a:t> Areas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67560"/>
        <c:crosses val="autoZero"/>
        <c:auto val="1"/>
        <c:lblAlgn val="ctr"/>
        <c:lblOffset val="100"/>
        <c:noMultiLvlLbl val="0"/>
      </c:catAx>
      <c:valAx>
        <c:axId val="53626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Number</a:t>
                </a:r>
                <a:r>
                  <a:rPr lang="en-AU" baseline="0"/>
                  <a:t> of Trees per hectare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65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'50x50 Plots (tree no.) DBH'!$Z$34:$Z$36</c:f>
                <c:numCache>
                  <c:formatCode>General</c:formatCode>
                  <c:ptCount val="3"/>
                  <c:pt idx="0">
                    <c:v>0.86390109652547253</c:v>
                  </c:pt>
                  <c:pt idx="1">
                    <c:v>0.37498888872427527</c:v>
                  </c:pt>
                  <c:pt idx="2">
                    <c:v>1.9535265547209733</c:v>
                  </c:pt>
                </c:numCache>
              </c:numRef>
            </c:plus>
            <c:minus>
              <c:numRef>
                <c:f>'50x50 Plots (tree no.) DBH'!$Z$34:$Z$36</c:f>
                <c:numCache>
                  <c:formatCode>General</c:formatCode>
                  <c:ptCount val="3"/>
                  <c:pt idx="0">
                    <c:v>0.86390109652547253</c:v>
                  </c:pt>
                  <c:pt idx="1">
                    <c:v>0.37498888872427527</c:v>
                  </c:pt>
                  <c:pt idx="2">
                    <c:v>1.9535265547209733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'50x50 Plots (tree no.) DBH'!$X$34:$X$36</c:f>
              <c:strCache>
                <c:ptCount val="3"/>
                <c:pt idx="0">
                  <c:v>Kabaung Reserved Forest </c:v>
                </c:pt>
                <c:pt idx="1">
                  <c:v>Yoma  Protected  Public Froest</c:v>
                </c:pt>
                <c:pt idx="2">
                  <c:v>Kyaukmasin Reserved Forest</c:v>
                </c:pt>
              </c:strCache>
            </c:strRef>
          </c:cat>
          <c:val>
            <c:numRef>
              <c:f>'50x50 Plots (tree no.) DBH'!$Y$34:$Y$36</c:f>
              <c:numCache>
                <c:formatCode>General</c:formatCode>
                <c:ptCount val="3"/>
                <c:pt idx="0" formatCode="0.0">
                  <c:v>23.108364129095833</c:v>
                </c:pt>
                <c:pt idx="1">
                  <c:v>17.839999999999996</c:v>
                </c:pt>
                <c:pt idx="2" formatCode="0.0">
                  <c:v>17.734000000000002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9-481A-9610-E0F487D59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268344"/>
        <c:axId val="536265208"/>
      </c:barChart>
      <c:catAx>
        <c:axId val="536268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Study 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65208"/>
        <c:crosses val="autoZero"/>
        <c:auto val="1"/>
        <c:lblAlgn val="ctr"/>
        <c:lblOffset val="100"/>
        <c:noMultiLvlLbl val="0"/>
      </c:catAx>
      <c:valAx>
        <c:axId val="53626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Tree Height</a:t>
                </a:r>
                <a:r>
                  <a:rPr lang="en-AU" sz="1400" baseline="0"/>
                  <a:t> (m)</a:t>
                </a:r>
                <a:endParaRPr lang="en-A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68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'50x50 Plots (tree no.) DBH'!$AN$19</c:f>
              <c:strCache>
                <c:ptCount val="1"/>
                <c:pt idx="0">
                  <c:v>Tree (&gt;20 cm)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'50x50 Plots (tree no.) DBH'!$AP$16:$AP$18</c:f>
                <c:numCache>
                  <c:formatCode>General</c:formatCode>
                  <c:ptCount val="3"/>
                  <c:pt idx="0">
                    <c:v>6.8779842008154333</c:v>
                  </c:pt>
                  <c:pt idx="1">
                    <c:v>10.132456102380443</c:v>
                  </c:pt>
                  <c:pt idx="2">
                    <c:v>9.9116093546911017</c:v>
                  </c:pt>
                </c:numCache>
              </c:numRef>
            </c:plus>
            <c:minus>
              <c:numRef>
                <c:f>'50x50 Plots (tree no.) DBH'!$AP$16:$AP$18</c:f>
                <c:numCache>
                  <c:formatCode>General</c:formatCode>
                  <c:ptCount val="3"/>
                  <c:pt idx="0">
                    <c:v>6.8779842008154333</c:v>
                  </c:pt>
                  <c:pt idx="1">
                    <c:v>10.132456102380443</c:v>
                  </c:pt>
                  <c:pt idx="2">
                    <c:v>9.9116093546911017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'50x50 Plots (tree no.) DBH'!$AM$20:$AM$22</c:f>
              <c:strCache>
                <c:ptCount val="3"/>
                <c:pt idx="0">
                  <c:v>Kabaung Reserved Forest </c:v>
                </c:pt>
                <c:pt idx="1">
                  <c:v>Yoma  Protected  Public Froest</c:v>
                </c:pt>
                <c:pt idx="2">
                  <c:v>Kyaukmasin Reserved Forest</c:v>
                </c:pt>
              </c:strCache>
            </c:strRef>
          </c:cat>
          <c:val>
            <c:numRef>
              <c:f>'50x50 Plots (tree no.) DBH'!$AN$20:$AN$22</c:f>
              <c:numCache>
                <c:formatCode>General</c:formatCode>
                <c:ptCount val="3"/>
                <c:pt idx="0">
                  <c:v>113.2</c:v>
                </c:pt>
                <c:pt idx="1">
                  <c:v>98</c:v>
                </c:pt>
                <c:pt idx="2">
                  <c:v>116.8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1B7-8CAA-095925FE51FA}"/>
            </c:ext>
          </c:extLst>
        </c:ser>
        <c:ser>
          <c:idx val="1"/>
          <c:order val="1"/>
          <c:tx>
            <c:strRef>
              <c:f>'50x50 Plots (tree no.) DBH'!$AO$19</c:f>
              <c:strCache>
                <c:ptCount val="1"/>
                <c:pt idx="0">
                  <c:v>Trees&lt;20 cm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'50x50 Plots (tree no.) DBH'!$AQ$16:$AQ$18</c:f>
                <c:numCache>
                  <c:formatCode>General</c:formatCode>
                  <c:ptCount val="3"/>
                  <c:pt idx="0">
                    <c:v>11.388883468833399</c:v>
                  </c:pt>
                  <c:pt idx="1">
                    <c:v>7.1414284285428504</c:v>
                  </c:pt>
                  <c:pt idx="2">
                    <c:v>14.880860190190619</c:v>
                  </c:pt>
                </c:numCache>
              </c:numRef>
            </c:plus>
            <c:minus>
              <c:numRef>
                <c:f>'50x50 Plots (tree no.) DBH'!$AQ$16:$AQ$18</c:f>
                <c:numCache>
                  <c:formatCode>General</c:formatCode>
                  <c:ptCount val="3"/>
                  <c:pt idx="0">
                    <c:v>11.388883468833399</c:v>
                  </c:pt>
                  <c:pt idx="1">
                    <c:v>7.1414284285428504</c:v>
                  </c:pt>
                  <c:pt idx="2">
                    <c:v>14.880860190190619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'50x50 Plots (tree no.) DBH'!$AM$20:$AM$22</c:f>
              <c:strCache>
                <c:ptCount val="3"/>
                <c:pt idx="0">
                  <c:v>Kabaung Reserved Forest </c:v>
                </c:pt>
                <c:pt idx="1">
                  <c:v>Yoma  Protected  Public Froest</c:v>
                </c:pt>
                <c:pt idx="2">
                  <c:v>Kyaukmasin Reserved Forest</c:v>
                </c:pt>
              </c:strCache>
            </c:strRef>
          </c:cat>
          <c:val>
            <c:numRef>
              <c:f>'50x50 Plots (tree no.) DBH'!$AO$20:$AO$22</c:f>
              <c:numCache>
                <c:formatCode>General</c:formatCode>
                <c:ptCount val="3"/>
                <c:pt idx="0">
                  <c:v>27.2</c:v>
                </c:pt>
                <c:pt idx="1">
                  <c:v>46</c:v>
                </c:pt>
                <c:pt idx="2">
                  <c:v>20.8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1B7-8CAA-095925FE5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261288"/>
        <c:axId val="536259328"/>
      </c:barChart>
      <c:catAx>
        <c:axId val="53626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AU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Study Areas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36259328"/>
        <c:crosses val="autoZero"/>
        <c:auto val="1"/>
        <c:lblAlgn val="ctr"/>
        <c:lblOffset val="100"/>
        <c:noMultiLvlLbl val="0"/>
      </c:catAx>
      <c:valAx>
        <c:axId val="5362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No.</a:t>
                </a:r>
                <a:r>
                  <a:rPr lang="en-AU" sz="18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of  Trees/ha</a:t>
                </a:r>
                <a:endParaRPr lang="en-AU" sz="18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3626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'25x 25 Plots (tree no. &amp; BA)'!$X$1</c:f>
              <c:strCache>
                <c:ptCount val="1"/>
                <c:pt idx="0">
                  <c:v>av d, cm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'25x 25 Plots (tree no. &amp; BA)'!$AB$2:$AB$4</c:f>
                <c:numCache>
                  <c:formatCode>General</c:formatCode>
                  <c:ptCount val="3"/>
                  <c:pt idx="0">
                    <c:v>1.5202485176955629</c:v>
                  </c:pt>
                  <c:pt idx="1">
                    <c:v>0.39274563262300533</c:v>
                  </c:pt>
                  <c:pt idx="2">
                    <c:v>2.8015352933704047</c:v>
                  </c:pt>
                </c:numCache>
              </c:numRef>
            </c:plus>
            <c:minus>
              <c:numRef>
                <c:f>'25x 25 Plots (tree no. &amp; BA)'!$AB$2:$AB$4</c:f>
                <c:numCache>
                  <c:formatCode>General</c:formatCode>
                  <c:ptCount val="3"/>
                  <c:pt idx="0">
                    <c:v>1.5202485176955629</c:v>
                  </c:pt>
                  <c:pt idx="1">
                    <c:v>0.39274563262300533</c:v>
                  </c:pt>
                  <c:pt idx="2">
                    <c:v>2.8015352933704047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'25x 25 Plots (tree no. &amp; BA)'!$W$2:$W$4</c:f>
              <c:strCache>
                <c:ptCount val="3"/>
                <c:pt idx="0">
                  <c:v>Kabaung Reserved Forest </c:v>
                </c:pt>
                <c:pt idx="1">
                  <c:v>Yoma Protected Public Forest</c:v>
                </c:pt>
                <c:pt idx="2">
                  <c:v>Kyaukmasin Reserved Forest</c:v>
                </c:pt>
              </c:strCache>
            </c:strRef>
          </c:cat>
          <c:val>
            <c:numRef>
              <c:f>'25x 25 Plots (tree no. &amp; BA)'!$X$2:$X$4</c:f>
              <c:numCache>
                <c:formatCode>0.0</c:formatCode>
                <c:ptCount val="3"/>
                <c:pt idx="0">
                  <c:v>11.973333333333333</c:v>
                </c:pt>
                <c:pt idx="1">
                  <c:v>14.495833333333334</c:v>
                </c:pt>
                <c:pt idx="2">
                  <c:v>10.940000000000001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3-411E-81E0-9B141AE7E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253840"/>
        <c:axId val="536254624"/>
      </c:barChart>
      <c:catAx>
        <c:axId val="53625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54624"/>
        <c:crosses val="autoZero"/>
        <c:auto val="1"/>
        <c:lblAlgn val="ctr"/>
        <c:lblOffset val="100"/>
        <c:noMultiLvlLbl val="0"/>
      </c:catAx>
      <c:valAx>
        <c:axId val="536254624"/>
        <c:scaling>
          <c:orientation val="minMax"/>
          <c:max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5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'25x 25 Plots (tree no. &amp; BA)'!$Y$1</c:f>
              <c:strCache>
                <c:ptCount val="1"/>
                <c:pt idx="0">
                  <c:v>av H, 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'25x 25 Plots (tree no. &amp; BA)'!$AC$2:$AC$4</c:f>
                <c:numCache>
                  <c:formatCode>General</c:formatCode>
                  <c:ptCount val="3"/>
                  <c:pt idx="0">
                    <c:v>1.3591476991105289</c:v>
                  </c:pt>
                  <c:pt idx="1">
                    <c:v>0.47158673834162751</c:v>
                  </c:pt>
                  <c:pt idx="2">
                    <c:v>2.0206906762397443</c:v>
                  </c:pt>
                </c:numCache>
              </c:numRef>
            </c:plus>
            <c:minus>
              <c:numRef>
                <c:f>'25x 25 Plots (tree no. &amp; BA)'!$AC$2:$AC$4</c:f>
                <c:numCache>
                  <c:formatCode>General</c:formatCode>
                  <c:ptCount val="3"/>
                  <c:pt idx="0">
                    <c:v>1.3591476991105289</c:v>
                  </c:pt>
                  <c:pt idx="1">
                    <c:v>0.47158673834162751</c:v>
                  </c:pt>
                  <c:pt idx="2">
                    <c:v>2.0206906762397443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'25x 25 Plots (tree no. &amp; BA)'!$W$2:$W$4</c:f>
              <c:strCache>
                <c:ptCount val="3"/>
                <c:pt idx="0">
                  <c:v>Kabaung Reserved Forest </c:v>
                </c:pt>
                <c:pt idx="1">
                  <c:v>Yoma Protected Public Forest</c:v>
                </c:pt>
                <c:pt idx="2">
                  <c:v>Kyaukmasin Reserved Forest</c:v>
                </c:pt>
              </c:strCache>
            </c:strRef>
          </c:cat>
          <c:val>
            <c:numRef>
              <c:f>'25x 25 Plots (tree no. &amp; BA)'!$Y$2:$Y$4</c:f>
              <c:numCache>
                <c:formatCode>0.0</c:formatCode>
                <c:ptCount val="3"/>
                <c:pt idx="0">
                  <c:v>8.183943089430894</c:v>
                </c:pt>
                <c:pt idx="1">
                  <c:v>11.641260162601627</c:v>
                </c:pt>
                <c:pt idx="2">
                  <c:v>6.536585365853659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E-4737-9FB2-6ADF47F37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253056"/>
        <c:axId val="536255016"/>
      </c:barChart>
      <c:catAx>
        <c:axId val="536253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A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Study Areas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36255016"/>
        <c:crosses val="autoZero"/>
        <c:auto val="1"/>
        <c:lblAlgn val="ctr"/>
        <c:lblOffset val="100"/>
        <c:noMultiLvlLbl val="0"/>
      </c:catAx>
      <c:valAx>
        <c:axId val="536255016"/>
        <c:scaling>
          <c:orientation val="minMax"/>
          <c:max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A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Average</a:t>
                </a:r>
                <a:r>
                  <a:rPr lang="en-AU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Tree Height (m)</a:t>
                </a:r>
                <a:endParaRPr lang="en-AU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5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'25x 25 Plots (tree no. &amp; BA)'!$Z$1</c:f>
              <c:strCache>
                <c:ptCount val="1"/>
                <c:pt idx="0">
                  <c:v>Trees/ha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'25x 25 Plots (tree no. &amp; BA)'!$AD$2:$AD$4</c:f>
                <c:numCache>
                  <c:formatCode>General</c:formatCode>
                  <c:ptCount val="3"/>
                  <c:pt idx="0">
                    <c:v>56.944417344166986</c:v>
                  </c:pt>
                  <c:pt idx="1">
                    <c:v>35.707142142714247</c:v>
                  </c:pt>
                  <c:pt idx="2">
                    <c:v>74.4043009509531</c:v>
                  </c:pt>
                </c:numCache>
              </c:numRef>
            </c:plus>
            <c:minus>
              <c:numRef>
                <c:f>'25x 25 Plots (tree no. &amp; BA)'!$AD$2:$AD$4</c:f>
                <c:numCache>
                  <c:formatCode>General</c:formatCode>
                  <c:ptCount val="3"/>
                  <c:pt idx="0">
                    <c:v>56.944417344166986</c:v>
                  </c:pt>
                  <c:pt idx="1">
                    <c:v>35.707142142714247</c:v>
                  </c:pt>
                  <c:pt idx="2">
                    <c:v>74.4043009509531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'25x 25 Plots (tree no. &amp; BA)'!$W$2:$W$4</c:f>
              <c:strCache>
                <c:ptCount val="3"/>
                <c:pt idx="0">
                  <c:v>Kabaung Reserved Forest </c:v>
                </c:pt>
                <c:pt idx="1">
                  <c:v>Yoma Protected Public Forest</c:v>
                </c:pt>
                <c:pt idx="2">
                  <c:v>Kyaukmasin Reserved Forest</c:v>
                </c:pt>
              </c:strCache>
            </c:strRef>
          </c:cat>
          <c:val>
            <c:numRef>
              <c:f>'25x 25 Plots (tree no. &amp; BA)'!$Z$2:$Z$4</c:f>
              <c:numCache>
                <c:formatCode>0.0</c:formatCode>
                <c:ptCount val="3"/>
                <c:pt idx="0">
                  <c:v>136</c:v>
                </c:pt>
                <c:pt idx="1">
                  <c:v>230</c:v>
                </c:pt>
                <c:pt idx="2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0-4752-BBA9-5A87D4464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252664"/>
        <c:axId val="536258544"/>
      </c:barChart>
      <c:catAx>
        <c:axId val="53625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58544"/>
        <c:crosses val="autoZero"/>
        <c:auto val="1"/>
        <c:lblAlgn val="ctr"/>
        <c:lblOffset val="100"/>
        <c:noMultiLvlLbl val="0"/>
      </c:catAx>
      <c:valAx>
        <c:axId val="536258544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52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'25x 25 Plots (tree no. &amp; BA)'!$AA$1</c:f>
              <c:strCache>
                <c:ptCount val="1"/>
                <c:pt idx="0">
                  <c:v>BA, m2/ha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'25x 25 Plots (tree no. &amp; BA)'!$AE$2:$AE$4</c:f>
                <c:numCache>
                  <c:formatCode>General</c:formatCode>
                  <c:ptCount val="3"/>
                  <c:pt idx="0">
                    <c:v>15.867361329331217</c:v>
                  </c:pt>
                  <c:pt idx="1">
                    <c:v>10.940786077791662</c:v>
                  </c:pt>
                  <c:pt idx="2">
                    <c:v>23.484618285166992</c:v>
                  </c:pt>
                </c:numCache>
              </c:numRef>
            </c:plus>
            <c:minus>
              <c:numRef>
                <c:f>'25x 25 Plots (tree no. &amp; BA)'!$AE$2:$AE$4</c:f>
                <c:numCache>
                  <c:formatCode>General</c:formatCode>
                  <c:ptCount val="3"/>
                  <c:pt idx="0">
                    <c:v>15.867361329331217</c:v>
                  </c:pt>
                  <c:pt idx="1">
                    <c:v>10.940786077791662</c:v>
                  </c:pt>
                  <c:pt idx="2">
                    <c:v>23.484618285166992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'25x 25 Plots (tree no. &amp; BA)'!$W$2:$W$4</c:f>
              <c:strCache>
                <c:ptCount val="3"/>
                <c:pt idx="0">
                  <c:v>Kabaung Reserved Forest </c:v>
                </c:pt>
                <c:pt idx="1">
                  <c:v>Yoma Protected Public Forest</c:v>
                </c:pt>
                <c:pt idx="2">
                  <c:v>Kyaukmasin Reserved Forest</c:v>
                </c:pt>
              </c:strCache>
            </c:strRef>
          </c:cat>
          <c:val>
            <c:numRef>
              <c:f>'25x 25 Plots (tree no. &amp; BA)'!$AA$2:$AA$4</c:f>
              <c:numCache>
                <c:formatCode>0.0</c:formatCode>
                <c:ptCount val="3"/>
                <c:pt idx="0">
                  <c:v>37.440000000000005</c:v>
                </c:pt>
                <c:pt idx="1">
                  <c:v>66.8</c:v>
                </c:pt>
                <c:pt idx="2">
                  <c:v>31.215999999999998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E-41A2-A698-3C04E1C6C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256192"/>
        <c:axId val="536256976"/>
      </c:barChart>
      <c:catAx>
        <c:axId val="5362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56976"/>
        <c:crosses val="autoZero"/>
        <c:auto val="1"/>
        <c:lblAlgn val="ctr"/>
        <c:lblOffset val="100"/>
        <c:noMultiLvlLbl val="0"/>
      </c:catAx>
      <c:valAx>
        <c:axId val="536256976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12676814148092"/>
          <c:y val="7.1561557733197612E-2"/>
          <c:w val="0.87957067120574239"/>
          <c:h val="0.7949404822417328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'25x 25 Plots (tree no. &amp; BA)'!$Q$32:$Q$34</c:f>
                <c:numCache>
                  <c:formatCode>General</c:formatCode>
                  <c:ptCount val="3"/>
                  <c:pt idx="0">
                    <c:v>22.777766937666797</c:v>
                  </c:pt>
                  <c:pt idx="1">
                    <c:v>14.282856857085701</c:v>
                  </c:pt>
                  <c:pt idx="2">
                    <c:v>29.761720380381238</c:v>
                  </c:pt>
                </c:numCache>
              </c:numRef>
            </c:plus>
            <c:minus>
              <c:numRef>
                <c:f>'25x 25 Plots (tree no. &amp; BA)'!$Q$32:$Q$34</c:f>
                <c:numCache>
                  <c:formatCode>General</c:formatCode>
                  <c:ptCount val="3"/>
                  <c:pt idx="0">
                    <c:v>22.777766937666797</c:v>
                  </c:pt>
                  <c:pt idx="1">
                    <c:v>14.282856857085701</c:v>
                  </c:pt>
                  <c:pt idx="2">
                    <c:v>29.761720380381238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'25x 25 Plots (tree no. &amp; BA)'!$O$32:$O$34</c:f>
              <c:strCache>
                <c:ptCount val="3"/>
                <c:pt idx="0">
                  <c:v>Kabaung Reserved Forest </c:v>
                </c:pt>
                <c:pt idx="1">
                  <c:v>Yoma  Protected  Public Froest</c:v>
                </c:pt>
                <c:pt idx="2">
                  <c:v>Kyaukmasin Reserved Forest</c:v>
                </c:pt>
              </c:strCache>
            </c:strRef>
          </c:cat>
          <c:val>
            <c:numRef>
              <c:f>'25x 25 Plots (tree no. &amp; BA)'!$P$32:$P$34</c:f>
              <c:numCache>
                <c:formatCode>0.0</c:formatCode>
                <c:ptCount val="3"/>
                <c:pt idx="0">
                  <c:v>54.4</c:v>
                </c:pt>
                <c:pt idx="1">
                  <c:v>92</c:v>
                </c:pt>
                <c:pt idx="2">
                  <c:v>41.6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8-4132-BA18-ECE767048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263640"/>
        <c:axId val="536254232"/>
      </c:barChart>
      <c:catAx>
        <c:axId val="536263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AU"/>
                  <a:t>Study Areas</a:t>
                </a:r>
              </a:p>
            </c:rich>
          </c:tx>
          <c:layout>
            <c:manualLayout>
              <c:xMode val="edge"/>
              <c:yMode val="edge"/>
              <c:x val="0.49328466120282916"/>
              <c:y val="0.944421504308684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36254232"/>
        <c:crosses val="autoZero"/>
        <c:auto val="1"/>
        <c:lblAlgn val="ctr"/>
        <c:lblOffset val="100"/>
        <c:noMultiLvlLbl val="0"/>
      </c:catAx>
      <c:valAx>
        <c:axId val="53625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AU" sz="2000"/>
                  <a:t>Number of Trees per hectare</a:t>
                </a:r>
              </a:p>
            </c:rich>
          </c:tx>
          <c:layout>
            <c:manualLayout>
              <c:xMode val="edge"/>
              <c:yMode val="edge"/>
              <c:x val="1.8503439835785018E-2"/>
              <c:y val="0.260948477870953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36263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Diameter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'Diameter Distribution (25 x 25)'!$G$1</c:f>
              <c:strCache>
                <c:ptCount val="1"/>
                <c:pt idx="0">
                  <c:v>Kabaung Reserved Forest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'Diameter Distribution (25 x 25)'!$F$2:$F$4</c:f>
              <c:strCache>
                <c:ptCount val="3"/>
                <c:pt idx="0">
                  <c:v>5.1-10</c:v>
                </c:pt>
                <c:pt idx="1">
                  <c:v>10.1-15</c:v>
                </c:pt>
                <c:pt idx="2">
                  <c:v>15.1-20</c:v>
                </c:pt>
              </c:strCache>
            </c:strRef>
          </c:cat>
          <c:val>
            <c:numRef>
              <c:f>'Diameter Distribution (25 x 25)'!$G$2:$G$4</c:f>
              <c:numCache>
                <c:formatCode>General</c:formatCode>
                <c:ptCount val="3"/>
                <c:pt idx="0">
                  <c:v>7</c:v>
                </c:pt>
                <c:pt idx="1">
                  <c:v>19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8-4EFE-9B54-F78DBA03A2A8}"/>
            </c:ext>
          </c:extLst>
        </c:ser>
        <c:ser>
          <c:idx val="1"/>
          <c:order val="1"/>
          <c:tx>
            <c:strRef>
              <c:f>'Diameter Distribution (25 x 25)'!$I$1</c:f>
              <c:strCache>
                <c:ptCount val="1"/>
                <c:pt idx="0">
                  <c:v>Yoma Protected Public Froest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'Diameter Distribution (25 x 25)'!$F$2:$F$4</c:f>
              <c:strCache>
                <c:ptCount val="3"/>
                <c:pt idx="0">
                  <c:v>5.1-10</c:v>
                </c:pt>
                <c:pt idx="1">
                  <c:v>10.1-15</c:v>
                </c:pt>
                <c:pt idx="2">
                  <c:v>15.1-20</c:v>
                </c:pt>
              </c:strCache>
            </c:strRef>
          </c:cat>
          <c:val>
            <c:numRef>
              <c:f>'Diameter Distribution (25 x 25)'!$I$2:$I$4</c:f>
              <c:numCache>
                <c:formatCode>General</c:formatCode>
                <c:ptCount val="3"/>
                <c:pt idx="0">
                  <c:v>1</c:v>
                </c:pt>
                <c:pt idx="1">
                  <c:v>13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98-4EFE-9B54-F78DBA03A2A8}"/>
            </c:ext>
          </c:extLst>
        </c:ser>
        <c:ser>
          <c:idx val="2"/>
          <c:order val="2"/>
          <c:tx>
            <c:strRef>
              <c:f>'Diameter Distribution (25 x 25)'!$J$1</c:f>
              <c:strCache>
                <c:ptCount val="1"/>
                <c:pt idx="0">
                  <c:v>Kyaukmasin Reserved Forest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'Diameter Distribution (25 x 25)'!$F$2:$F$4</c:f>
              <c:strCache>
                <c:ptCount val="3"/>
                <c:pt idx="0">
                  <c:v>5.1-10</c:v>
                </c:pt>
                <c:pt idx="1">
                  <c:v>10.1-15</c:v>
                </c:pt>
                <c:pt idx="2">
                  <c:v>15.1-20</c:v>
                </c:pt>
              </c:strCache>
            </c:strRef>
          </c:cat>
          <c:val>
            <c:numRef>
              <c:f>'Diameter Distribution (25 x 25)'!$J$2:$J$4</c:f>
              <c:numCache>
                <c:formatCode>General</c:formatCode>
                <c:ptCount val="3"/>
                <c:pt idx="0">
                  <c:v>0</c:v>
                </c:pt>
                <c:pt idx="1">
                  <c:v>8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98-4EFE-9B54-F78DBA03A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260896"/>
        <c:axId val="536258152"/>
      </c:barChart>
      <c:catAx>
        <c:axId val="5362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Diameter</a:t>
                </a:r>
                <a:r>
                  <a:rPr lang="en-US" baseline="0"/>
                  <a:t> Class (cm)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58152"/>
        <c:crosses val="autoZero"/>
        <c:auto val="1"/>
        <c:lblAlgn val="ctr"/>
        <c:lblOffset val="100"/>
        <c:noMultiLvlLbl val="0"/>
      </c:catAx>
      <c:valAx>
        <c:axId val="53625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Tree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943007581450346"/>
          <c:y val="0.21722063108297088"/>
          <c:w val="0.71978415114949823"/>
          <c:h val="0.65149173009100481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EDB3-46E3-8BE1-D56ED16C41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EDB3-46E3-8BE1-D56ED16C41B6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EDB3-46E3-8BE1-D56ED16C41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EDB3-46E3-8BE1-D56ED16C41B6}"/>
              </c:ext>
            </c:extLst>
          </c:dPt>
          <c:dPt>
            <c:idx val="4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EDB3-46E3-8BE1-D56ED16C41B6}"/>
              </c:ext>
            </c:extLst>
          </c:dPt>
          <c:dLbls>
            <c:dLbl>
              <c:idx val="0"/>
              <c:layout>
                <c:manualLayout>
                  <c:x val="0"/>
                  <c:y val="-6.947890818858562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B3-46E3-8BE1-D56ED16C41B6}"/>
                </c:ext>
              </c:extLst>
            </c:dLbl>
            <c:dLbl>
              <c:idx val="1"/>
              <c:layout>
                <c:manualLayout>
                  <c:x val="0.14701415086199543"/>
                  <c:y val="-4.16298034434645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t" anchorCtr="0">
                  <a:noAutofit/>
                </a:bodyPr>
                <a:lstStyle/>
                <a:p>
                  <a:pPr algn="ctr">
                    <a:defRPr sz="16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526184357442506"/>
                      <c:h val="0.100874822599628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EDB3-46E3-8BE1-D56ED16C41B6}"/>
                </c:ext>
              </c:extLst>
            </c:dLbl>
            <c:dLbl>
              <c:idx val="2"/>
              <c:layout>
                <c:manualLayout>
                  <c:x val="7.1257279890373421E-2"/>
                  <c:y val="6.968639840390712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B3-46E3-8BE1-D56ED16C41B6}"/>
                </c:ext>
              </c:extLst>
            </c:dLbl>
            <c:dLbl>
              <c:idx val="3"/>
              <c:layout>
                <c:manualLayout>
                  <c:x val="-5.6183624528948269E-2"/>
                  <c:y val="-1.393727968078144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B3-46E3-8BE1-D56ED16C41B6}"/>
                </c:ext>
              </c:extLst>
            </c:dLbl>
            <c:dLbl>
              <c:idx val="4"/>
              <c:layout>
                <c:manualLayout>
                  <c:x val="-5.8924289140116479E-2"/>
                  <c:y val="-2.090591952117214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DB3-46E3-8BE1-D56ED16C41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'Taungoo Forest %'!$A$1:$A$5</c:f>
              <c:strCache>
                <c:ptCount val="5"/>
                <c:pt idx="0">
                  <c:v>Indaing Forest</c:v>
                </c:pt>
                <c:pt idx="1">
                  <c:v>Dry Forest </c:v>
                </c:pt>
                <c:pt idx="2">
                  <c:v>Mixed Deciduous Forest</c:v>
                </c:pt>
                <c:pt idx="3">
                  <c:v>Evergreen Forest</c:v>
                </c:pt>
                <c:pt idx="4">
                  <c:v>Plantations</c:v>
                </c:pt>
              </c:strCache>
            </c:strRef>
          </c:cat>
          <c:val>
            <c:numRef>
              <c:f>'Taungoo Forest %'!$B$1:$B$5</c:f>
              <c:numCache>
                <c:formatCode>0.00%</c:formatCode>
                <c:ptCount val="5"/>
                <c:pt idx="0">
                  <c:v>3.5000000000000001E-3</c:v>
                </c:pt>
                <c:pt idx="1">
                  <c:v>3.9E-2</c:v>
                </c:pt>
                <c:pt idx="2">
                  <c:v>0.76649999999999996</c:v>
                </c:pt>
                <c:pt idx="3">
                  <c:v>0.08</c:v>
                </c:pt>
                <c:pt idx="4">
                  <c:v>0.111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B3-46E3-8BE1-D56ED16C41B6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1257300</xdr:colOff>
      <xdr:row>8</xdr:row>
      <xdr:rowOff>114300</xdr:rowOff>
    </xdr:from>
    <xdr:to>
      <xdr:col>20</xdr:col>
      <xdr:colOff>1495425</xdr:colOff>
      <xdr:row>23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79406" y="1930035"/>
          <a:ext cx="7212986" cy="2843804"/>
        </a:xfrm>
        <a:prstGeom prst="rect">
          <a:avLst/>
        </a:prstGeom>
      </xdr:spPr>
    </xdr:pic>
    <xdr:clientData/>
  </xdr:twoCellAnchor>
  <xdr:twoCellAnchor>
    <xdr:from>
      <xdr:col>5</xdr:col>
      <xdr:colOff>615021</xdr:colOff>
      <xdr:row>42</xdr:row>
      <xdr:rowOff>47625</xdr:rowOff>
    </xdr:from>
    <xdr:to>
      <xdr:col>10</xdr:col>
      <xdr:colOff>1214437</xdr:colOff>
      <xdr:row>70</xdr:row>
      <xdr:rowOff>72456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345063</xdr:colOff>
      <xdr:row>81</xdr:row>
      <xdr:rowOff>108238</xdr:rowOff>
    </xdr:from>
    <xdr:to>
      <xdr:col>11</xdr:col>
      <xdr:colOff>554182</xdr:colOff>
      <xdr:row>119</xdr:row>
      <xdr:rowOff>121227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257175</xdr:colOff>
      <xdr:row>42</xdr:row>
      <xdr:rowOff>95250</xdr:rowOff>
    </xdr:from>
    <xdr:to>
      <xdr:col>5</xdr:col>
      <xdr:colOff>304800</xdr:colOff>
      <xdr:row>70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190501</xdr:colOff>
      <xdr:row>81</xdr:row>
      <xdr:rowOff>69274</xdr:rowOff>
    </xdr:from>
    <xdr:to>
      <xdr:col>6</xdr:col>
      <xdr:colOff>1402774</xdr:colOff>
      <xdr:row>120</xdr:row>
      <xdr:rowOff>69274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523875</xdr:colOff>
      <xdr:row>41</xdr:row>
      <xdr:rowOff>166688</xdr:rowOff>
    </xdr:from>
    <xdr:to>
      <xdr:col>19</xdr:col>
      <xdr:colOff>655865</xdr:colOff>
      <xdr:row>69</xdr:row>
      <xdr:rowOff>147638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95250</xdr:colOff>
      <xdr:row>23</xdr:row>
      <xdr:rowOff>9524</xdr:rowOff>
    </xdr:from>
    <xdr:to>
      <xdr:col>28</xdr:col>
      <xdr:colOff>1552575</xdr:colOff>
      <xdr:row>40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605117</xdr:colOff>
      <xdr:row>24</xdr:row>
      <xdr:rowOff>152960</xdr:rowOff>
    </xdr:from>
    <xdr:to>
      <xdr:col>10</xdr:col>
      <xdr:colOff>1212273</xdr:colOff>
      <xdr:row>55</xdr:row>
      <xdr:rowOff>155863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0</xdr:row>
      <xdr:rowOff>0</xdr:rowOff>
    </xdr:from>
    <xdr:to>
      <xdr:col>11</xdr:col>
      <xdr:colOff>9525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29</xdr:row>
      <xdr:rowOff>66675</xdr:rowOff>
    </xdr:from>
    <xdr:to>
      <xdr:col>11</xdr:col>
      <xdr:colOff>600075</xdr:colOff>
      <xdr:row>43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190500</xdr:colOff>
      <xdr:row>45</xdr:row>
      <xdr:rowOff>85725</xdr:rowOff>
    </xdr:from>
    <xdr:to>
      <xdr:col>11</xdr:col>
      <xdr:colOff>600075</xdr:colOff>
      <xdr:row>59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257175</xdr:colOff>
      <xdr:row>61</xdr:row>
      <xdr:rowOff>19050</xdr:rowOff>
    </xdr:from>
    <xdr:to>
      <xdr:col>11</xdr:col>
      <xdr:colOff>657225</xdr:colOff>
      <xdr:row>76</xdr:row>
      <xdr:rowOff>28575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257175</xdr:colOff>
      <xdr:row>77</xdr:row>
      <xdr:rowOff>19050</xdr:rowOff>
    </xdr:from>
    <xdr:to>
      <xdr:col>11</xdr:col>
      <xdr:colOff>685800</xdr:colOff>
      <xdr:row>93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190500</xdr:colOff>
      <xdr:row>9</xdr:row>
      <xdr:rowOff>40820</xdr:rowOff>
    </xdr:from>
    <xdr:to>
      <xdr:col>35</xdr:col>
      <xdr:colOff>421822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1510392</xdr:colOff>
      <xdr:row>36</xdr:row>
      <xdr:rowOff>13608</xdr:rowOff>
    </xdr:from>
    <xdr:to>
      <xdr:col>29</xdr:col>
      <xdr:colOff>108857</xdr:colOff>
      <xdr:row>62</xdr:row>
      <xdr:rowOff>122464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55665</xdr:colOff>
      <xdr:row>29</xdr:row>
      <xdr:rowOff>11134</xdr:rowOff>
    </xdr:from>
    <xdr:to>
      <xdr:col>45</xdr:col>
      <xdr:colOff>540573</xdr:colOff>
      <xdr:row>67</xdr:row>
      <xdr:rowOff>92776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22</xdr:col>
      <xdr:colOff>55591</xdr:colOff>
      <xdr:row>4</xdr:row>
      <xdr:rowOff>161330</xdr:rowOff>
    </xdr:to>
    <xdr:sp macro="" textlink="">
      <xdr:nvSpPr>
        <xdr:cNvPr id="2" name="TextBox 7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/>
      </xdr:nvSpPr>
      <xdr:spPr>
        <a:xfrm>
          <a:off x="5753100" y="0"/>
          <a:ext cx="7980391" cy="9233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AU"/>
            <a:t>Carbon credit per year from SMALL trees only =17(tC/ha)/13 (years) x Area of forest x 0.3 (respiration) x $5</a:t>
          </a:r>
          <a:br>
            <a:rPr lang="en-AU"/>
          </a:br>
          <a:r>
            <a:rPr lang="en-AU"/>
            <a:t>Carbon Revenue  per year from small plots only = 17 tC/ha x area (ha)/ 50 years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219075</xdr:colOff>
      <xdr:row>4</xdr:row>
      <xdr:rowOff>123825</xdr:rowOff>
    </xdr:from>
    <xdr:to>
      <xdr:col>27</xdr:col>
      <xdr:colOff>485775</xdr:colOff>
      <xdr:row>19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297657</xdr:colOff>
      <xdr:row>33</xdr:row>
      <xdr:rowOff>45242</xdr:rowOff>
    </xdr:from>
    <xdr:to>
      <xdr:col>40</xdr:col>
      <xdr:colOff>202407</xdr:colOff>
      <xdr:row>55</xdr:row>
      <xdr:rowOff>130968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76200</xdr:colOff>
      <xdr:row>4</xdr:row>
      <xdr:rowOff>171450</xdr:rowOff>
    </xdr:from>
    <xdr:to>
      <xdr:col>34</xdr:col>
      <xdr:colOff>552450</xdr:colOff>
      <xdr:row>19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95250</xdr:colOff>
      <xdr:row>20</xdr:row>
      <xdr:rowOff>152400</xdr:rowOff>
    </xdr:from>
    <xdr:to>
      <xdr:col>34</xdr:col>
      <xdr:colOff>590550</xdr:colOff>
      <xdr:row>35</xdr:row>
      <xdr:rowOff>38100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642362</xdr:colOff>
      <xdr:row>36</xdr:row>
      <xdr:rowOff>131133</xdr:rowOff>
    </xdr:from>
    <xdr:to>
      <xdr:col>20</xdr:col>
      <xdr:colOff>173183</xdr:colOff>
      <xdr:row>72</xdr:row>
      <xdr:rowOff>149751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6</xdr:row>
      <xdr:rowOff>9525</xdr:rowOff>
    </xdr:from>
    <xdr:to>
      <xdr:col>9</xdr:col>
      <xdr:colOff>1628775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4</xdr:row>
      <xdr:rowOff>54427</xdr:rowOff>
    </xdr:from>
    <xdr:to>
      <xdr:col>19</xdr:col>
      <xdr:colOff>149678</xdr:colOff>
      <xdr:row>39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23"/>
  <sheetViews>
    <sheetView topLeftCell="I1" zoomScale="70" zoomScaleNormal="70" workbookViewId="0">
      <selection activeCell="L4" sqref="L4"/>
    </sheetView>
  </sheetViews>
  <sheetFormatPr defaultRowHeight="15"/>
  <cols>
    <col min="1" max="1" width="28.85546875" customWidth="1"/>
    <col min="2" max="2" width="22.5703125" customWidth="1"/>
    <col min="3" max="3" width="16.42578125" bestFit="1" customWidth="1"/>
    <col min="4" max="4" width="14" customWidth="1"/>
    <col min="5" max="5" width="31.7109375" bestFit="1" customWidth="1"/>
    <col min="6" max="6" width="14.28515625" customWidth="1"/>
    <col min="7" max="7" width="25.85546875" bestFit="1" customWidth="1"/>
    <col min="8" max="8" width="37.42578125" bestFit="1" customWidth="1"/>
    <col min="9" max="10" width="22.28515625" customWidth="1"/>
    <col min="11" max="12" width="63.140625" bestFit="1" customWidth="1"/>
    <col min="13" max="13" width="28.85546875" customWidth="1"/>
    <col min="14" max="14" width="27" bestFit="1" customWidth="1"/>
    <col min="15" max="18" width="19.5703125" customWidth="1"/>
    <col min="19" max="19" width="18.7109375" bestFit="1" customWidth="1"/>
    <col min="20" max="20" width="26.85546875" customWidth="1"/>
    <col min="21" max="21" width="26" bestFit="1" customWidth="1"/>
    <col min="22" max="22" width="12.85546875" style="233" bestFit="1" customWidth="1"/>
    <col min="23" max="23" width="18.5703125" style="106" bestFit="1" customWidth="1"/>
    <col min="24" max="25" width="19.140625" bestFit="1" customWidth="1"/>
    <col min="26" max="29" width="19.140625" customWidth="1"/>
  </cols>
  <sheetData>
    <row r="1" spans="1:23" s="186" customFormat="1">
      <c r="B1" s="256" t="s">
        <v>0</v>
      </c>
      <c r="C1" s="242"/>
      <c r="D1" s="242"/>
      <c r="E1" s="256" t="s">
        <v>1</v>
      </c>
      <c r="F1" s="242"/>
      <c r="K1" s="257" t="s">
        <v>2</v>
      </c>
      <c r="M1" s="257"/>
      <c r="S1" s="258"/>
      <c r="T1" s="259"/>
      <c r="U1" s="260"/>
    </row>
    <row r="2" spans="1:23" s="254" customFormat="1" ht="37.5" customHeight="1">
      <c r="A2" s="255" t="s">
        <v>3</v>
      </c>
      <c r="B2" s="253" t="s">
        <v>4</v>
      </c>
      <c r="C2" s="253" t="s">
        <v>5</v>
      </c>
      <c r="D2" s="253"/>
      <c r="E2" s="255" t="s">
        <v>3</v>
      </c>
      <c r="F2" s="253" t="s">
        <v>4</v>
      </c>
      <c r="G2" s="253" t="s">
        <v>5</v>
      </c>
      <c r="H2" s="252" t="s">
        <v>6</v>
      </c>
      <c r="I2" s="253" t="s">
        <v>7</v>
      </c>
      <c r="J2" s="253"/>
      <c r="K2" s="255" t="s">
        <v>3</v>
      </c>
      <c r="L2" s="252" t="s">
        <v>8</v>
      </c>
      <c r="M2" s="252" t="s">
        <v>9</v>
      </c>
      <c r="N2" s="252" t="s">
        <v>6</v>
      </c>
      <c r="O2" s="253" t="s">
        <v>7</v>
      </c>
      <c r="P2" s="253"/>
      <c r="Q2" s="254" t="s">
        <v>10</v>
      </c>
    </row>
    <row r="3" spans="1:23">
      <c r="A3" t="s">
        <v>11</v>
      </c>
      <c r="B3" s="237">
        <v>86.234000000000009</v>
      </c>
      <c r="C3" s="265">
        <f>B3*0.47</f>
        <v>40.529980000000002</v>
      </c>
      <c r="D3" s="237">
        <v>10</v>
      </c>
      <c r="E3" t="s">
        <v>11</v>
      </c>
      <c r="F3" s="235">
        <f>'Kabaung(54-1)'!Q5</f>
        <v>12.068308917544892</v>
      </c>
      <c r="G3" s="268">
        <f>F3*0.47</f>
        <v>5.6721051912460991</v>
      </c>
      <c r="H3" s="240">
        <v>6.09</v>
      </c>
      <c r="I3" s="240">
        <f xml:space="preserve"> $H$3*F3</f>
        <v>73.496001307848388</v>
      </c>
      <c r="J3" s="238"/>
      <c r="K3" t="s">
        <v>11</v>
      </c>
      <c r="L3" s="236">
        <f>B3+F3</f>
        <v>98.302308917544906</v>
      </c>
      <c r="M3" s="236">
        <f>L3*0.47</f>
        <v>46.202085191246105</v>
      </c>
      <c r="N3" s="241">
        <v>6.09</v>
      </c>
      <c r="O3" s="276">
        <f>$N$3*L3</f>
        <v>598.66106130784851</v>
      </c>
      <c r="Q3" s="227" t="s">
        <v>12</v>
      </c>
      <c r="V3"/>
      <c r="W3"/>
    </row>
    <row r="4" spans="1:23">
      <c r="A4" t="s">
        <v>13</v>
      </c>
      <c r="B4" s="237">
        <v>189.56</v>
      </c>
      <c r="C4" s="265">
        <f t="shared" ref="C4:C27" si="0">B4*0.47</f>
        <v>89.093199999999996</v>
      </c>
      <c r="D4" s="186"/>
      <c r="E4" t="s">
        <v>13</v>
      </c>
      <c r="F4" s="235">
        <f>'(54-2)'!Q5</f>
        <v>0.64830551764636013</v>
      </c>
      <c r="G4" s="268">
        <f t="shared" ref="G4:G27" si="1">F4*0.47</f>
        <v>0.30470359329378927</v>
      </c>
      <c r="H4" s="234"/>
      <c r="I4" s="240">
        <f>$H$3*F4</f>
        <v>3.9481806024663331</v>
      </c>
      <c r="J4" s="238"/>
      <c r="K4" t="s">
        <v>13</v>
      </c>
      <c r="L4" s="236">
        <f t="shared" ref="L4:L11" si="2">B4+F4</f>
        <v>190.20830551764635</v>
      </c>
      <c r="M4" s="236">
        <f t="shared" ref="M4:M27" si="3">L4*0.47</f>
        <v>89.397903593293776</v>
      </c>
      <c r="N4" s="236"/>
      <c r="O4" s="276">
        <f>$N$3*L4</f>
        <v>1158.3685806024662</v>
      </c>
      <c r="Q4" s="227" t="s">
        <v>14</v>
      </c>
      <c r="V4"/>
      <c r="W4"/>
    </row>
    <row r="5" spans="1:23">
      <c r="A5" t="s">
        <v>15</v>
      </c>
      <c r="B5" s="237">
        <v>142.05000000000001</v>
      </c>
      <c r="C5" s="265">
        <f t="shared" si="0"/>
        <v>66.763500000000008</v>
      </c>
      <c r="D5" s="186"/>
      <c r="E5" t="s">
        <v>15</v>
      </c>
      <c r="F5" s="235">
        <f>'(55-3)'!P5</f>
        <v>2.7955430343928156</v>
      </c>
      <c r="G5" s="268">
        <f t="shared" si="1"/>
        <v>1.3139052261646234</v>
      </c>
      <c r="H5" s="234"/>
      <c r="I5" s="240">
        <f t="shared" ref="I5:I12" si="4">$H$3*F5</f>
        <v>17.024857079452246</v>
      </c>
      <c r="J5" s="238"/>
      <c r="K5" t="s">
        <v>15</v>
      </c>
      <c r="L5" s="236">
        <f>B5+F5</f>
        <v>144.84554303439282</v>
      </c>
      <c r="M5" s="236">
        <f t="shared" si="3"/>
        <v>68.077405226164615</v>
      </c>
      <c r="N5" s="236"/>
      <c r="O5" s="276">
        <f t="shared" ref="O5:O12" si="5">$N$3*L5</f>
        <v>882.10935707945225</v>
      </c>
      <c r="V5"/>
      <c r="W5"/>
    </row>
    <row r="6" spans="1:23">
      <c r="A6" t="s">
        <v>16</v>
      </c>
      <c r="B6" s="237">
        <v>162.79000000000002</v>
      </c>
      <c r="C6" s="265">
        <f t="shared" si="0"/>
        <v>76.511300000000006</v>
      </c>
      <c r="D6" s="186"/>
      <c r="E6" t="s">
        <v>16</v>
      </c>
      <c r="F6" s="235">
        <f>'(55-4)'!O5</f>
        <v>0</v>
      </c>
      <c r="G6" s="268">
        <f t="shared" si="1"/>
        <v>0</v>
      </c>
      <c r="H6" s="234"/>
      <c r="I6" s="240">
        <f t="shared" si="4"/>
        <v>0</v>
      </c>
      <c r="J6" s="238"/>
      <c r="K6" t="s">
        <v>16</v>
      </c>
      <c r="L6" s="236">
        <f>B6+F6</f>
        <v>162.79000000000002</v>
      </c>
      <c r="M6" s="236">
        <f t="shared" si="3"/>
        <v>76.511300000000006</v>
      </c>
      <c r="N6" s="236"/>
      <c r="O6" s="276">
        <f t="shared" si="5"/>
        <v>991.39110000000005</v>
      </c>
      <c r="Q6" s="232" t="s">
        <v>17</v>
      </c>
      <c r="R6" s="233" t="s">
        <v>18</v>
      </c>
      <c r="S6" s="232"/>
      <c r="T6" s="232"/>
      <c r="V6"/>
      <c r="W6"/>
    </row>
    <row r="7" spans="1:23">
      <c r="A7" t="s">
        <v>19</v>
      </c>
      <c r="B7" s="237">
        <v>82.460000000000008</v>
      </c>
      <c r="C7" s="265">
        <f t="shared" si="0"/>
        <v>38.7562</v>
      </c>
      <c r="D7" s="186"/>
      <c r="E7" t="s">
        <v>19</v>
      </c>
      <c r="F7" s="235">
        <f>'(60-5)'!P5</f>
        <v>0.3295488589451353</v>
      </c>
      <c r="G7" s="268">
        <f t="shared" si="1"/>
        <v>0.15488796370421359</v>
      </c>
      <c r="H7" s="234"/>
      <c r="I7" s="240">
        <f t="shared" si="4"/>
        <v>2.0069525509758739</v>
      </c>
      <c r="J7" s="238"/>
      <c r="K7" t="s">
        <v>19</v>
      </c>
      <c r="L7" s="236">
        <f t="shared" si="2"/>
        <v>82.789548858945139</v>
      </c>
      <c r="M7" s="236">
        <f t="shared" si="3"/>
        <v>38.911087963704212</v>
      </c>
      <c r="N7" s="236"/>
      <c r="O7" s="276">
        <f t="shared" si="5"/>
        <v>504.18835255097588</v>
      </c>
      <c r="Q7" t="s">
        <v>20</v>
      </c>
      <c r="R7">
        <v>424228</v>
      </c>
      <c r="V7"/>
      <c r="W7"/>
    </row>
    <row r="8" spans="1:23">
      <c r="A8" t="s">
        <v>21</v>
      </c>
      <c r="B8" s="237">
        <v>161.02000000000001</v>
      </c>
      <c r="C8" s="265">
        <f t="shared" si="0"/>
        <v>75.679400000000001</v>
      </c>
      <c r="D8" s="186"/>
      <c r="E8" t="s">
        <v>21</v>
      </c>
      <c r="F8" s="235">
        <f>'(60-6)'!P5</f>
        <v>0.3295488589451353</v>
      </c>
      <c r="G8" s="268">
        <f t="shared" si="1"/>
        <v>0.15488796370421359</v>
      </c>
      <c r="H8" s="234"/>
      <c r="I8" s="240">
        <f t="shared" si="4"/>
        <v>2.0069525509758739</v>
      </c>
      <c r="J8" s="238"/>
      <c r="K8" t="s">
        <v>21</v>
      </c>
      <c r="L8" s="236">
        <f t="shared" si="2"/>
        <v>161.34954885894516</v>
      </c>
      <c r="M8" s="236">
        <f t="shared" si="3"/>
        <v>75.834287963704213</v>
      </c>
      <c r="N8" s="236"/>
      <c r="O8" s="276">
        <f t="shared" si="5"/>
        <v>982.61875255097596</v>
      </c>
      <c r="Q8" t="s">
        <v>22</v>
      </c>
      <c r="R8">
        <v>142515</v>
      </c>
      <c r="V8"/>
      <c r="W8"/>
    </row>
    <row r="9" spans="1:23">
      <c r="A9" t="s">
        <v>23</v>
      </c>
      <c r="B9" s="237">
        <v>80.19</v>
      </c>
      <c r="C9" s="265">
        <f t="shared" si="0"/>
        <v>37.689299999999996</v>
      </c>
      <c r="D9" s="186"/>
      <c r="E9" t="s">
        <v>23</v>
      </c>
      <c r="F9" s="235">
        <f>'(61-7)'!P5</f>
        <v>2.5746418458655005</v>
      </c>
      <c r="G9" s="268">
        <f t="shared" si="1"/>
        <v>1.2100816675567851</v>
      </c>
      <c r="H9" s="234"/>
      <c r="I9" s="240">
        <f>$H$3*F9</f>
        <v>15.679568841320897</v>
      </c>
      <c r="J9" s="238"/>
      <c r="K9" t="s">
        <v>23</v>
      </c>
      <c r="L9" s="236">
        <f t="shared" si="2"/>
        <v>82.764641845865498</v>
      </c>
      <c r="M9" s="236">
        <f t="shared" si="3"/>
        <v>38.899381667556781</v>
      </c>
      <c r="N9" s="236"/>
      <c r="O9" s="276">
        <f t="shared" si="5"/>
        <v>504.03666884132087</v>
      </c>
      <c r="V9"/>
      <c r="W9"/>
    </row>
    <row r="10" spans="1:23">
      <c r="A10" t="s">
        <v>24</v>
      </c>
      <c r="B10" s="237">
        <v>173.19</v>
      </c>
      <c r="C10" s="265">
        <f t="shared" si="0"/>
        <v>81.399299999999997</v>
      </c>
      <c r="D10" s="186"/>
      <c r="E10" t="s">
        <v>24</v>
      </c>
      <c r="F10" s="235">
        <f>'(61-8)'!P5</f>
        <v>1.8223194143792043</v>
      </c>
      <c r="G10" s="268">
        <f t="shared" si="1"/>
        <v>0.85649012475822595</v>
      </c>
      <c r="H10" s="234"/>
      <c r="I10" s="240">
        <f t="shared" si="4"/>
        <v>11.097925233569354</v>
      </c>
      <c r="J10" s="238"/>
      <c r="K10" t="s">
        <v>24</v>
      </c>
      <c r="L10" s="236">
        <f t="shared" si="2"/>
        <v>175.01231941437919</v>
      </c>
      <c r="M10" s="236">
        <f t="shared" si="3"/>
        <v>82.255790124758221</v>
      </c>
      <c r="N10" s="236"/>
      <c r="O10" s="276">
        <f t="shared" si="5"/>
        <v>1065.8250252335692</v>
      </c>
      <c r="V10"/>
      <c r="W10"/>
    </row>
    <row r="11" spans="1:23">
      <c r="A11" t="s">
        <v>25</v>
      </c>
      <c r="B11" s="237">
        <v>136.24</v>
      </c>
      <c r="C11" s="265">
        <f t="shared" si="0"/>
        <v>64.032799999999995</v>
      </c>
      <c r="D11" s="186"/>
      <c r="E11" t="s">
        <v>25</v>
      </c>
      <c r="F11" s="235">
        <f>'(64-9)'!P5</f>
        <v>6.2566885371078094</v>
      </c>
      <c r="G11" s="268">
        <f t="shared" si="1"/>
        <v>2.9406436124406703</v>
      </c>
      <c r="H11" s="234"/>
      <c r="I11" s="240">
        <f t="shared" si="4"/>
        <v>38.103233190986558</v>
      </c>
      <c r="J11" s="238"/>
      <c r="K11" t="s">
        <v>25</v>
      </c>
      <c r="L11" s="236">
        <f t="shared" si="2"/>
        <v>142.49668853710781</v>
      </c>
      <c r="M11" s="236">
        <f t="shared" si="3"/>
        <v>66.973443612440676</v>
      </c>
      <c r="N11" s="236"/>
      <c r="O11" s="276">
        <f t="shared" si="5"/>
        <v>867.80483319098653</v>
      </c>
      <c r="V11"/>
      <c r="W11"/>
    </row>
    <row r="12" spans="1:23">
      <c r="A12" t="s">
        <v>26</v>
      </c>
      <c r="B12" s="237">
        <v>129.91</v>
      </c>
      <c r="C12" s="265">
        <f t="shared" si="0"/>
        <v>61.057699999999997</v>
      </c>
      <c r="D12" s="186"/>
      <c r="E12" t="s">
        <v>26</v>
      </c>
      <c r="F12" s="235">
        <f>'(64-10)'!P5</f>
        <v>0.78484521757353243</v>
      </c>
      <c r="G12" s="268">
        <f t="shared" si="1"/>
        <v>0.3688772522595602</v>
      </c>
      <c r="H12" s="234"/>
      <c r="I12" s="240">
        <f t="shared" si="4"/>
        <v>4.7797073750228121</v>
      </c>
      <c r="J12" s="238"/>
      <c r="K12" t="s">
        <v>26</v>
      </c>
      <c r="L12" s="236">
        <f>B12+F12</f>
        <v>130.69484521757352</v>
      </c>
      <c r="M12" s="236">
        <f t="shared" si="3"/>
        <v>61.426577252259548</v>
      </c>
      <c r="N12" s="236"/>
      <c r="O12" s="276">
        <f t="shared" si="5"/>
        <v>795.93160737502274</v>
      </c>
      <c r="V12"/>
      <c r="W12"/>
    </row>
    <row r="13" spans="1:23" s="186" customFormat="1">
      <c r="B13" s="244">
        <f>AVERAGE(B3:B12)</f>
        <v>134.36440000000002</v>
      </c>
      <c r="C13" s="282">
        <f>AVERAGE(C3:C12)</f>
        <v>63.151267999999995</v>
      </c>
      <c r="G13" s="269">
        <f>AVERAGE(G3:G12)</f>
        <v>1.2976582595128181</v>
      </c>
      <c r="H13" s="244" t="s">
        <v>27</v>
      </c>
      <c r="I13" s="273">
        <f>AVERAGE(I3:I12)</f>
        <v>16.814337873261834</v>
      </c>
      <c r="J13" s="273"/>
      <c r="L13" s="245">
        <f>AVERAGE(L3:L12)</f>
        <v>137.12537502024003</v>
      </c>
      <c r="M13" s="282">
        <f>AVERAGE(M3:M12)</f>
        <v>64.448926259512803</v>
      </c>
      <c r="N13" s="244" t="s">
        <v>27</v>
      </c>
      <c r="O13" s="281">
        <f>AVERAGE(O3:O12)</f>
        <v>835.09353387326178</v>
      </c>
    </row>
    <row r="14" spans="1:23" s="186" customFormat="1">
      <c r="B14" s="262"/>
      <c r="C14" s="291">
        <f>STDEV(C3:C12)/SQRT((10))</f>
        <v>5.8829142700726171</v>
      </c>
      <c r="G14" s="270">
        <f>STDEV(G3:G12)/SQRT(10)</f>
        <v>0.55958424805127882</v>
      </c>
      <c r="H14" s="284" t="s">
        <v>28</v>
      </c>
      <c r="I14" s="248">
        <f>STDEV(I3:I12)/SQRT(10)</f>
        <v>7.2507831290048674</v>
      </c>
      <c r="J14" s="248"/>
      <c r="L14" s="246"/>
      <c r="M14" s="237">
        <f>STDEV(M3:M12)/SQRT(10)</f>
        <v>5.6580762884722757</v>
      </c>
      <c r="N14" s="247" t="s">
        <v>29</v>
      </c>
      <c r="O14" s="277">
        <f>STDEV(O3:O12)/SQRT(10)</f>
        <v>73.314222546374722</v>
      </c>
    </row>
    <row r="15" spans="1:23" s="186" customFormat="1">
      <c r="A15" s="243" t="s">
        <v>30</v>
      </c>
      <c r="E15" s="243" t="s">
        <v>31</v>
      </c>
      <c r="K15" s="243" t="s">
        <v>31</v>
      </c>
      <c r="L15" s="237"/>
      <c r="M15" s="237"/>
      <c r="N15" s="237"/>
      <c r="O15" s="278"/>
    </row>
    <row r="16" spans="1:23">
      <c r="A16" t="s">
        <v>32</v>
      </c>
      <c r="B16" s="237">
        <v>35.68</v>
      </c>
      <c r="C16" s="265">
        <f t="shared" si="0"/>
        <v>16.769600000000001</v>
      </c>
      <c r="D16" s="237"/>
      <c r="E16" t="s">
        <v>32</v>
      </c>
      <c r="F16" s="235">
        <f>'Yoma UF(13-1)'!P5</f>
        <v>4.6851707614454732</v>
      </c>
      <c r="G16" s="268">
        <f t="shared" si="1"/>
        <v>2.2020302578793722</v>
      </c>
      <c r="H16" s="240">
        <v>6.09</v>
      </c>
      <c r="I16" s="240">
        <f>$H$16*F16</f>
        <v>28.532689937202932</v>
      </c>
      <c r="J16" s="238"/>
      <c r="K16" t="s">
        <v>32</v>
      </c>
      <c r="L16" s="236">
        <f>B16+F16</f>
        <v>40.365170761445469</v>
      </c>
      <c r="M16" s="236">
        <f t="shared" si="3"/>
        <v>18.971630257879369</v>
      </c>
      <c r="N16" s="236"/>
      <c r="O16" s="276">
        <f>$N$3*L16</f>
        <v>245.82388993720289</v>
      </c>
      <c r="V16"/>
      <c r="W16"/>
    </row>
    <row r="17" spans="1:23">
      <c r="A17" t="s">
        <v>33</v>
      </c>
      <c r="B17" s="237">
        <v>25.03</v>
      </c>
      <c r="C17" s="265">
        <f t="shared" si="0"/>
        <v>11.764099999999999</v>
      </c>
      <c r="D17" s="186"/>
      <c r="E17" t="s">
        <v>33</v>
      </c>
      <c r="F17" s="235">
        <f>'Yoma UF(13-2)'!P5</f>
        <v>8.2487523764325079</v>
      </c>
      <c r="G17" s="268">
        <f t="shared" si="1"/>
        <v>3.8769136169232783</v>
      </c>
      <c r="H17" s="234"/>
      <c r="I17" s="240">
        <f>$H$16*F17</f>
        <v>50.23490197247397</v>
      </c>
      <c r="J17" s="238"/>
      <c r="K17" t="s">
        <v>33</v>
      </c>
      <c r="L17" s="236">
        <f t="shared" ref="L17:L19" si="6">B17+F17</f>
        <v>33.278752376432507</v>
      </c>
      <c r="M17" s="236">
        <f t="shared" si="3"/>
        <v>15.641013616923278</v>
      </c>
      <c r="N17" s="236"/>
      <c r="O17" s="276">
        <f>$N$3*L17</f>
        <v>202.66760197247396</v>
      </c>
      <c r="V17"/>
      <c r="W17"/>
    </row>
    <row r="18" spans="1:23">
      <c r="A18" t="s">
        <v>34</v>
      </c>
      <c r="B18" s="237">
        <v>32.58</v>
      </c>
      <c r="C18" s="265">
        <f t="shared" si="0"/>
        <v>15.312599999999998</v>
      </c>
      <c r="D18" s="186"/>
      <c r="E18" t="s">
        <v>34</v>
      </c>
      <c r="F18" s="235">
        <f>'Yoma UF(13-3)'!Q5</f>
        <v>6.147126471247808</v>
      </c>
      <c r="G18" s="268">
        <f t="shared" si="1"/>
        <v>2.8891494414864698</v>
      </c>
      <c r="H18" s="234"/>
      <c r="I18" s="240">
        <f>$H$16*F18</f>
        <v>37.436000209899149</v>
      </c>
      <c r="J18" s="238"/>
      <c r="K18" t="s">
        <v>34</v>
      </c>
      <c r="L18" s="236">
        <f t="shared" si="6"/>
        <v>38.727126471247807</v>
      </c>
      <c r="M18" s="236">
        <f t="shared" si="3"/>
        <v>18.20174944148647</v>
      </c>
      <c r="N18" s="236"/>
      <c r="O18" s="276">
        <f>$N$3*L18</f>
        <v>235.84820020989915</v>
      </c>
      <c r="V18"/>
      <c r="W18"/>
    </row>
    <row r="19" spans="1:23">
      <c r="A19" t="s">
        <v>35</v>
      </c>
      <c r="B19" s="237">
        <v>46.9</v>
      </c>
      <c r="C19" s="265">
        <f t="shared" si="0"/>
        <v>22.042999999999999</v>
      </c>
      <c r="D19" s="186"/>
      <c r="E19" t="s">
        <v>35</v>
      </c>
      <c r="F19" s="235">
        <f>'Yoma UF(13-4)'!P5</f>
        <v>2.7132708175751428</v>
      </c>
      <c r="G19" s="268">
        <f t="shared" si="1"/>
        <v>1.275237284260317</v>
      </c>
      <c r="H19" s="234"/>
      <c r="I19" s="240">
        <f>$H$16*F19</f>
        <v>16.523819279032619</v>
      </c>
      <c r="J19" s="238"/>
      <c r="K19" t="s">
        <v>35</v>
      </c>
      <c r="L19" s="236">
        <f t="shared" si="6"/>
        <v>49.613270817575142</v>
      </c>
      <c r="M19" s="236">
        <f t="shared" si="3"/>
        <v>23.318237284260316</v>
      </c>
      <c r="N19" s="236"/>
      <c r="O19" s="276">
        <f>$N$3*L19</f>
        <v>302.14481927903262</v>
      </c>
      <c r="V19"/>
      <c r="W19"/>
    </row>
    <row r="20" spans="1:23" s="186" customFormat="1">
      <c r="B20" s="237">
        <f>AVERAGE(B16:B19)</f>
        <v>35.047499999999999</v>
      </c>
      <c r="C20" s="282">
        <f>AVERAGE(C16:C19)</f>
        <v>16.472324999999998</v>
      </c>
      <c r="G20" s="269">
        <f>AVERAGE(G16:G19)</f>
        <v>2.5608326501373595</v>
      </c>
      <c r="H20" s="244" t="s">
        <v>27</v>
      </c>
      <c r="I20" s="273">
        <f>AVERAGE(I16:I19)</f>
        <v>33.181852849652167</v>
      </c>
      <c r="J20" s="273"/>
      <c r="L20" s="245">
        <f>AVERAGE(L16:L19)</f>
        <v>40.49608010667523</v>
      </c>
      <c r="M20" s="282">
        <f>AVERAGE(M16:M19)</f>
        <v>19.033157650137358</v>
      </c>
      <c r="N20" s="244" t="s">
        <v>36</v>
      </c>
      <c r="O20" s="281">
        <f>AVERAGE(O16:O19)</f>
        <v>246.62112784965214</v>
      </c>
    </row>
    <row r="21" spans="1:23" s="186" customFormat="1">
      <c r="B21" s="237"/>
      <c r="C21" s="291">
        <f>STDEV(C16:C19)/SQRT((4))</f>
        <v>2.1337200907394158</v>
      </c>
      <c r="G21" s="270">
        <f>STDEV(G16:G19)/SQRT(4)</f>
        <v>0.54934473299805942</v>
      </c>
      <c r="H21" s="284" t="s">
        <v>28</v>
      </c>
      <c r="I21" s="248">
        <f>STDEV(I16:I19)/SQRT(4)</f>
        <v>7.1181051573578387</v>
      </c>
      <c r="J21" s="248"/>
      <c r="L21" s="237"/>
      <c r="M21" s="237">
        <f>STDEV(M16:M19)/SQRT(4)</f>
        <v>1.5959212032098014</v>
      </c>
      <c r="N21" s="247" t="s">
        <v>29</v>
      </c>
      <c r="O21" s="277">
        <f>STDEV(O16:O19)/SQRT(4)</f>
        <v>20.679064101165363</v>
      </c>
    </row>
    <row r="22" spans="1:23" s="186" customFormat="1">
      <c r="A22" s="226" t="s">
        <v>37</v>
      </c>
      <c r="B22" s="237"/>
      <c r="C22" s="266"/>
      <c r="E22" s="226" t="s">
        <v>37</v>
      </c>
      <c r="K22" s="226" t="s">
        <v>37</v>
      </c>
      <c r="L22" s="237"/>
      <c r="M22" s="237"/>
      <c r="N22" s="275"/>
      <c r="O22" s="278"/>
    </row>
    <row r="23" spans="1:23">
      <c r="A23" t="s">
        <v>38</v>
      </c>
      <c r="B23" s="237">
        <v>84.9</v>
      </c>
      <c r="C23" s="265">
        <f t="shared" si="0"/>
        <v>39.902999999999999</v>
      </c>
      <c r="D23" s="237"/>
      <c r="E23" t="s">
        <v>38</v>
      </c>
      <c r="F23" s="235">
        <f>'Kyaukmasin(18-1)'!O5</f>
        <v>0</v>
      </c>
      <c r="G23" s="268">
        <v>0</v>
      </c>
      <c r="H23" s="240">
        <v>6.09</v>
      </c>
      <c r="I23" s="240">
        <f>$H$23*F23</f>
        <v>0</v>
      </c>
      <c r="J23" s="238"/>
      <c r="K23" t="s">
        <v>38</v>
      </c>
      <c r="L23" s="236">
        <f>B23+F23</f>
        <v>84.9</v>
      </c>
      <c r="M23" s="236">
        <f t="shared" si="3"/>
        <v>39.902999999999999</v>
      </c>
      <c r="N23" s="236"/>
      <c r="O23" s="276">
        <f>$N$3*L23</f>
        <v>517.04100000000005</v>
      </c>
      <c r="V23"/>
      <c r="W23"/>
    </row>
    <row r="24" spans="1:23">
      <c r="A24" t="s">
        <v>39</v>
      </c>
      <c r="B24" s="237">
        <v>63.17</v>
      </c>
      <c r="C24" s="265">
        <f t="shared" si="0"/>
        <v>29.689899999999998</v>
      </c>
      <c r="D24" s="186"/>
      <c r="E24" t="s">
        <v>39</v>
      </c>
      <c r="F24" s="235">
        <f>'Kyaukmasin(19-2)'!P5</f>
        <v>10.761666146242055</v>
      </c>
      <c r="G24" s="268">
        <f t="shared" si="1"/>
        <v>5.0579830887337653</v>
      </c>
      <c r="H24" s="234"/>
      <c r="I24" s="240">
        <f>$H$23*F24</f>
        <v>65.538546830614109</v>
      </c>
      <c r="J24" s="238"/>
      <c r="K24" t="s">
        <v>39</v>
      </c>
      <c r="L24" s="236">
        <f t="shared" ref="L24:L27" si="7">B24+F24</f>
        <v>73.931666146242051</v>
      </c>
      <c r="M24" s="236">
        <f t="shared" si="3"/>
        <v>34.747883088733765</v>
      </c>
      <c r="N24" s="236"/>
      <c r="O24" s="276">
        <f>$N$3*L24</f>
        <v>450.24384683061407</v>
      </c>
      <c r="V24"/>
      <c r="W24"/>
    </row>
    <row r="25" spans="1:23">
      <c r="A25" t="s">
        <v>40</v>
      </c>
      <c r="B25" s="237">
        <v>116.97999999999999</v>
      </c>
      <c r="C25" s="265">
        <f t="shared" si="0"/>
        <v>54.980599999999995</v>
      </c>
      <c r="D25" s="186"/>
      <c r="E25" t="s">
        <v>40</v>
      </c>
      <c r="F25" s="235">
        <f>'Kyaukmasin(20-3)'!P5</f>
        <v>0.56206312624848753</v>
      </c>
      <c r="G25" s="268">
        <f t="shared" si="1"/>
        <v>0.26416966933678915</v>
      </c>
      <c r="H25" s="234"/>
      <c r="I25" s="240">
        <f>$H$23*F25</f>
        <v>3.4229644388532892</v>
      </c>
      <c r="J25" s="238"/>
      <c r="K25" t="s">
        <v>40</v>
      </c>
      <c r="L25" s="236">
        <f t="shared" si="7"/>
        <v>117.54206312624848</v>
      </c>
      <c r="M25" s="236">
        <f t="shared" si="3"/>
        <v>55.244769669336783</v>
      </c>
      <c r="N25" s="236"/>
      <c r="O25" s="276">
        <f>$N$3*L25</f>
        <v>715.83116443885319</v>
      </c>
      <c r="Q25" t="s">
        <v>41</v>
      </c>
      <c r="V25"/>
      <c r="W25"/>
    </row>
    <row r="26" spans="1:23">
      <c r="A26" t="s">
        <v>42</v>
      </c>
      <c r="B26" s="237">
        <v>126.46</v>
      </c>
      <c r="C26" s="265">
        <f t="shared" si="0"/>
        <v>59.436199999999992</v>
      </c>
      <c r="D26" s="186"/>
      <c r="E26" t="s">
        <v>42</v>
      </c>
      <c r="F26" s="235">
        <f>'Kyaukmasin(14-4)'!P5</f>
        <v>0.82895594949556839</v>
      </c>
      <c r="G26" s="268">
        <f t="shared" si="1"/>
        <v>0.38960929626291713</v>
      </c>
      <c r="H26" s="234"/>
      <c r="I26" s="240">
        <f>$H$23*F26</f>
        <v>5.0483417324280113</v>
      </c>
      <c r="J26" s="238"/>
      <c r="K26" t="s">
        <v>42</v>
      </c>
      <c r="L26" s="236">
        <f t="shared" si="7"/>
        <v>127.28895594949556</v>
      </c>
      <c r="M26" s="236">
        <f t="shared" si="3"/>
        <v>59.825809296262911</v>
      </c>
      <c r="N26" s="236"/>
      <c r="O26" s="276">
        <f>$N$3*L26</f>
        <v>775.18974173242793</v>
      </c>
      <c r="V26"/>
      <c r="W26"/>
    </row>
    <row r="27" spans="1:23">
      <c r="A27" t="s">
        <v>43</v>
      </c>
      <c r="B27" s="237">
        <v>99.042999999999992</v>
      </c>
      <c r="C27" s="265">
        <f t="shared" si="0"/>
        <v>46.550209999999993</v>
      </c>
      <c r="D27" s="186"/>
      <c r="E27" t="s">
        <v>43</v>
      </c>
      <c r="F27" s="235">
        <f>'Kyaukmasin(12-5)'!P5</f>
        <v>0.5859367472288205</v>
      </c>
      <c r="G27" s="268">
        <f t="shared" si="1"/>
        <v>0.27539027119754561</v>
      </c>
      <c r="H27" s="234"/>
      <c r="I27" s="240">
        <f>$H$23*F27</f>
        <v>3.5683547906235167</v>
      </c>
      <c r="J27" s="238"/>
      <c r="K27" t="s">
        <v>43</v>
      </c>
      <c r="L27" s="236">
        <f t="shared" si="7"/>
        <v>99.628936747228806</v>
      </c>
      <c r="M27" s="236">
        <f t="shared" si="3"/>
        <v>46.825600271197537</v>
      </c>
      <c r="N27" s="236"/>
      <c r="O27" s="276">
        <f>$N$3*L27</f>
        <v>606.74022479062342</v>
      </c>
      <c r="V27"/>
      <c r="W27"/>
    </row>
    <row r="28" spans="1:23" s="186" customFormat="1">
      <c r="B28" s="244">
        <f>AVERAGE(B23:B27)</f>
        <v>98.110599999999991</v>
      </c>
      <c r="C28" s="282">
        <f>AVERAGE(C23:C27)</f>
        <v>46.111981999999998</v>
      </c>
      <c r="G28" s="271">
        <f>AVERAGE(G23:G27)</f>
        <v>1.1974304651062035</v>
      </c>
      <c r="H28" s="244" t="s">
        <v>27</v>
      </c>
      <c r="I28" s="273">
        <f>AVERAGE(I23:I27)</f>
        <v>15.515641558503784</v>
      </c>
      <c r="J28" s="273"/>
      <c r="L28" s="245">
        <f>AVERAGE(L23:L27)</f>
        <v>100.65832439384299</v>
      </c>
      <c r="M28" s="282">
        <f>AVERAGE(M23:M27)</f>
        <v>47.309412465106206</v>
      </c>
      <c r="N28" s="244" t="s">
        <v>36</v>
      </c>
      <c r="O28" s="281">
        <f>AVERAGE(O23:O27)</f>
        <v>613.00919555850373</v>
      </c>
      <c r="P28" s="242"/>
    </row>
    <row r="29" spans="1:23" s="186" customFormat="1">
      <c r="B29" s="262"/>
      <c r="C29" s="291">
        <f>STDEV(C23:C27)/SQRT((5))</f>
        <v>5.3132638227951707</v>
      </c>
      <c r="G29" s="272">
        <f>STDEV(G23:G27)/SQRT(5)</f>
        <v>0.96724906698059732</v>
      </c>
      <c r="H29" s="284" t="s">
        <v>28</v>
      </c>
      <c r="I29" s="240">
        <f>STDEV(I23:I27)/SQRT(5)</f>
        <v>12.533078335982633</v>
      </c>
      <c r="J29" s="238"/>
      <c r="M29" s="237">
        <f>STDEV(M23:M27)/SQRT(5)</f>
        <v>4.6503286104825223</v>
      </c>
      <c r="N29" s="247" t="s">
        <v>29</v>
      </c>
      <c r="O29" s="278">
        <f>STDEV(O23:O27)/SQRT(5)</f>
        <v>60.256385612422413</v>
      </c>
      <c r="P29" s="242"/>
    </row>
    <row r="30" spans="1:23">
      <c r="B30" s="101"/>
      <c r="C30" s="101"/>
      <c r="G30" s="186"/>
      <c r="J30" s="186"/>
      <c r="O30" s="106"/>
    </row>
    <row r="31" spans="1:23">
      <c r="A31" s="101"/>
      <c r="C31" s="263"/>
      <c r="D31" s="228"/>
      <c r="E31" s="228"/>
      <c r="F31" s="228"/>
      <c r="H31" s="228"/>
      <c r="O31" s="279"/>
      <c r="U31" s="231"/>
      <c r="V31" s="228"/>
    </row>
    <row r="32" spans="1:23">
      <c r="C32" s="264"/>
      <c r="E32" s="101"/>
      <c r="F32" s="101"/>
      <c r="G32" s="228"/>
      <c r="O32" s="279"/>
      <c r="U32" s="101"/>
    </row>
    <row r="33" spans="1:23">
      <c r="A33" s="250" t="s">
        <v>44</v>
      </c>
      <c r="B33" s="250"/>
      <c r="C33" s="264"/>
      <c r="E33" s="101"/>
      <c r="F33" s="101"/>
      <c r="G33" s="250" t="s">
        <v>45</v>
      </c>
      <c r="H33" s="250"/>
      <c r="I33" s="264"/>
      <c r="J33" s="264"/>
      <c r="M33" s="250" t="s">
        <v>45</v>
      </c>
      <c r="O33" s="279"/>
      <c r="S33" s="250" t="s">
        <v>46</v>
      </c>
      <c r="U33" s="279"/>
    </row>
    <row r="34" spans="1:23" ht="30.75" customHeight="1">
      <c r="A34" s="249"/>
      <c r="B34" s="231" t="s">
        <v>9</v>
      </c>
      <c r="C34" s="267" t="s">
        <v>47</v>
      </c>
      <c r="D34" s="101"/>
      <c r="E34" s="101"/>
      <c r="F34" s="101"/>
      <c r="G34" s="249"/>
      <c r="H34" s="231" t="s">
        <v>9</v>
      </c>
      <c r="I34" s="267" t="s">
        <v>47</v>
      </c>
      <c r="J34" s="267"/>
      <c r="L34" s="249"/>
      <c r="M34" s="249"/>
      <c r="N34" s="274" t="s">
        <v>48</v>
      </c>
      <c r="O34" s="280" t="s">
        <v>47</v>
      </c>
      <c r="S34" s="249"/>
      <c r="T34" s="283" t="s">
        <v>49</v>
      </c>
      <c r="U34" s="280" t="s">
        <v>47</v>
      </c>
      <c r="V34" s="106"/>
    </row>
    <row r="35" spans="1:23" ht="30">
      <c r="A35" s="251" t="s">
        <v>50</v>
      </c>
      <c r="B35" s="101">
        <f>C13</f>
        <v>63.151267999999995</v>
      </c>
      <c r="C35" s="101">
        <f>C14</f>
        <v>5.8829142700726171</v>
      </c>
      <c r="F35" s="101"/>
      <c r="G35" s="251" t="s">
        <v>50</v>
      </c>
      <c r="H35" s="101">
        <f>G13</f>
        <v>1.2976582595128181</v>
      </c>
      <c r="I35" s="101">
        <f>G14</f>
        <v>0.55958424805127882</v>
      </c>
      <c r="J35" s="101"/>
      <c r="M35" s="251" t="s">
        <v>785</v>
      </c>
      <c r="N35" s="261">
        <f>I13</f>
        <v>16.814337873261834</v>
      </c>
      <c r="O35" s="279">
        <f>I14</f>
        <v>7.2507831290048674</v>
      </c>
      <c r="S35" s="251" t="s">
        <v>785</v>
      </c>
      <c r="T35" s="206">
        <f>O13</f>
        <v>835.09353387326178</v>
      </c>
      <c r="U35" s="279">
        <f>O14</f>
        <v>73.314222546374722</v>
      </c>
      <c r="V35" s="106"/>
    </row>
    <row r="36" spans="1:23" ht="30">
      <c r="A36" s="251" t="s">
        <v>51</v>
      </c>
      <c r="B36" s="101">
        <f>C20</f>
        <v>16.472324999999998</v>
      </c>
      <c r="C36" s="101">
        <f>C21</f>
        <v>2.1337200907394158</v>
      </c>
      <c r="G36" s="251" t="s">
        <v>51</v>
      </c>
      <c r="H36" s="101">
        <f>G20</f>
        <v>2.5608326501373595</v>
      </c>
      <c r="I36" s="101">
        <f>G21</f>
        <v>0.54934473299805942</v>
      </c>
      <c r="J36" s="101"/>
      <c r="M36" s="251" t="s">
        <v>349</v>
      </c>
      <c r="N36" s="261">
        <f>I20</f>
        <v>33.181852849652167</v>
      </c>
      <c r="O36" s="279">
        <f>I21</f>
        <v>7.1181051573578387</v>
      </c>
      <c r="S36" s="251" t="s">
        <v>349</v>
      </c>
      <c r="T36" s="206">
        <f>O20</f>
        <v>246.62112784965214</v>
      </c>
      <c r="U36" s="279">
        <f>O21</f>
        <v>20.679064101165363</v>
      </c>
      <c r="V36" s="106"/>
    </row>
    <row r="37" spans="1:23" ht="45">
      <c r="A37" s="251" t="s">
        <v>37</v>
      </c>
      <c r="B37" s="101">
        <f>C28</f>
        <v>46.111981999999998</v>
      </c>
      <c r="C37" s="101">
        <f>C29</f>
        <v>5.3132638227951707</v>
      </c>
      <c r="G37" s="251" t="s">
        <v>37</v>
      </c>
      <c r="H37" s="101">
        <f>G28</f>
        <v>1.1974304651062035</v>
      </c>
      <c r="I37" s="101">
        <f>G29</f>
        <v>0.96724906698059732</v>
      </c>
      <c r="J37" s="101"/>
      <c r="M37" s="251" t="s">
        <v>808</v>
      </c>
      <c r="N37" s="261">
        <f>I28</f>
        <v>15.515641558503784</v>
      </c>
      <c r="O37" s="279">
        <f>I29</f>
        <v>12.533078335982633</v>
      </c>
      <c r="S37" s="251" t="s">
        <v>784</v>
      </c>
      <c r="T37" s="206">
        <f>O28</f>
        <v>613.00919555850373</v>
      </c>
      <c r="U37" s="279">
        <f>O29</f>
        <v>60.256385612422413</v>
      </c>
      <c r="V37" s="106"/>
      <c r="W37" s="251" t="s">
        <v>783</v>
      </c>
    </row>
    <row r="41" spans="1:23">
      <c r="A41" s="163"/>
      <c r="K41" s="163"/>
    </row>
    <row r="42" spans="1:23">
      <c r="A42" s="163" t="s">
        <v>52</v>
      </c>
      <c r="G42" s="163" t="s">
        <v>52</v>
      </c>
      <c r="I42" s="239"/>
      <c r="J42" s="239"/>
      <c r="K42" s="239"/>
      <c r="L42" s="239"/>
      <c r="M42" s="163" t="s">
        <v>52</v>
      </c>
      <c r="N42" s="239"/>
      <c r="O42" s="239"/>
      <c r="P42" s="239"/>
      <c r="Q42" s="163" t="s">
        <v>53</v>
      </c>
      <c r="T42" s="239"/>
      <c r="U42" s="186"/>
    </row>
    <row r="43" spans="1:23">
      <c r="I43" s="186"/>
      <c r="J43" s="186"/>
      <c r="K43" s="186"/>
      <c r="L43" s="186"/>
      <c r="M43" s="186"/>
      <c r="N43" s="186"/>
      <c r="O43" s="186"/>
      <c r="P43" s="186"/>
      <c r="Q43" s="186"/>
      <c r="R43" s="186"/>
      <c r="S43" s="186"/>
      <c r="T43" s="186"/>
      <c r="U43" s="186"/>
    </row>
    <row r="44" spans="1:23">
      <c r="I44" s="186"/>
      <c r="J44" s="186"/>
      <c r="K44" s="186"/>
      <c r="L44" s="186"/>
      <c r="M44" s="186"/>
      <c r="N44" s="186"/>
      <c r="O44" s="186"/>
      <c r="P44" s="186"/>
      <c r="Q44" s="186"/>
      <c r="R44" s="186"/>
      <c r="S44" s="186"/>
      <c r="T44" s="186"/>
      <c r="U44" s="186"/>
    </row>
    <row r="56" spans="24:24">
      <c r="X56" s="163"/>
    </row>
    <row r="58" spans="24:24">
      <c r="X58" s="163"/>
    </row>
    <row r="71" spans="2:14">
      <c r="H71" s="163"/>
    </row>
    <row r="74" spans="2:14">
      <c r="B74" s="163" t="s">
        <v>53</v>
      </c>
    </row>
    <row r="76" spans="2:14">
      <c r="H76" s="250" t="s">
        <v>46</v>
      </c>
      <c r="K76" s="279"/>
    </row>
    <row r="77" spans="2:14">
      <c r="H77" s="249"/>
      <c r="I77" s="283" t="s">
        <v>54</v>
      </c>
      <c r="J77" s="280" t="s">
        <v>47</v>
      </c>
      <c r="K77" s="257"/>
    </row>
    <row r="78" spans="2:14">
      <c r="H78" s="251" t="s">
        <v>50</v>
      </c>
      <c r="I78" s="261">
        <f>M13</f>
        <v>64.448926259512803</v>
      </c>
      <c r="J78" s="279">
        <f>M14</f>
        <v>5.6580762884722757</v>
      </c>
      <c r="K78" s="253"/>
      <c r="L78" s="111" t="s">
        <v>776</v>
      </c>
      <c r="M78" t="s">
        <v>759</v>
      </c>
      <c r="N78" t="s">
        <v>777</v>
      </c>
    </row>
    <row r="79" spans="2:14">
      <c r="H79" s="251" t="s">
        <v>349</v>
      </c>
      <c r="I79" s="261">
        <f>M20</f>
        <v>19.033157650137358</v>
      </c>
      <c r="J79" s="279">
        <f>M21</f>
        <v>1.5959212032098014</v>
      </c>
      <c r="K79" s="186"/>
      <c r="L79" s="206">
        <v>433.66032595623051</v>
      </c>
      <c r="M79" t="s">
        <v>773</v>
      </c>
      <c r="N79">
        <f>LN(L79)</f>
        <v>6.0722615685758541</v>
      </c>
    </row>
    <row r="80" spans="2:14">
      <c r="H80" s="251" t="s">
        <v>805</v>
      </c>
      <c r="I80" s="261">
        <f>M28</f>
        <v>47.309412465106206</v>
      </c>
      <c r="J80" s="279">
        <f>M29</f>
        <v>4.6503286104825223</v>
      </c>
      <c r="K80" s="186"/>
      <c r="L80" s="206">
        <v>892.45551796646885</v>
      </c>
      <c r="M80" t="s">
        <v>773</v>
      </c>
      <c r="N80">
        <f t="shared" ref="N80:N97" si="8">LN(L80)</f>
        <v>6.7939766725982693</v>
      </c>
    </row>
    <row r="81" spans="11:14">
      <c r="K81" s="186"/>
      <c r="L81" s="206">
        <v>674.20452613082307</v>
      </c>
      <c r="M81" t="s">
        <v>773</v>
      </c>
      <c r="N81">
        <f t="shared" si="8"/>
        <v>6.513533516112969</v>
      </c>
    </row>
    <row r="82" spans="11:14">
      <c r="K82" s="186"/>
      <c r="L82" s="206">
        <v>765.11299999999994</v>
      </c>
      <c r="M82" t="s">
        <v>773</v>
      </c>
      <c r="N82">
        <f t="shared" si="8"/>
        <v>6.6400235353364314</v>
      </c>
    </row>
    <row r="83" spans="11:14">
      <c r="K83" s="186"/>
      <c r="L83" s="206">
        <v>388.33643981852106</v>
      </c>
      <c r="M83" t="s">
        <v>773</v>
      </c>
      <c r="N83">
        <f t="shared" si="8"/>
        <v>5.9618720768323676</v>
      </c>
    </row>
    <row r="84" spans="11:14">
      <c r="K84" s="186"/>
      <c r="L84" s="206">
        <v>757.56843981852103</v>
      </c>
      <c r="M84" t="s">
        <v>773</v>
      </c>
      <c r="N84">
        <f t="shared" si="8"/>
        <v>6.6301138828976525</v>
      </c>
    </row>
    <row r="85" spans="11:14">
      <c r="K85" s="186"/>
      <c r="L85" s="206">
        <v>382.94340833778386</v>
      </c>
      <c r="M85" t="s">
        <v>773</v>
      </c>
      <c r="N85">
        <f t="shared" si="8"/>
        <v>5.9478872193540422</v>
      </c>
    </row>
    <row r="86" spans="11:14">
      <c r="K86" s="186"/>
      <c r="L86" s="206">
        <v>818.27545062379113</v>
      </c>
      <c r="M86" t="s">
        <v>773</v>
      </c>
      <c r="N86">
        <f t="shared" si="8"/>
        <v>6.7071990166235684</v>
      </c>
    </row>
    <row r="87" spans="11:14">
      <c r="K87" s="186"/>
      <c r="L87" s="206">
        <v>655.03121806220338</v>
      </c>
      <c r="M87" t="s">
        <v>773</v>
      </c>
      <c r="N87">
        <f t="shared" si="8"/>
        <v>6.4846828956631644</v>
      </c>
    </row>
    <row r="88" spans="11:14">
      <c r="K88" s="186"/>
      <c r="L88" s="206">
        <v>612.42138626129781</v>
      </c>
      <c r="M88" t="s">
        <v>773</v>
      </c>
      <c r="N88">
        <f t="shared" si="8"/>
        <v>6.4174205852203032</v>
      </c>
    </row>
    <row r="89" spans="11:14">
      <c r="K89" s="244"/>
      <c r="L89" s="206">
        <v>178.70615128939687</v>
      </c>
      <c r="M89" t="s">
        <v>774</v>
      </c>
      <c r="N89">
        <f t="shared" si="8"/>
        <v>5.185742844009412</v>
      </c>
    </row>
    <row r="90" spans="11:14">
      <c r="K90" s="247"/>
      <c r="L90" s="206">
        <v>137.02556808461637</v>
      </c>
      <c r="M90" t="s">
        <v>774</v>
      </c>
      <c r="N90">
        <f t="shared" si="8"/>
        <v>4.9201675367700837</v>
      </c>
    </row>
    <row r="91" spans="11:14">
      <c r="K91" s="186"/>
      <c r="L91" s="206">
        <v>167.57174720743234</v>
      </c>
      <c r="M91" t="s">
        <v>774</v>
      </c>
      <c r="N91">
        <f t="shared" si="8"/>
        <v>5.1214116010899833</v>
      </c>
    </row>
    <row r="92" spans="11:14">
      <c r="K92" s="186"/>
      <c r="L92" s="206">
        <v>226.80618642130156</v>
      </c>
      <c r="M92" t="s">
        <v>774</v>
      </c>
      <c r="N92">
        <f t="shared" si="8"/>
        <v>5.4240958484714525</v>
      </c>
    </row>
    <row r="93" spans="11:14">
      <c r="K93" s="186"/>
      <c r="L93" s="206">
        <v>399.03</v>
      </c>
      <c r="M93" t="s">
        <v>775</v>
      </c>
      <c r="N93">
        <f t="shared" si="8"/>
        <v>5.9890366020333143</v>
      </c>
    </row>
    <row r="94" spans="11:14">
      <c r="K94" s="186"/>
      <c r="L94" s="206">
        <v>322.1889154436688</v>
      </c>
      <c r="M94" t="s">
        <v>775</v>
      </c>
      <c r="N94">
        <f t="shared" si="8"/>
        <v>5.7751380674312509</v>
      </c>
    </row>
    <row r="95" spans="11:14">
      <c r="K95" s="186"/>
      <c r="L95" s="206">
        <v>551.12684834668391</v>
      </c>
      <c r="M95" t="s">
        <v>775</v>
      </c>
      <c r="N95">
        <f t="shared" si="8"/>
        <v>6.3119649974428276</v>
      </c>
    </row>
    <row r="96" spans="11:14">
      <c r="K96" s="244"/>
      <c r="L96" s="206">
        <v>596.31004648131443</v>
      </c>
      <c r="M96" t="s">
        <v>775</v>
      </c>
      <c r="N96">
        <f t="shared" si="8"/>
        <v>6.390760744018853</v>
      </c>
    </row>
    <row r="97" spans="11:14">
      <c r="K97" s="247"/>
      <c r="L97" s="206">
        <v>466.87905135598766</v>
      </c>
      <c r="M97" t="s">
        <v>775</v>
      </c>
      <c r="N97">
        <f t="shared" si="8"/>
        <v>6.146070233452618</v>
      </c>
    </row>
    <row r="98" spans="11:14">
      <c r="K98" s="186"/>
    </row>
    <row r="104" spans="11:14">
      <c r="K104" s="244"/>
      <c r="L104" s="323"/>
    </row>
    <row r="105" spans="11:14">
      <c r="K105" s="247"/>
      <c r="L105" s="322"/>
    </row>
    <row r="122" spans="2:9">
      <c r="I122" t="s">
        <v>807</v>
      </c>
    </row>
    <row r="123" spans="2:9">
      <c r="B123" t="s">
        <v>806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G6" sqref="G6:G8"/>
    </sheetView>
  </sheetViews>
  <sheetFormatPr defaultRowHeight="15"/>
  <cols>
    <col min="1" max="1" width="27.42578125" bestFit="1" customWidth="1"/>
    <col min="2" max="2" width="25.7109375" bestFit="1" customWidth="1"/>
    <col min="5" max="5" width="14" bestFit="1" customWidth="1"/>
    <col min="6" max="6" width="14.7109375" bestFit="1" customWidth="1"/>
    <col min="7" max="7" width="13" bestFit="1" customWidth="1"/>
  </cols>
  <sheetData>
    <row r="1" spans="1:8">
      <c r="A1" s="163" t="s">
        <v>55</v>
      </c>
    </row>
    <row r="3" spans="1:8">
      <c r="A3" t="s">
        <v>56</v>
      </c>
      <c r="B3" t="s">
        <v>57</v>
      </c>
    </row>
    <row r="4" spans="1:8">
      <c r="A4">
        <v>1048289.72</v>
      </c>
      <c r="B4">
        <v>352162.28</v>
      </c>
    </row>
    <row r="5" spans="1:8">
      <c r="E5" t="s">
        <v>58</v>
      </c>
      <c r="F5" t="s">
        <v>59</v>
      </c>
      <c r="G5" s="229" t="s">
        <v>60</v>
      </c>
      <c r="H5" s="163" t="s">
        <v>61</v>
      </c>
    </row>
    <row r="6" spans="1:8">
      <c r="A6" t="s">
        <v>62</v>
      </c>
      <c r="B6">
        <v>191083.59</v>
      </c>
      <c r="C6" t="s">
        <v>63</v>
      </c>
      <c r="D6">
        <v>2085</v>
      </c>
      <c r="E6">
        <f>B6+D6</f>
        <v>193168.59</v>
      </c>
      <c r="F6">
        <v>78172.600000000006</v>
      </c>
      <c r="G6" s="230">
        <f>E6*0.4</f>
        <v>77267.436000000002</v>
      </c>
    </row>
    <row r="7" spans="1:8">
      <c r="A7" t="s">
        <v>37</v>
      </c>
      <c r="E7">
        <v>17735</v>
      </c>
      <c r="F7">
        <v>7177.1</v>
      </c>
      <c r="G7" s="230">
        <f>E7*0.4</f>
        <v>7094</v>
      </c>
    </row>
    <row r="8" spans="1:8">
      <c r="A8" t="s">
        <v>64</v>
      </c>
      <c r="E8">
        <v>148491.73000000001</v>
      </c>
      <c r="F8">
        <v>60092.5</v>
      </c>
      <c r="G8" s="230">
        <f>E8*0.4</f>
        <v>59396.69200000001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5"/>
  <sheetViews>
    <sheetView topLeftCell="A79" zoomScale="70" zoomScaleNormal="70" workbookViewId="0">
      <selection activeCell="F285" sqref="F285"/>
    </sheetView>
  </sheetViews>
  <sheetFormatPr defaultRowHeight="15"/>
  <cols>
    <col min="2" max="2" width="9.140625" style="98"/>
    <col min="3" max="4" width="0" style="98" hidden="1" customWidth="1"/>
    <col min="5" max="5" width="10" style="98" bestFit="1" customWidth="1"/>
    <col min="6" max="6" width="19.7109375" bestFit="1" customWidth="1"/>
    <col min="7" max="7" width="10" bestFit="1" customWidth="1"/>
    <col min="8" max="8" width="24.7109375" customWidth="1"/>
    <col min="9" max="9" width="18" bestFit="1" customWidth="1"/>
    <col min="13" max="14" width="0" hidden="1" customWidth="1"/>
    <col min="15" max="15" width="10" customWidth="1"/>
    <col min="16" max="16" width="19.7109375" bestFit="1" customWidth="1"/>
    <col min="17" max="17" width="9" bestFit="1" customWidth="1"/>
    <col min="18" max="18" width="21.5703125" bestFit="1" customWidth="1"/>
    <col min="22" max="23" width="0" hidden="1" customWidth="1"/>
    <col min="24" max="24" width="10" bestFit="1" customWidth="1"/>
    <col min="25" max="25" width="19.7109375" bestFit="1" customWidth="1"/>
    <col min="27" max="27" width="30.28515625" customWidth="1"/>
    <col min="28" max="28" width="19.85546875" customWidth="1"/>
    <col min="29" max="29" width="27.42578125" bestFit="1" customWidth="1"/>
    <col min="30" max="30" width="10.140625" bestFit="1" customWidth="1"/>
  </cols>
  <sheetData>
    <row r="1" spans="1:35">
      <c r="A1" s="112" t="s">
        <v>712</v>
      </c>
      <c r="K1" s="112" t="s">
        <v>349</v>
      </c>
      <c r="T1" s="112" t="s">
        <v>714</v>
      </c>
      <c r="AC1" s="112" t="s">
        <v>793</v>
      </c>
      <c r="AD1" t="s">
        <v>809</v>
      </c>
      <c r="AG1" t="s">
        <v>809</v>
      </c>
    </row>
    <row r="2" spans="1:35">
      <c r="A2" s="112" t="s">
        <v>759</v>
      </c>
      <c r="B2" s="309" t="s">
        <v>441</v>
      </c>
      <c r="C2" s="309" t="s">
        <v>442</v>
      </c>
      <c r="D2" s="309" t="s">
        <v>224</v>
      </c>
      <c r="E2" s="309" t="s">
        <v>443</v>
      </c>
      <c r="F2" s="309" t="s">
        <v>760</v>
      </c>
      <c r="G2" s="309" t="s">
        <v>762</v>
      </c>
      <c r="H2" s="309" t="s">
        <v>761</v>
      </c>
      <c r="K2" s="112" t="s">
        <v>759</v>
      </c>
      <c r="L2" s="309" t="s">
        <v>441</v>
      </c>
      <c r="M2" s="309" t="s">
        <v>442</v>
      </c>
      <c r="N2" s="309" t="s">
        <v>224</v>
      </c>
      <c r="O2" s="309" t="s">
        <v>443</v>
      </c>
      <c r="P2" s="309" t="s">
        <v>760</v>
      </c>
      <c r="Q2" s="309" t="s">
        <v>762</v>
      </c>
      <c r="R2" s="309" t="s">
        <v>761</v>
      </c>
      <c r="T2" s="112" t="s">
        <v>759</v>
      </c>
      <c r="U2" s="309" t="s">
        <v>441</v>
      </c>
      <c r="V2" s="309" t="s">
        <v>442</v>
      </c>
      <c r="W2" s="309" t="s">
        <v>224</v>
      </c>
      <c r="X2" s="309" t="s">
        <v>443</v>
      </c>
      <c r="Y2" s="309" t="s">
        <v>760</v>
      </c>
      <c r="Z2" s="309" t="s">
        <v>762</v>
      </c>
      <c r="AA2" s="309" t="s">
        <v>761</v>
      </c>
      <c r="AC2" s="309" t="s">
        <v>773</v>
      </c>
      <c r="AD2" s="335">
        <v>21.8</v>
      </c>
      <c r="AF2" s="112" t="s">
        <v>810</v>
      </c>
      <c r="AG2" s="335">
        <v>17.600000000000001</v>
      </c>
      <c r="AH2" t="s">
        <v>775</v>
      </c>
      <c r="AI2" s="336">
        <v>12.6</v>
      </c>
    </row>
    <row r="3" spans="1:35">
      <c r="A3" t="s">
        <v>740</v>
      </c>
      <c r="B3" s="303">
        <v>1</v>
      </c>
      <c r="C3" s="93" t="s">
        <v>275</v>
      </c>
      <c r="D3" s="304" t="s">
        <v>86</v>
      </c>
      <c r="E3" s="93">
        <v>22</v>
      </c>
      <c r="F3" s="206">
        <f>(PI()*(E3/200)^2)/0.025/10</f>
        <v>0.15205308443374599</v>
      </c>
      <c r="G3" s="86" t="s">
        <v>11</v>
      </c>
      <c r="H3" s="206">
        <f>SUMIF($A$3:$A$285,"54_1",$F$3:$F$285)</f>
        <v>13.211025426875802</v>
      </c>
      <c r="K3" t="s">
        <v>750</v>
      </c>
      <c r="L3" s="95">
        <v>1</v>
      </c>
      <c r="M3" s="95" t="s">
        <v>239</v>
      </c>
      <c r="N3" s="304" t="s">
        <v>125</v>
      </c>
      <c r="O3" s="307">
        <v>26</v>
      </c>
      <c r="P3" s="206">
        <f>(PI()*(O3/200)^2)/0.025/10</f>
        <v>0.21237166338267005</v>
      </c>
      <c r="Q3" s="86" t="s">
        <v>315</v>
      </c>
      <c r="R3" s="206">
        <f>SUMIF($K$3:$K$100,"13_1",$P$3:$P$100)</f>
        <v>7.2039641227981788</v>
      </c>
      <c r="T3" t="s">
        <v>754</v>
      </c>
      <c r="U3" s="95">
        <v>1</v>
      </c>
      <c r="V3" s="93" t="s">
        <v>230</v>
      </c>
      <c r="W3" s="304" t="s">
        <v>88</v>
      </c>
      <c r="X3" s="95">
        <v>41</v>
      </c>
      <c r="Y3" s="206">
        <f>(PI()*(X3/200)^2)/0.025/10</f>
        <v>0.52810172506844411</v>
      </c>
      <c r="Z3" s="86" t="s">
        <v>38</v>
      </c>
      <c r="AA3" s="206">
        <f>SUMIF($T$3:$T$148,"18_1",$Y$3:$Y$148)</f>
        <v>12.728322857244379</v>
      </c>
      <c r="AD3" s="335">
        <v>26.3</v>
      </c>
      <c r="AG3" s="335">
        <v>18.8</v>
      </c>
      <c r="AI3" s="336">
        <v>14.6</v>
      </c>
    </row>
    <row r="4" spans="1:35">
      <c r="A4" t="s">
        <v>740</v>
      </c>
      <c r="B4" s="303">
        <v>2</v>
      </c>
      <c r="C4" s="93" t="s">
        <v>230</v>
      </c>
      <c r="D4" s="304" t="s">
        <v>88</v>
      </c>
      <c r="E4" s="93">
        <v>54</v>
      </c>
      <c r="F4" s="206">
        <f t="shared" ref="F4:F67" si="0">(PI()*(E4/200)^2)/0.025/10</f>
        <v>0.91608841778678374</v>
      </c>
      <c r="G4" s="86" t="s">
        <v>13</v>
      </c>
      <c r="H4" s="206">
        <f>SUMIF($A$3:$A$285,"54_2",$F$3:$F$285)</f>
        <v>25.727209098593871</v>
      </c>
      <c r="K4" t="s">
        <v>750</v>
      </c>
      <c r="L4" s="95">
        <v>2</v>
      </c>
      <c r="M4" s="93" t="s">
        <v>230</v>
      </c>
      <c r="N4" s="304" t="s">
        <v>88</v>
      </c>
      <c r="O4" s="307">
        <v>22</v>
      </c>
      <c r="P4" s="206">
        <f t="shared" ref="P4:P67" si="1">(PI()*(O4/200)^2)/0.025/10</f>
        <v>0.15205308443374599</v>
      </c>
      <c r="Q4" s="86" t="s">
        <v>33</v>
      </c>
      <c r="R4" s="206">
        <f>SUMIF($K$3:$K$100,"13_2",$P$3:$P$100)</f>
        <v>5.2208086274783936</v>
      </c>
      <c r="T4" t="s">
        <v>754</v>
      </c>
      <c r="U4" s="95">
        <v>2</v>
      </c>
      <c r="V4" s="95" t="s">
        <v>286</v>
      </c>
      <c r="W4" s="306" t="s">
        <v>135</v>
      </c>
      <c r="X4" s="95">
        <v>27.2</v>
      </c>
      <c r="Y4" s="206">
        <f t="shared" ref="Y4:Y67" si="2">(PI()*(X4/200)^2)/0.025/10</f>
        <v>0.23242759088318729</v>
      </c>
      <c r="Z4" s="86" t="s">
        <v>39</v>
      </c>
      <c r="AA4" s="206">
        <f>SUMIF($T$3:$T$148,"19_2",$Y$3:$Y$148)</f>
        <v>10.852135450186671</v>
      </c>
      <c r="AD4" s="335">
        <v>22.3</v>
      </c>
      <c r="AG4" s="335">
        <v>17</v>
      </c>
      <c r="AI4" s="336">
        <v>23.8</v>
      </c>
    </row>
    <row r="5" spans="1:35">
      <c r="A5" t="s">
        <v>740</v>
      </c>
      <c r="B5" s="303">
        <v>3</v>
      </c>
      <c r="C5" s="93" t="s">
        <v>236</v>
      </c>
      <c r="D5" s="304" t="s">
        <v>90</v>
      </c>
      <c r="E5" s="93">
        <v>46</v>
      </c>
      <c r="F5" s="206">
        <f t="shared" si="0"/>
        <v>0.66476100549960027</v>
      </c>
      <c r="G5" s="86" t="s">
        <v>15</v>
      </c>
      <c r="H5" s="206">
        <f>SUMIF($A$3:$A$285,"55_3",$F$3:$F$285)</f>
        <v>21.081971661179658</v>
      </c>
      <c r="K5" t="s">
        <v>750</v>
      </c>
      <c r="L5" s="95">
        <v>3</v>
      </c>
      <c r="M5" s="93" t="s">
        <v>230</v>
      </c>
      <c r="N5" s="304" t="s">
        <v>88</v>
      </c>
      <c r="O5" s="307">
        <v>31.2</v>
      </c>
      <c r="P5" s="206">
        <f t="shared" si="1"/>
        <v>0.30581519527104484</v>
      </c>
      <c r="Q5" s="86" t="s">
        <v>34</v>
      </c>
      <c r="R5" s="206">
        <f>SUMIF($K$3:$K$100,"13_3",$P$3:$P$100)</f>
        <v>5.96756834282934</v>
      </c>
      <c r="T5" t="s">
        <v>754</v>
      </c>
      <c r="U5" s="95">
        <v>3</v>
      </c>
      <c r="V5" s="93" t="s">
        <v>265</v>
      </c>
      <c r="W5" s="306" t="s">
        <v>137</v>
      </c>
      <c r="X5" s="95">
        <v>33.299999999999997</v>
      </c>
      <c r="Y5" s="206">
        <f t="shared" si="2"/>
        <v>0.34836806776391849</v>
      </c>
      <c r="Z5" s="86" t="s">
        <v>40</v>
      </c>
      <c r="AA5" s="206">
        <f>SUMIF($T$3:$T$148,"20_3",$Y$3:$Y$148)</f>
        <v>18.074961695277</v>
      </c>
      <c r="AD5" s="335">
        <v>23.7</v>
      </c>
      <c r="AG5" s="335">
        <v>18</v>
      </c>
      <c r="AI5" s="336">
        <v>18.5</v>
      </c>
    </row>
    <row r="6" spans="1:35" ht="15.75" thickBot="1">
      <c r="A6" t="s">
        <v>740</v>
      </c>
      <c r="B6" s="303">
        <v>4</v>
      </c>
      <c r="C6" s="93" t="s">
        <v>294</v>
      </c>
      <c r="D6" s="304" t="s">
        <v>92</v>
      </c>
      <c r="E6" s="93">
        <v>27</v>
      </c>
      <c r="F6" s="206">
        <f t="shared" si="0"/>
        <v>0.22902210444669593</v>
      </c>
      <c r="G6" s="86" t="s">
        <v>16</v>
      </c>
      <c r="H6" s="206">
        <f>SUMIF($A$3:$A$285,"55_4",$F$3:$F$285)</f>
        <v>23.522674993753572</v>
      </c>
      <c r="K6" t="s">
        <v>750</v>
      </c>
      <c r="L6" s="95">
        <v>4</v>
      </c>
      <c r="M6" s="93" t="s">
        <v>230</v>
      </c>
      <c r="N6" s="304" t="s">
        <v>88</v>
      </c>
      <c r="O6" s="307">
        <v>42</v>
      </c>
      <c r="P6" s="206">
        <f t="shared" si="1"/>
        <v>0.55417694409323937</v>
      </c>
      <c r="Q6" s="86" t="s">
        <v>35</v>
      </c>
      <c r="R6" s="206">
        <f>SUMIF($K$3:$K$100,"13_4",$P$3:$P$100)</f>
        <v>8.9787754765171961</v>
      </c>
      <c r="T6" t="s">
        <v>754</v>
      </c>
      <c r="U6" s="95">
        <v>4</v>
      </c>
      <c r="V6" s="93" t="s">
        <v>261</v>
      </c>
      <c r="W6" s="306" t="s">
        <v>661</v>
      </c>
      <c r="X6" s="95">
        <v>20.5</v>
      </c>
      <c r="Y6" s="206">
        <f t="shared" si="2"/>
        <v>0.13202543126711103</v>
      </c>
      <c r="Z6" s="86" t="s">
        <v>42</v>
      </c>
      <c r="AA6" s="206">
        <f>SUMIF($T$3:$T$148,"14_4",$Y$3:$Y$148)</f>
        <v>19.248406241653214</v>
      </c>
      <c r="AD6" s="335">
        <v>19</v>
      </c>
      <c r="AG6" s="162">
        <f>AVERAGE(AG2:AG5)</f>
        <v>17.850000000000001</v>
      </c>
      <c r="AI6" s="337">
        <v>19.2</v>
      </c>
    </row>
    <row r="7" spans="1:35">
      <c r="A7" t="s">
        <v>740</v>
      </c>
      <c r="B7" s="303">
        <v>5</v>
      </c>
      <c r="C7" s="93" t="s">
        <v>264</v>
      </c>
      <c r="D7" s="93" t="s">
        <v>93</v>
      </c>
      <c r="E7" s="93">
        <v>21</v>
      </c>
      <c r="F7" s="206">
        <f t="shared" si="0"/>
        <v>0.13854423602330984</v>
      </c>
      <c r="G7" s="86" t="s">
        <v>19</v>
      </c>
      <c r="H7" s="206">
        <f>SUMIF($A$3:$A$285,"60_5",$F$3:$F$285)</f>
        <v>13.173640474298077</v>
      </c>
      <c r="K7" t="s">
        <v>750</v>
      </c>
      <c r="L7" s="95">
        <v>5</v>
      </c>
      <c r="M7" s="93" t="s">
        <v>230</v>
      </c>
      <c r="N7" s="304" t="s">
        <v>88</v>
      </c>
      <c r="O7" s="307">
        <v>33.5</v>
      </c>
      <c r="P7" s="206">
        <f t="shared" si="1"/>
        <v>0.35256523554911456</v>
      </c>
      <c r="Q7" s="312" t="s">
        <v>36</v>
      </c>
      <c r="R7" s="162">
        <f>AVERAGE(R3:R6)</f>
        <v>6.8427791424057771</v>
      </c>
      <c r="T7" t="s">
        <v>754</v>
      </c>
      <c r="U7" s="95">
        <v>5</v>
      </c>
      <c r="V7" s="93" t="s">
        <v>245</v>
      </c>
      <c r="W7" s="308" t="s">
        <v>657</v>
      </c>
      <c r="X7" s="95">
        <v>31.8</v>
      </c>
      <c r="Y7" s="206">
        <f t="shared" si="2"/>
        <v>0.31769041550161425</v>
      </c>
      <c r="Z7" s="86" t="s">
        <v>43</v>
      </c>
      <c r="AA7" s="206">
        <f>SUMIF($T$3:$T$148,"12_5",$Y$3:$Y$148)</f>
        <v>15.008160937991226</v>
      </c>
      <c r="AD7" s="335">
        <v>21.8</v>
      </c>
      <c r="AG7">
        <f>STDEV(AG2:AG5)/SQRT(4)</f>
        <v>0.37749172176353757</v>
      </c>
      <c r="AI7" s="162">
        <f>AVERAGE(AI2:AI6)</f>
        <v>17.740000000000002</v>
      </c>
    </row>
    <row r="8" spans="1:35">
      <c r="A8" t="s">
        <v>740</v>
      </c>
      <c r="B8" s="303">
        <v>6</v>
      </c>
      <c r="C8" s="93" t="s">
        <v>250</v>
      </c>
      <c r="D8" s="304" t="s">
        <v>94</v>
      </c>
      <c r="E8" s="93">
        <v>24</v>
      </c>
      <c r="F8" s="206">
        <f t="shared" si="0"/>
        <v>0.18095573684677208</v>
      </c>
      <c r="G8" s="86" t="s">
        <v>21</v>
      </c>
      <c r="H8" s="206">
        <f>SUMIF($A$3:$A$285,"60_6",$F$3:$F$285)</f>
        <v>23.164219271978979</v>
      </c>
      <c r="K8" t="s">
        <v>750</v>
      </c>
      <c r="L8" s="95">
        <v>6</v>
      </c>
      <c r="M8" s="93" t="s">
        <v>230</v>
      </c>
      <c r="N8" s="304" t="s">
        <v>88</v>
      </c>
      <c r="O8" s="307">
        <v>24</v>
      </c>
      <c r="P8" s="206">
        <f t="shared" si="1"/>
        <v>0.18095573684677208</v>
      </c>
      <c r="Q8" s="312" t="s">
        <v>763</v>
      </c>
      <c r="R8" s="311">
        <f>STDEV(R3:R6)/SQRT(4)</f>
        <v>0.82106217915106261</v>
      </c>
      <c r="T8" t="s">
        <v>754</v>
      </c>
      <c r="U8" s="95">
        <v>6</v>
      </c>
      <c r="V8" s="93" t="s">
        <v>276</v>
      </c>
      <c r="W8" s="306" t="s">
        <v>143</v>
      </c>
      <c r="X8" s="95">
        <v>25.8</v>
      </c>
      <c r="Y8" s="206">
        <f t="shared" si="2"/>
        <v>0.20911697339355095</v>
      </c>
      <c r="Z8" s="112" t="s">
        <v>36</v>
      </c>
      <c r="AA8" s="162">
        <f>AVERAGE(AA3:AA7)</f>
        <v>15.182397436470499</v>
      </c>
      <c r="AD8" s="335">
        <v>24.1</v>
      </c>
      <c r="AI8">
        <f>STDEV(AI2:AI6)/SQRT(5)</f>
        <v>1.9456618411224493</v>
      </c>
    </row>
    <row r="9" spans="1:35">
      <c r="A9" t="s">
        <v>740</v>
      </c>
      <c r="B9" s="303">
        <v>7</v>
      </c>
      <c r="C9" s="93" t="s">
        <v>230</v>
      </c>
      <c r="D9" s="304" t="s">
        <v>88</v>
      </c>
      <c r="E9" s="93">
        <v>65</v>
      </c>
      <c r="F9" s="206">
        <f t="shared" si="0"/>
        <v>1.3273228961416876</v>
      </c>
      <c r="G9" s="86" t="s">
        <v>23</v>
      </c>
      <c r="H9" s="206">
        <f>SUMIF($A$3:$A$285,"61_7",$F$3:$F$285)</f>
        <v>12.192521088581989</v>
      </c>
      <c r="K9" t="s">
        <v>750</v>
      </c>
      <c r="L9" s="95">
        <v>7</v>
      </c>
      <c r="M9" s="93" t="s">
        <v>230</v>
      </c>
      <c r="N9" s="304" t="s">
        <v>88</v>
      </c>
      <c r="O9" s="307">
        <v>27.5</v>
      </c>
      <c r="P9" s="206">
        <f t="shared" si="1"/>
        <v>0.23758294442772812</v>
      </c>
      <c r="T9" t="s">
        <v>754</v>
      </c>
      <c r="U9" s="95">
        <v>7</v>
      </c>
      <c r="V9" s="95" t="s">
        <v>290</v>
      </c>
      <c r="W9" s="306" t="s">
        <v>663</v>
      </c>
      <c r="X9" s="95">
        <v>25</v>
      </c>
      <c r="Y9" s="206">
        <f t="shared" si="2"/>
        <v>0.19634954084936207</v>
      </c>
      <c r="Z9" s="112" t="s">
        <v>763</v>
      </c>
      <c r="AA9" s="311">
        <f>STDEV(AA3:AA7)/SQRT(5)</f>
        <v>1.5764416396240166</v>
      </c>
      <c r="AD9" s="335">
        <v>28.1</v>
      </c>
    </row>
    <row r="10" spans="1:35">
      <c r="A10" t="s">
        <v>740</v>
      </c>
      <c r="B10" s="303">
        <v>8</v>
      </c>
      <c r="C10" s="93" t="s">
        <v>261</v>
      </c>
      <c r="D10" s="304" t="s">
        <v>95</v>
      </c>
      <c r="E10" s="93">
        <v>26</v>
      </c>
      <c r="F10" s="206">
        <f t="shared" si="0"/>
        <v>0.21237166338267005</v>
      </c>
      <c r="G10" s="86" t="s">
        <v>24</v>
      </c>
      <c r="H10" s="206">
        <f>SUMIF($A$3:$A$285,"61_8",$F$3:$F$285)</f>
        <v>20.766555758759246</v>
      </c>
      <c r="K10" t="s">
        <v>750</v>
      </c>
      <c r="L10" s="95">
        <v>8</v>
      </c>
      <c r="M10" s="93" t="s">
        <v>230</v>
      </c>
      <c r="N10" s="304" t="s">
        <v>88</v>
      </c>
      <c r="O10" s="307">
        <v>29</v>
      </c>
      <c r="P10" s="206">
        <f t="shared" si="1"/>
        <v>0.26420794216690158</v>
      </c>
      <c r="T10" t="s">
        <v>754</v>
      </c>
      <c r="U10" s="95">
        <v>8</v>
      </c>
      <c r="V10" s="93" t="s">
        <v>245</v>
      </c>
      <c r="W10" s="308" t="s">
        <v>657</v>
      </c>
      <c r="X10" s="95">
        <v>46.8</v>
      </c>
      <c r="Y10" s="206">
        <f t="shared" si="2"/>
        <v>0.68808418935985061</v>
      </c>
      <c r="AD10" s="335">
        <v>20</v>
      </c>
    </row>
    <row r="11" spans="1:35">
      <c r="A11" t="s">
        <v>740</v>
      </c>
      <c r="B11" s="303">
        <v>9</v>
      </c>
      <c r="C11" s="93" t="s">
        <v>270</v>
      </c>
      <c r="D11" s="304" t="s">
        <v>96</v>
      </c>
      <c r="E11" s="93">
        <v>54</v>
      </c>
      <c r="F11" s="206">
        <f t="shared" si="0"/>
        <v>0.91608841778678374</v>
      </c>
      <c r="G11" s="86" t="s">
        <v>25</v>
      </c>
      <c r="H11" s="206">
        <f>SUMIF($A$3:$A$285,"64_9",$F$3:$F$285)</f>
        <v>19.933798086108936</v>
      </c>
      <c r="K11" t="s">
        <v>750</v>
      </c>
      <c r="L11" s="95">
        <v>9</v>
      </c>
      <c r="M11" s="93" t="s">
        <v>230</v>
      </c>
      <c r="N11" s="304" t="s">
        <v>88</v>
      </c>
      <c r="O11" s="307">
        <v>30.1</v>
      </c>
      <c r="P11" s="206">
        <f t="shared" si="1"/>
        <v>0.28463143600788882</v>
      </c>
      <c r="T11" t="s">
        <v>754</v>
      </c>
      <c r="U11" s="95">
        <v>9</v>
      </c>
      <c r="V11" s="93" t="s">
        <v>293</v>
      </c>
      <c r="W11" s="306" t="s">
        <v>664</v>
      </c>
      <c r="X11" s="95">
        <v>25.8</v>
      </c>
      <c r="Y11" s="206">
        <f t="shared" si="2"/>
        <v>0.20911697339355095</v>
      </c>
      <c r="AD11" s="335">
        <v>24</v>
      </c>
    </row>
    <row r="12" spans="1:35">
      <c r="A12" t="s">
        <v>740</v>
      </c>
      <c r="B12" s="303">
        <v>10</v>
      </c>
      <c r="C12" s="93" t="s">
        <v>294</v>
      </c>
      <c r="D12" s="304" t="s">
        <v>92</v>
      </c>
      <c r="E12" s="93">
        <v>37</v>
      </c>
      <c r="F12" s="206">
        <f t="shared" si="0"/>
        <v>0.43008403427644265</v>
      </c>
      <c r="G12" s="86" t="s">
        <v>26</v>
      </c>
      <c r="H12" s="206">
        <f>SUMIF($A$3:$A$285,"64_10",$F$3:$F$285)</f>
        <v>18.362609060232341</v>
      </c>
      <c r="K12" t="s">
        <v>750</v>
      </c>
      <c r="L12" s="95">
        <v>10</v>
      </c>
      <c r="M12" s="93" t="s">
        <v>230</v>
      </c>
      <c r="N12" s="304" t="s">
        <v>88</v>
      </c>
      <c r="O12" s="307">
        <v>23.5</v>
      </c>
      <c r="P12" s="206">
        <f t="shared" si="1"/>
        <v>0.17349445429449631</v>
      </c>
      <c r="T12" t="s">
        <v>754</v>
      </c>
      <c r="U12" s="95">
        <v>10</v>
      </c>
      <c r="V12" s="95" t="s">
        <v>291</v>
      </c>
      <c r="W12" s="306" t="s">
        <v>150</v>
      </c>
      <c r="X12" s="95">
        <v>46.8</v>
      </c>
      <c r="Y12" s="206">
        <f t="shared" si="2"/>
        <v>0.68808418935985061</v>
      </c>
      <c r="AC12" s="162" t="s">
        <v>36</v>
      </c>
      <c r="AD12" s="162">
        <f>AVERAGE(AD2:AD11)</f>
        <v>23.11</v>
      </c>
    </row>
    <row r="13" spans="1:35">
      <c r="A13" t="s">
        <v>740</v>
      </c>
      <c r="B13" s="303">
        <v>11</v>
      </c>
      <c r="C13" s="93" t="s">
        <v>294</v>
      </c>
      <c r="D13" s="304" t="s">
        <v>92</v>
      </c>
      <c r="E13" s="93">
        <v>28</v>
      </c>
      <c r="F13" s="206">
        <f t="shared" si="0"/>
        <v>0.24630086404143978</v>
      </c>
      <c r="G13" s="310" t="s">
        <v>36</v>
      </c>
      <c r="H13" s="162">
        <f>AVERAGE(H3:H12)</f>
        <v>19.113622492036246</v>
      </c>
      <c r="K13" t="s">
        <v>750</v>
      </c>
      <c r="L13" s="95">
        <v>11</v>
      </c>
      <c r="M13" s="93" t="s">
        <v>230</v>
      </c>
      <c r="N13" s="304" t="s">
        <v>88</v>
      </c>
      <c r="O13" s="307">
        <v>26.6</v>
      </c>
      <c r="P13" s="206">
        <f t="shared" si="1"/>
        <v>0.22228652979739941</v>
      </c>
      <c r="T13" t="s">
        <v>754</v>
      </c>
      <c r="U13" s="95">
        <v>11</v>
      </c>
      <c r="V13" s="93" t="s">
        <v>245</v>
      </c>
      <c r="W13" s="308" t="s">
        <v>657</v>
      </c>
      <c r="X13" s="95">
        <v>65.3</v>
      </c>
      <c r="Y13" s="206">
        <f t="shared" si="2"/>
        <v>1.3396033818245701</v>
      </c>
      <c r="AC13" t="s">
        <v>811</v>
      </c>
      <c r="AD13">
        <f>STDEV(AD2:AD11)/SQRT(10)</f>
        <v>0.86826135338259725</v>
      </c>
    </row>
    <row r="14" spans="1:35">
      <c r="A14" t="s">
        <v>740</v>
      </c>
      <c r="B14" s="303">
        <v>12</v>
      </c>
      <c r="C14" s="93" t="s">
        <v>264</v>
      </c>
      <c r="D14" s="93" t="s">
        <v>93</v>
      </c>
      <c r="E14" s="93">
        <v>57</v>
      </c>
      <c r="F14" s="206">
        <f t="shared" si="0"/>
        <v>1.0207034531513237</v>
      </c>
      <c r="G14" s="310" t="s">
        <v>763</v>
      </c>
      <c r="H14">
        <f>STDEV(H3:H12)/SQRT(10)</f>
        <v>1.5109069578544965</v>
      </c>
      <c r="K14" t="s">
        <v>750</v>
      </c>
      <c r="L14" s="95">
        <v>12</v>
      </c>
      <c r="M14" s="93" t="s">
        <v>230</v>
      </c>
      <c r="N14" s="304" t="s">
        <v>88</v>
      </c>
      <c r="O14" s="307">
        <v>20.100000000000001</v>
      </c>
      <c r="P14" s="206">
        <f t="shared" si="1"/>
        <v>0.12692348479768126</v>
      </c>
      <c r="T14" t="s">
        <v>754</v>
      </c>
      <c r="U14" s="95">
        <v>12</v>
      </c>
      <c r="V14" s="93" t="s">
        <v>293</v>
      </c>
      <c r="W14" s="306" t="s">
        <v>664</v>
      </c>
      <c r="X14" s="95">
        <v>30.8</v>
      </c>
      <c r="Y14" s="206">
        <f t="shared" si="2"/>
        <v>0.29802404549014216</v>
      </c>
    </row>
    <row r="15" spans="1:35">
      <c r="A15" t="s">
        <v>740</v>
      </c>
      <c r="B15" s="303">
        <v>13</v>
      </c>
      <c r="C15" s="93" t="s">
        <v>230</v>
      </c>
      <c r="D15" s="304" t="s">
        <v>88</v>
      </c>
      <c r="E15" s="93">
        <v>54</v>
      </c>
      <c r="F15" s="206">
        <f t="shared" si="0"/>
        <v>0.91608841778678374</v>
      </c>
      <c r="K15" t="s">
        <v>750</v>
      </c>
      <c r="L15" s="95">
        <v>13</v>
      </c>
      <c r="M15" s="93" t="s">
        <v>230</v>
      </c>
      <c r="N15" s="304" t="s">
        <v>88</v>
      </c>
      <c r="O15" s="307">
        <v>33.700000000000003</v>
      </c>
      <c r="P15" s="206">
        <f t="shared" si="1"/>
        <v>0.35678753607553926</v>
      </c>
      <c r="T15" t="s">
        <v>754</v>
      </c>
      <c r="U15" s="95">
        <v>13</v>
      </c>
      <c r="V15" s="93" t="s">
        <v>245</v>
      </c>
      <c r="W15" s="308" t="s">
        <v>657</v>
      </c>
      <c r="X15" s="95">
        <v>25</v>
      </c>
      <c r="Y15" s="206">
        <f t="shared" si="2"/>
        <v>0.19634954084936207</v>
      </c>
    </row>
    <row r="16" spans="1:35">
      <c r="A16" t="s">
        <v>740</v>
      </c>
      <c r="B16" s="303">
        <v>14</v>
      </c>
      <c r="C16" s="93" t="s">
        <v>294</v>
      </c>
      <c r="D16" s="304" t="s">
        <v>92</v>
      </c>
      <c r="E16" s="93">
        <v>31</v>
      </c>
      <c r="F16" s="206">
        <f t="shared" si="0"/>
        <v>0.30190705400997914</v>
      </c>
      <c r="K16" t="s">
        <v>750</v>
      </c>
      <c r="L16" s="95">
        <v>14</v>
      </c>
      <c r="M16" s="93" t="s">
        <v>230</v>
      </c>
      <c r="N16" s="304" t="s">
        <v>88</v>
      </c>
      <c r="O16" s="307">
        <v>26</v>
      </c>
      <c r="P16" s="206">
        <f t="shared" si="1"/>
        <v>0.21237166338267005</v>
      </c>
      <c r="T16" t="s">
        <v>754</v>
      </c>
      <c r="U16" s="95">
        <v>14</v>
      </c>
      <c r="V16" s="93" t="s">
        <v>230</v>
      </c>
      <c r="W16" s="304" t="s">
        <v>88</v>
      </c>
      <c r="X16" s="95">
        <v>20.8</v>
      </c>
      <c r="Y16" s="206">
        <f t="shared" si="2"/>
        <v>0.13591786456490884</v>
      </c>
    </row>
    <row r="17" spans="1:29" ht="30">
      <c r="A17" t="s">
        <v>740</v>
      </c>
      <c r="B17" s="303">
        <v>15</v>
      </c>
      <c r="C17" s="93" t="s">
        <v>242</v>
      </c>
      <c r="D17" s="93" t="s">
        <v>98</v>
      </c>
      <c r="E17" s="93">
        <v>39</v>
      </c>
      <c r="F17" s="206">
        <f t="shared" si="0"/>
        <v>0.47783624261100754</v>
      </c>
      <c r="I17" s="315" t="s">
        <v>764</v>
      </c>
      <c r="K17" t="s">
        <v>750</v>
      </c>
      <c r="L17" s="95">
        <v>15</v>
      </c>
      <c r="M17" s="93" t="s">
        <v>230</v>
      </c>
      <c r="N17" s="304" t="s">
        <v>88</v>
      </c>
      <c r="O17" s="307">
        <v>23.4</v>
      </c>
      <c r="P17" s="206">
        <f t="shared" si="1"/>
        <v>0.17202104733996265</v>
      </c>
      <c r="T17" t="s">
        <v>754</v>
      </c>
      <c r="U17" s="95">
        <v>15</v>
      </c>
      <c r="V17" s="93" t="s">
        <v>230</v>
      </c>
      <c r="W17" s="304" t="s">
        <v>88</v>
      </c>
      <c r="X17" s="95">
        <v>49</v>
      </c>
      <c r="Y17" s="206">
        <f t="shared" si="2"/>
        <v>0.75429639612690924</v>
      </c>
    </row>
    <row r="18" spans="1:29">
      <c r="A18" t="s">
        <v>740</v>
      </c>
      <c r="B18" s="303">
        <v>16</v>
      </c>
      <c r="C18" s="93" t="s">
        <v>242</v>
      </c>
      <c r="D18" s="93" t="s">
        <v>98</v>
      </c>
      <c r="E18" s="93">
        <v>28</v>
      </c>
      <c r="F18" s="206">
        <f t="shared" si="0"/>
        <v>0.24630086404143978</v>
      </c>
      <c r="H18" s="112" t="s">
        <v>87</v>
      </c>
      <c r="I18" s="314" t="s">
        <v>787</v>
      </c>
      <c r="K18" t="s">
        <v>750</v>
      </c>
      <c r="L18" s="95">
        <v>16</v>
      </c>
      <c r="M18" s="93" t="s">
        <v>230</v>
      </c>
      <c r="N18" s="304" t="s">
        <v>88</v>
      </c>
      <c r="O18" s="307">
        <v>23.8</v>
      </c>
      <c r="P18" s="206">
        <f t="shared" si="1"/>
        <v>0.17795237426994026</v>
      </c>
      <c r="T18" t="s">
        <v>754</v>
      </c>
      <c r="U18" s="95">
        <v>16</v>
      </c>
      <c r="V18" s="93" t="s">
        <v>245</v>
      </c>
      <c r="W18" s="308" t="s">
        <v>657</v>
      </c>
      <c r="X18" s="95">
        <v>53</v>
      </c>
      <c r="Y18" s="206">
        <f t="shared" si="2"/>
        <v>0.88247337639337287</v>
      </c>
      <c r="AB18" t="s">
        <v>764</v>
      </c>
    </row>
    <row r="19" spans="1:29">
      <c r="A19" t="s">
        <v>740</v>
      </c>
      <c r="B19" s="303">
        <v>17</v>
      </c>
      <c r="C19" s="93" t="s">
        <v>261</v>
      </c>
      <c r="D19" s="304" t="s">
        <v>95</v>
      </c>
      <c r="E19" s="93">
        <v>23</v>
      </c>
      <c r="F19" s="206">
        <f t="shared" si="0"/>
        <v>0.16619025137490007</v>
      </c>
      <c r="H19" s="112" t="s">
        <v>64</v>
      </c>
      <c r="I19" s="313" t="s">
        <v>786</v>
      </c>
      <c r="K19" t="s">
        <v>750</v>
      </c>
      <c r="L19" s="95">
        <v>17</v>
      </c>
      <c r="M19" s="93" t="s">
        <v>230</v>
      </c>
      <c r="N19" s="304" t="s">
        <v>88</v>
      </c>
      <c r="O19" s="307">
        <v>35.299999999999997</v>
      </c>
      <c r="P19" s="206">
        <f t="shared" si="1"/>
        <v>0.39147071897117047</v>
      </c>
      <c r="T19" t="s">
        <v>754</v>
      </c>
      <c r="U19" s="95">
        <v>17</v>
      </c>
      <c r="V19" s="93" t="s">
        <v>265</v>
      </c>
      <c r="W19" s="306" t="s">
        <v>137</v>
      </c>
      <c r="X19" s="95">
        <v>40.299999999999997</v>
      </c>
      <c r="Y19" s="206">
        <f t="shared" si="2"/>
        <v>0.51022292127686453</v>
      </c>
      <c r="AB19" t="s">
        <v>790</v>
      </c>
      <c r="AC19" t="s">
        <v>789</v>
      </c>
    </row>
    <row r="20" spans="1:29">
      <c r="A20" t="s">
        <v>740</v>
      </c>
      <c r="B20" s="303">
        <v>18</v>
      </c>
      <c r="C20" s="93" t="s">
        <v>275</v>
      </c>
      <c r="D20" s="304" t="s">
        <v>86</v>
      </c>
      <c r="E20" s="93">
        <v>21</v>
      </c>
      <c r="F20" s="206">
        <f t="shared" si="0"/>
        <v>0.13854423602330984</v>
      </c>
      <c r="H20" s="112" t="s">
        <v>91</v>
      </c>
      <c r="I20" s="313" t="s">
        <v>788</v>
      </c>
      <c r="K20" t="s">
        <v>750</v>
      </c>
      <c r="L20" s="95">
        <v>18</v>
      </c>
      <c r="M20" s="93" t="s">
        <v>230</v>
      </c>
      <c r="N20" s="304" t="s">
        <v>88</v>
      </c>
      <c r="O20" s="307">
        <v>26.2</v>
      </c>
      <c r="P20" s="206">
        <f t="shared" si="1"/>
        <v>0.21565148611301779</v>
      </c>
      <c r="T20" t="s">
        <v>754</v>
      </c>
      <c r="U20" s="95">
        <v>18</v>
      </c>
      <c r="V20" s="93" t="s">
        <v>245</v>
      </c>
      <c r="W20" s="308" t="s">
        <v>657</v>
      </c>
      <c r="X20" s="95">
        <v>31.5</v>
      </c>
      <c r="Y20" s="206">
        <f t="shared" si="2"/>
        <v>0.31172453105244724</v>
      </c>
      <c r="AA20" t="s">
        <v>87</v>
      </c>
      <c r="AB20" s="206">
        <f>H13</f>
        <v>19.113622492036246</v>
      </c>
      <c r="AC20" s="206">
        <f>H14</f>
        <v>1.5109069578544965</v>
      </c>
    </row>
    <row r="21" spans="1:29">
      <c r="A21" t="s">
        <v>740</v>
      </c>
      <c r="B21" s="303">
        <v>19</v>
      </c>
      <c r="C21" s="93" t="s">
        <v>236</v>
      </c>
      <c r="D21" s="304" t="s">
        <v>90</v>
      </c>
      <c r="E21" s="93">
        <v>55</v>
      </c>
      <c r="F21" s="206">
        <f t="shared" si="0"/>
        <v>0.95033177771091248</v>
      </c>
      <c r="K21" t="s">
        <v>750</v>
      </c>
      <c r="L21" s="95">
        <v>19</v>
      </c>
      <c r="M21" s="93" t="s">
        <v>230</v>
      </c>
      <c r="N21" s="304" t="s">
        <v>88</v>
      </c>
      <c r="O21" s="307">
        <v>40</v>
      </c>
      <c r="P21" s="206">
        <f t="shared" si="1"/>
        <v>0.50265482457436694</v>
      </c>
      <c r="T21" t="s">
        <v>754</v>
      </c>
      <c r="U21" s="95">
        <v>19</v>
      </c>
      <c r="V21" s="93" t="s">
        <v>245</v>
      </c>
      <c r="W21" s="308" t="s">
        <v>657</v>
      </c>
      <c r="X21" s="95">
        <v>25.8</v>
      </c>
      <c r="Y21" s="206">
        <f t="shared" si="2"/>
        <v>0.20911697339355095</v>
      </c>
      <c r="AA21" t="s">
        <v>64</v>
      </c>
      <c r="AB21" s="206">
        <f>R7</f>
        <v>6.8427791424057771</v>
      </c>
      <c r="AC21" s="206">
        <f>R8</f>
        <v>0.82106217915106261</v>
      </c>
    </row>
    <row r="22" spans="1:29">
      <c r="A22" t="s">
        <v>740</v>
      </c>
      <c r="B22" s="303">
        <v>20</v>
      </c>
      <c r="C22" s="93" t="s">
        <v>236</v>
      </c>
      <c r="D22" s="304" t="s">
        <v>90</v>
      </c>
      <c r="E22" s="93">
        <v>59</v>
      </c>
      <c r="F22" s="206">
        <f t="shared" si="0"/>
        <v>1.0935884027146066</v>
      </c>
      <c r="G22" s="206"/>
      <c r="K22" t="s">
        <v>750</v>
      </c>
      <c r="L22" s="95">
        <v>20</v>
      </c>
      <c r="M22" s="93" t="s">
        <v>230</v>
      </c>
      <c r="N22" s="304" t="s">
        <v>88</v>
      </c>
      <c r="O22" s="307">
        <v>22</v>
      </c>
      <c r="P22" s="206">
        <f t="shared" si="1"/>
        <v>0.15205308443374599</v>
      </c>
      <c r="T22" t="s">
        <v>754</v>
      </c>
      <c r="U22" s="95">
        <v>20</v>
      </c>
      <c r="V22" s="95" t="s">
        <v>288</v>
      </c>
      <c r="W22" s="308" t="s">
        <v>670</v>
      </c>
      <c r="X22" s="95">
        <v>25.3</v>
      </c>
      <c r="Y22" s="206">
        <f t="shared" si="2"/>
        <v>0.20109020416362902</v>
      </c>
      <c r="AA22" t="s">
        <v>91</v>
      </c>
      <c r="AB22" s="206">
        <f>AA8</f>
        <v>15.182397436470499</v>
      </c>
      <c r="AC22" s="206">
        <f>AA9</f>
        <v>1.5764416396240166</v>
      </c>
    </row>
    <row r="23" spans="1:29">
      <c r="A23" t="s">
        <v>740</v>
      </c>
      <c r="B23" s="303">
        <v>21</v>
      </c>
      <c r="C23" s="93" t="s">
        <v>242</v>
      </c>
      <c r="D23" s="93" t="s">
        <v>98</v>
      </c>
      <c r="E23" s="93">
        <v>42</v>
      </c>
      <c r="F23" s="206">
        <f t="shared" si="0"/>
        <v>0.55417694409323937</v>
      </c>
      <c r="G23" s="206"/>
      <c r="H23" t="s">
        <v>773</v>
      </c>
      <c r="I23" t="s">
        <v>782</v>
      </c>
      <c r="K23" t="s">
        <v>750</v>
      </c>
      <c r="L23" s="95">
        <v>21</v>
      </c>
      <c r="M23" s="93" t="s">
        <v>230</v>
      </c>
      <c r="N23" s="304" t="s">
        <v>88</v>
      </c>
      <c r="O23" s="307">
        <v>27.7</v>
      </c>
      <c r="P23" s="206">
        <f t="shared" si="1"/>
        <v>0.24105126271729116</v>
      </c>
      <c r="T23" t="s">
        <v>754</v>
      </c>
      <c r="U23" s="95">
        <v>21</v>
      </c>
      <c r="V23" s="95" t="s">
        <v>291</v>
      </c>
      <c r="W23" s="306" t="s">
        <v>150</v>
      </c>
      <c r="X23" s="95">
        <v>82.8</v>
      </c>
      <c r="Y23" s="206">
        <f t="shared" si="2"/>
        <v>2.1538256578187047</v>
      </c>
    </row>
    <row r="24" spans="1:29">
      <c r="A24" t="s">
        <v>740</v>
      </c>
      <c r="B24" s="303">
        <v>22</v>
      </c>
      <c r="C24" s="93" t="s">
        <v>264</v>
      </c>
      <c r="D24" s="93" t="s">
        <v>93</v>
      </c>
      <c r="E24" s="93">
        <v>47</v>
      </c>
      <c r="F24" s="206">
        <f t="shared" si="0"/>
        <v>0.69397781717798523</v>
      </c>
      <c r="G24" s="206"/>
      <c r="H24" t="s">
        <v>11</v>
      </c>
      <c r="I24" s="329">
        <v>8.3299999999999999E-2</v>
      </c>
      <c r="K24" t="s">
        <v>750</v>
      </c>
      <c r="L24" s="95">
        <v>22</v>
      </c>
      <c r="M24" s="93" t="s">
        <v>230</v>
      </c>
      <c r="N24" s="304" t="s">
        <v>88</v>
      </c>
      <c r="O24" s="307">
        <v>33.200000000000003</v>
      </c>
      <c r="P24" s="206">
        <f t="shared" si="1"/>
        <v>0.34627890864928135</v>
      </c>
      <c r="T24" t="s">
        <v>754</v>
      </c>
      <c r="U24" s="95">
        <v>22</v>
      </c>
      <c r="V24" s="93" t="s">
        <v>265</v>
      </c>
      <c r="W24" s="306" t="s">
        <v>137</v>
      </c>
      <c r="X24" s="95">
        <v>54.5</v>
      </c>
      <c r="Y24" s="206">
        <f t="shared" si="2"/>
        <v>0.93313155793250835</v>
      </c>
    </row>
    <row r="25" spans="1:29">
      <c r="A25" t="s">
        <v>740</v>
      </c>
      <c r="B25" s="303">
        <v>23</v>
      </c>
      <c r="C25" s="93" t="s">
        <v>273</v>
      </c>
      <c r="D25" s="304" t="s">
        <v>101</v>
      </c>
      <c r="E25" s="93">
        <v>24</v>
      </c>
      <c r="F25" s="206">
        <f t="shared" si="0"/>
        <v>0.18095573684677208</v>
      </c>
      <c r="G25" s="206"/>
      <c r="H25" t="s">
        <v>13</v>
      </c>
      <c r="I25" s="329">
        <v>0.36359999999999998</v>
      </c>
      <c r="K25" t="s">
        <v>750</v>
      </c>
      <c r="L25" s="95">
        <v>23</v>
      </c>
      <c r="M25" s="93" t="s">
        <v>230</v>
      </c>
      <c r="N25" s="304" t="s">
        <v>88</v>
      </c>
      <c r="O25" s="307">
        <v>32</v>
      </c>
      <c r="P25" s="206">
        <f t="shared" si="1"/>
        <v>0.32169908772759481</v>
      </c>
      <c r="T25" t="s">
        <v>754</v>
      </c>
      <c r="U25" s="95">
        <v>23</v>
      </c>
      <c r="V25" s="93" t="s">
        <v>276</v>
      </c>
      <c r="W25" s="308" t="s">
        <v>671</v>
      </c>
      <c r="X25" s="95">
        <v>25</v>
      </c>
      <c r="Y25" s="206">
        <f t="shared" si="2"/>
        <v>0.19634954084936207</v>
      </c>
    </row>
    <row r="26" spans="1:29">
      <c r="A26" t="s">
        <v>740</v>
      </c>
      <c r="B26" s="303">
        <v>24</v>
      </c>
      <c r="C26" s="93" t="s">
        <v>264</v>
      </c>
      <c r="D26" s="93" t="s">
        <v>93</v>
      </c>
      <c r="E26" s="93">
        <v>58</v>
      </c>
      <c r="F26" s="206">
        <f t="shared" si="0"/>
        <v>1.0568317686676063</v>
      </c>
      <c r="G26" s="206"/>
      <c r="H26" t="s">
        <v>15</v>
      </c>
      <c r="I26" s="329">
        <v>0.21879999999999999</v>
      </c>
      <c r="K26" t="s">
        <v>750</v>
      </c>
      <c r="L26" s="95">
        <v>24</v>
      </c>
      <c r="M26" s="95" t="s">
        <v>239</v>
      </c>
      <c r="N26" s="304" t="s">
        <v>125</v>
      </c>
      <c r="O26" s="307">
        <v>29.4</v>
      </c>
      <c r="P26" s="206">
        <f t="shared" si="1"/>
        <v>0.27154670260568731</v>
      </c>
      <c r="T26" t="s">
        <v>754</v>
      </c>
      <c r="U26" s="95">
        <v>24</v>
      </c>
      <c r="V26" s="93" t="s">
        <v>261</v>
      </c>
      <c r="W26" s="306" t="s">
        <v>95</v>
      </c>
      <c r="X26" s="95">
        <v>58</v>
      </c>
      <c r="Y26" s="206">
        <f t="shared" si="2"/>
        <v>1.0568317686676063</v>
      </c>
    </row>
    <row r="27" spans="1:29">
      <c r="A27" t="s">
        <v>741</v>
      </c>
      <c r="B27" s="93">
        <v>1</v>
      </c>
      <c r="C27" s="93" t="s">
        <v>230</v>
      </c>
      <c r="D27" s="304" t="s">
        <v>88</v>
      </c>
      <c r="E27" s="93">
        <v>55</v>
      </c>
      <c r="F27" s="206">
        <f t="shared" si="0"/>
        <v>0.95033177771091248</v>
      </c>
      <c r="G27" s="206"/>
      <c r="H27" t="s">
        <v>16</v>
      </c>
      <c r="I27" s="329">
        <v>0.33329999999999999</v>
      </c>
      <c r="K27" t="s">
        <v>750</v>
      </c>
      <c r="L27" s="95">
        <v>25</v>
      </c>
      <c r="M27" s="93" t="s">
        <v>230</v>
      </c>
      <c r="N27" s="304" t="s">
        <v>88</v>
      </c>
      <c r="O27" s="307">
        <v>26.2</v>
      </c>
      <c r="P27" s="206">
        <f t="shared" si="1"/>
        <v>0.21565148611301779</v>
      </c>
      <c r="T27" t="s">
        <v>755</v>
      </c>
      <c r="U27" s="95">
        <v>1</v>
      </c>
      <c r="V27" s="93" t="s">
        <v>236</v>
      </c>
      <c r="W27" s="306" t="s">
        <v>90</v>
      </c>
      <c r="X27" s="95">
        <v>20</v>
      </c>
      <c r="Y27" s="206">
        <f t="shared" si="2"/>
        <v>0.12566370614359174</v>
      </c>
    </row>
    <row r="28" spans="1:29" ht="17.25">
      <c r="A28" t="s">
        <v>741</v>
      </c>
      <c r="B28" s="93">
        <v>2</v>
      </c>
      <c r="C28" s="93" t="s">
        <v>230</v>
      </c>
      <c r="D28" s="304" t="s">
        <v>88</v>
      </c>
      <c r="E28" s="93">
        <v>54.5</v>
      </c>
      <c r="F28" s="206">
        <f t="shared" si="0"/>
        <v>0.93313155793250835</v>
      </c>
      <c r="G28" s="206"/>
      <c r="H28" t="s">
        <v>19</v>
      </c>
      <c r="I28" s="329">
        <v>0.54159999999999997</v>
      </c>
      <c r="K28" t="s">
        <v>750</v>
      </c>
      <c r="L28" s="95">
        <v>26</v>
      </c>
      <c r="M28" s="93" t="s">
        <v>230</v>
      </c>
      <c r="N28" s="304" t="s">
        <v>88</v>
      </c>
      <c r="O28" s="307">
        <v>22</v>
      </c>
      <c r="P28" s="206">
        <f t="shared" si="1"/>
        <v>0.15205308443374599</v>
      </c>
      <c r="T28" t="s">
        <v>755</v>
      </c>
      <c r="U28" s="95">
        <v>2</v>
      </c>
      <c r="V28" s="305" t="s">
        <v>256</v>
      </c>
      <c r="W28" s="95" t="s">
        <v>155</v>
      </c>
      <c r="X28" s="95">
        <v>24.2</v>
      </c>
      <c r="Y28" s="206">
        <f t="shared" si="2"/>
        <v>0.18398423216483265</v>
      </c>
    </row>
    <row r="29" spans="1:29">
      <c r="A29" t="s">
        <v>741</v>
      </c>
      <c r="B29" s="93">
        <v>3</v>
      </c>
      <c r="C29" s="93" t="s">
        <v>250</v>
      </c>
      <c r="D29" s="304" t="s">
        <v>94</v>
      </c>
      <c r="E29" s="93">
        <v>22</v>
      </c>
      <c r="F29" s="206">
        <f t="shared" si="0"/>
        <v>0.15205308443374599</v>
      </c>
      <c r="G29" s="206"/>
      <c r="H29" t="s">
        <v>21</v>
      </c>
      <c r="I29" s="329">
        <v>8.3299999999999999E-2</v>
      </c>
      <c r="K29" t="s">
        <v>750</v>
      </c>
      <c r="L29" s="95">
        <v>27</v>
      </c>
      <c r="M29" s="93" t="s">
        <v>230</v>
      </c>
      <c r="N29" s="304" t="s">
        <v>88</v>
      </c>
      <c r="O29" s="307">
        <v>24.4</v>
      </c>
      <c r="P29" s="206">
        <f t="shared" si="1"/>
        <v>0.18703786022412189</v>
      </c>
      <c r="T29" t="s">
        <v>755</v>
      </c>
      <c r="U29" s="95">
        <v>3</v>
      </c>
      <c r="V29" s="305" t="s">
        <v>298</v>
      </c>
      <c r="W29" s="95" t="s">
        <v>155</v>
      </c>
      <c r="X29" s="95">
        <v>22.3</v>
      </c>
      <c r="Y29" s="206">
        <f t="shared" si="2"/>
        <v>0.15622826107036683</v>
      </c>
    </row>
    <row r="30" spans="1:29">
      <c r="A30" t="s">
        <v>741</v>
      </c>
      <c r="B30" s="93">
        <v>4</v>
      </c>
      <c r="C30" s="93" t="s">
        <v>230</v>
      </c>
      <c r="D30" s="304" t="s">
        <v>88</v>
      </c>
      <c r="E30" s="93">
        <v>31.5</v>
      </c>
      <c r="F30" s="206">
        <f t="shared" si="0"/>
        <v>0.31172453105244724</v>
      </c>
      <c r="G30" s="206"/>
      <c r="H30" t="s">
        <v>23</v>
      </c>
      <c r="I30" s="329">
        <v>0.55000000000000004</v>
      </c>
      <c r="K30" t="s">
        <v>750</v>
      </c>
      <c r="L30" s="95">
        <v>28</v>
      </c>
      <c r="M30" s="93" t="s">
        <v>230</v>
      </c>
      <c r="N30" s="304" t="s">
        <v>88</v>
      </c>
      <c r="O30" s="307">
        <v>26.5</v>
      </c>
      <c r="P30" s="206">
        <f t="shared" si="1"/>
        <v>0.22061834409834322</v>
      </c>
      <c r="T30" t="s">
        <v>755</v>
      </c>
      <c r="U30" s="95">
        <v>4</v>
      </c>
      <c r="V30" s="93" t="s">
        <v>230</v>
      </c>
      <c r="W30" s="304" t="s">
        <v>88</v>
      </c>
      <c r="X30" s="95">
        <v>27</v>
      </c>
      <c r="Y30" s="206">
        <f t="shared" si="2"/>
        <v>0.22902210444669593</v>
      </c>
    </row>
    <row r="31" spans="1:29">
      <c r="A31" t="s">
        <v>741</v>
      </c>
      <c r="B31" s="93">
        <v>5</v>
      </c>
      <c r="C31" s="93" t="s">
        <v>278</v>
      </c>
      <c r="D31" s="93" t="s">
        <v>156</v>
      </c>
      <c r="E31" s="93">
        <v>60</v>
      </c>
      <c r="F31" s="206">
        <f t="shared" si="0"/>
        <v>1.1309733552923256</v>
      </c>
      <c r="G31" s="206"/>
      <c r="H31" t="s">
        <v>24</v>
      </c>
      <c r="I31" s="329">
        <v>0.33329999999999999</v>
      </c>
      <c r="K31" t="s">
        <v>751</v>
      </c>
      <c r="L31" s="95">
        <v>1</v>
      </c>
      <c r="M31" s="93" t="s">
        <v>230</v>
      </c>
      <c r="N31" s="304" t="s">
        <v>88</v>
      </c>
      <c r="O31" s="307">
        <v>30.6</v>
      </c>
      <c r="P31" s="206">
        <f t="shared" si="1"/>
        <v>0.29416616971153386</v>
      </c>
      <c r="T31" t="s">
        <v>755</v>
      </c>
      <c r="U31" s="95">
        <v>5</v>
      </c>
      <c r="V31" s="95" t="s">
        <v>283</v>
      </c>
      <c r="W31" s="95" t="s">
        <v>157</v>
      </c>
      <c r="X31" s="95">
        <v>31</v>
      </c>
      <c r="Y31" s="206">
        <f t="shared" si="2"/>
        <v>0.30190705400997914</v>
      </c>
    </row>
    <row r="32" spans="1:29">
      <c r="A32" t="s">
        <v>741</v>
      </c>
      <c r="B32" s="93">
        <v>6</v>
      </c>
      <c r="C32" s="93" t="s">
        <v>245</v>
      </c>
      <c r="D32" s="304" t="s">
        <v>118</v>
      </c>
      <c r="E32" s="93">
        <v>88.5</v>
      </c>
      <c r="F32" s="206">
        <f t="shared" si="0"/>
        <v>2.4605739061078653</v>
      </c>
      <c r="G32" s="206"/>
      <c r="H32" t="s">
        <v>25</v>
      </c>
      <c r="I32" s="329">
        <v>0.3125</v>
      </c>
      <c r="K32" t="s">
        <v>751</v>
      </c>
      <c r="L32" s="95">
        <v>2</v>
      </c>
      <c r="M32" s="93" t="s">
        <v>230</v>
      </c>
      <c r="N32" s="304" t="s">
        <v>88</v>
      </c>
      <c r="O32" s="307">
        <v>25.1</v>
      </c>
      <c r="P32" s="206">
        <f t="shared" si="1"/>
        <v>0.19792347876881056</v>
      </c>
      <c r="T32" t="s">
        <v>755</v>
      </c>
      <c r="U32" s="95">
        <v>6</v>
      </c>
      <c r="V32" s="95" t="s">
        <v>284</v>
      </c>
      <c r="W32" s="306" t="s">
        <v>675</v>
      </c>
      <c r="X32" s="95">
        <v>29.5</v>
      </c>
      <c r="Y32" s="206">
        <f t="shared" si="2"/>
        <v>0.27339710067865164</v>
      </c>
    </row>
    <row r="33" spans="1:25">
      <c r="A33" t="s">
        <v>741</v>
      </c>
      <c r="B33" s="93">
        <v>7</v>
      </c>
      <c r="C33" s="93" t="s">
        <v>229</v>
      </c>
      <c r="D33" s="93" t="s">
        <v>160</v>
      </c>
      <c r="E33" s="93">
        <v>35</v>
      </c>
      <c r="F33" s="206">
        <f t="shared" si="0"/>
        <v>0.38484510006474959</v>
      </c>
      <c r="G33" s="206"/>
      <c r="H33" t="s">
        <v>26</v>
      </c>
      <c r="I33" s="330">
        <v>0.24</v>
      </c>
      <c r="K33" t="s">
        <v>751</v>
      </c>
      <c r="L33" s="95">
        <v>3</v>
      </c>
      <c r="M33" s="93" t="s">
        <v>230</v>
      </c>
      <c r="N33" s="304" t="s">
        <v>88</v>
      </c>
      <c r="O33" s="307">
        <v>21.9</v>
      </c>
      <c r="P33" s="206">
        <f t="shared" si="1"/>
        <v>0.15067392525882001</v>
      </c>
      <c r="T33" t="s">
        <v>755</v>
      </c>
      <c r="U33" s="95">
        <v>7</v>
      </c>
      <c r="V33" s="93" t="s">
        <v>236</v>
      </c>
      <c r="W33" s="306" t="s">
        <v>90</v>
      </c>
      <c r="X33" s="95">
        <v>45</v>
      </c>
      <c r="Y33" s="206">
        <f t="shared" si="2"/>
        <v>0.63617251235193317</v>
      </c>
    </row>
    <row r="34" spans="1:25">
      <c r="A34" t="s">
        <v>741</v>
      </c>
      <c r="B34" s="93">
        <v>8</v>
      </c>
      <c r="C34" s="93" t="s">
        <v>270</v>
      </c>
      <c r="D34" s="304" t="s">
        <v>96</v>
      </c>
      <c r="E34" s="93">
        <v>30.5</v>
      </c>
      <c r="F34" s="206">
        <f t="shared" si="0"/>
        <v>0.2922466566001905</v>
      </c>
      <c r="G34" s="206"/>
      <c r="K34" t="s">
        <v>751</v>
      </c>
      <c r="L34" s="95">
        <v>4</v>
      </c>
      <c r="M34" s="93" t="s">
        <v>230</v>
      </c>
      <c r="N34" s="304" t="s">
        <v>88</v>
      </c>
      <c r="O34" s="307">
        <v>20.2</v>
      </c>
      <c r="P34" s="206">
        <f t="shared" si="1"/>
        <v>0.12818954663707788</v>
      </c>
      <c r="T34" t="s">
        <v>755</v>
      </c>
      <c r="U34" s="95">
        <v>8</v>
      </c>
      <c r="V34" s="93" t="s">
        <v>236</v>
      </c>
      <c r="W34" s="306" t="s">
        <v>90</v>
      </c>
      <c r="X34" s="95">
        <v>48</v>
      </c>
      <c r="Y34" s="206">
        <f t="shared" si="2"/>
        <v>0.7238229473870883</v>
      </c>
    </row>
    <row r="35" spans="1:25">
      <c r="A35" t="s">
        <v>741</v>
      </c>
      <c r="B35" s="93">
        <v>9</v>
      </c>
      <c r="C35" s="93" t="s">
        <v>242</v>
      </c>
      <c r="D35" s="93" t="s">
        <v>98</v>
      </c>
      <c r="E35" s="93">
        <v>33</v>
      </c>
      <c r="F35" s="206">
        <f t="shared" si="0"/>
        <v>0.34211943997592853</v>
      </c>
      <c r="G35" s="206"/>
      <c r="H35" t="s">
        <v>774</v>
      </c>
      <c r="K35" t="s">
        <v>751</v>
      </c>
      <c r="L35" s="95">
        <v>5</v>
      </c>
      <c r="M35" s="95" t="s">
        <v>239</v>
      </c>
      <c r="N35" s="304" t="s">
        <v>125</v>
      </c>
      <c r="O35" s="307">
        <v>30.6</v>
      </c>
      <c r="P35" s="206">
        <f t="shared" si="1"/>
        <v>0.29416616971153386</v>
      </c>
      <c r="T35" t="s">
        <v>755</v>
      </c>
      <c r="U35" s="95">
        <v>9</v>
      </c>
      <c r="V35" s="95" t="s">
        <v>284</v>
      </c>
      <c r="W35" s="306" t="s">
        <v>675</v>
      </c>
      <c r="X35" s="95">
        <v>20</v>
      </c>
      <c r="Y35" s="206">
        <f t="shared" si="2"/>
        <v>0.12566370614359174</v>
      </c>
    </row>
    <row r="36" spans="1:25">
      <c r="A36" t="s">
        <v>741</v>
      </c>
      <c r="B36" s="93">
        <v>10</v>
      </c>
      <c r="C36" s="93" t="s">
        <v>265</v>
      </c>
      <c r="D36" s="93" t="s">
        <v>137</v>
      </c>
      <c r="E36" s="93">
        <v>54</v>
      </c>
      <c r="F36" s="206">
        <f t="shared" si="0"/>
        <v>0.91608841778678374</v>
      </c>
      <c r="G36" s="206"/>
      <c r="H36" t="s">
        <v>32</v>
      </c>
      <c r="I36" s="331">
        <v>0.92849999999999999</v>
      </c>
      <c r="K36" t="s">
        <v>751</v>
      </c>
      <c r="L36" s="95">
        <v>6</v>
      </c>
      <c r="M36" s="93" t="s">
        <v>230</v>
      </c>
      <c r="N36" s="304" t="s">
        <v>88</v>
      </c>
      <c r="O36" s="307">
        <v>26.2</v>
      </c>
      <c r="P36" s="206">
        <f t="shared" si="1"/>
        <v>0.21565148611301779</v>
      </c>
      <c r="T36" t="s">
        <v>755</v>
      </c>
      <c r="U36" s="95">
        <v>10</v>
      </c>
      <c r="V36" s="305" t="s">
        <v>298</v>
      </c>
      <c r="W36" s="95" t="s">
        <v>155</v>
      </c>
      <c r="X36" s="95">
        <v>33</v>
      </c>
      <c r="Y36" s="206">
        <f t="shared" si="2"/>
        <v>0.34211943997592853</v>
      </c>
    </row>
    <row r="37" spans="1:25">
      <c r="A37" t="s">
        <v>741</v>
      </c>
      <c r="B37" s="93">
        <v>11</v>
      </c>
      <c r="C37" s="93" t="s">
        <v>230</v>
      </c>
      <c r="D37" s="304" t="s">
        <v>88</v>
      </c>
      <c r="E37" s="93">
        <v>31</v>
      </c>
      <c r="F37" s="206">
        <f t="shared" si="0"/>
        <v>0.30190705400997914</v>
      </c>
      <c r="G37" s="206"/>
      <c r="H37" t="s">
        <v>33</v>
      </c>
      <c r="I37" s="331">
        <v>0.78259999999999996</v>
      </c>
      <c r="K37" t="s">
        <v>751</v>
      </c>
      <c r="L37" s="95">
        <v>7</v>
      </c>
      <c r="M37" s="93" t="s">
        <v>230</v>
      </c>
      <c r="N37" s="304" t="s">
        <v>88</v>
      </c>
      <c r="O37" s="307">
        <v>34</v>
      </c>
      <c r="P37" s="206">
        <f t="shared" si="1"/>
        <v>0.36316811075498012</v>
      </c>
      <c r="T37" t="s">
        <v>755</v>
      </c>
      <c r="U37" s="95">
        <v>11</v>
      </c>
      <c r="V37" s="93" t="s">
        <v>236</v>
      </c>
      <c r="W37" s="306" t="s">
        <v>90</v>
      </c>
      <c r="X37" s="95">
        <v>34</v>
      </c>
      <c r="Y37" s="206">
        <f t="shared" si="2"/>
        <v>0.36316811075498012</v>
      </c>
    </row>
    <row r="38" spans="1:25">
      <c r="A38" t="s">
        <v>741</v>
      </c>
      <c r="B38" s="93">
        <v>12</v>
      </c>
      <c r="C38" s="93" t="s">
        <v>300</v>
      </c>
      <c r="D38" s="93" t="s">
        <v>161</v>
      </c>
      <c r="E38" s="93">
        <v>48</v>
      </c>
      <c r="F38" s="206">
        <f t="shared" si="0"/>
        <v>0.7238229473870883</v>
      </c>
      <c r="G38" s="206"/>
      <c r="H38" t="s">
        <v>34</v>
      </c>
      <c r="I38" s="331">
        <v>0.94440000000000002</v>
      </c>
      <c r="K38" t="s">
        <v>751</v>
      </c>
      <c r="L38" s="95">
        <v>8</v>
      </c>
      <c r="M38" s="93" t="s">
        <v>230</v>
      </c>
      <c r="N38" s="304" t="s">
        <v>88</v>
      </c>
      <c r="O38" s="307">
        <v>28</v>
      </c>
      <c r="P38" s="206">
        <f t="shared" si="1"/>
        <v>0.24630086404143978</v>
      </c>
      <c r="T38" t="s">
        <v>755</v>
      </c>
      <c r="U38" s="95">
        <v>12</v>
      </c>
      <c r="V38" s="93" t="s">
        <v>270</v>
      </c>
      <c r="W38" s="306" t="s">
        <v>162</v>
      </c>
      <c r="X38" s="95">
        <v>46.8</v>
      </c>
      <c r="Y38" s="206">
        <f t="shared" si="2"/>
        <v>0.68808418935985061</v>
      </c>
    </row>
    <row r="39" spans="1:25">
      <c r="A39" t="s">
        <v>741</v>
      </c>
      <c r="B39" s="93">
        <v>13</v>
      </c>
      <c r="C39" s="93" t="s">
        <v>245</v>
      </c>
      <c r="D39" s="304" t="s">
        <v>118</v>
      </c>
      <c r="E39" s="93">
        <v>90</v>
      </c>
      <c r="F39" s="206">
        <f t="shared" si="0"/>
        <v>2.5446900494077327</v>
      </c>
      <c r="G39" s="206"/>
      <c r="H39" t="s">
        <v>35</v>
      </c>
      <c r="I39" s="331">
        <v>0.51719999999999999</v>
      </c>
      <c r="K39" t="s">
        <v>751</v>
      </c>
      <c r="L39" s="95">
        <v>9</v>
      </c>
      <c r="M39" s="93" t="s">
        <v>230</v>
      </c>
      <c r="N39" s="304" t="s">
        <v>88</v>
      </c>
      <c r="O39" s="307">
        <v>30.5</v>
      </c>
      <c r="P39" s="206">
        <f t="shared" si="1"/>
        <v>0.2922466566001905</v>
      </c>
      <c r="T39" t="s">
        <v>755</v>
      </c>
      <c r="U39" s="95">
        <v>13</v>
      </c>
      <c r="V39" s="93" t="s">
        <v>233</v>
      </c>
      <c r="W39" s="306" t="s">
        <v>124</v>
      </c>
      <c r="X39" s="95">
        <v>40</v>
      </c>
      <c r="Y39" s="206">
        <f t="shared" si="2"/>
        <v>0.50265482457436694</v>
      </c>
    </row>
    <row r="40" spans="1:25">
      <c r="A40" t="s">
        <v>741</v>
      </c>
      <c r="B40" s="93">
        <v>14</v>
      </c>
      <c r="C40" s="93" t="s">
        <v>242</v>
      </c>
      <c r="D40" s="93" t="s">
        <v>98</v>
      </c>
      <c r="E40" s="93">
        <v>37.5</v>
      </c>
      <c r="F40" s="206">
        <f t="shared" si="0"/>
        <v>0.44178646691106466</v>
      </c>
      <c r="G40" s="206"/>
      <c r="K40" t="s">
        <v>751</v>
      </c>
      <c r="L40" s="95">
        <v>10</v>
      </c>
      <c r="M40" s="95" t="s">
        <v>239</v>
      </c>
      <c r="N40" s="304" t="s">
        <v>125</v>
      </c>
      <c r="O40" s="307">
        <v>23.5</v>
      </c>
      <c r="P40" s="206">
        <f t="shared" si="1"/>
        <v>0.17349445429449631</v>
      </c>
      <c r="T40" t="s">
        <v>755</v>
      </c>
      <c r="U40" s="95">
        <v>14</v>
      </c>
      <c r="V40" s="93" t="s">
        <v>236</v>
      </c>
      <c r="W40" s="306" t="s">
        <v>90</v>
      </c>
      <c r="X40" s="95">
        <v>49</v>
      </c>
      <c r="Y40" s="206">
        <f t="shared" si="2"/>
        <v>0.75429639612690924</v>
      </c>
    </row>
    <row r="41" spans="1:25">
      <c r="A41" t="s">
        <v>741</v>
      </c>
      <c r="B41" s="93">
        <v>15</v>
      </c>
      <c r="C41" s="93" t="s">
        <v>268</v>
      </c>
      <c r="D41" s="93" t="s">
        <v>163</v>
      </c>
      <c r="E41" s="93">
        <v>42</v>
      </c>
      <c r="F41" s="206">
        <f t="shared" si="0"/>
        <v>0.55417694409323937</v>
      </c>
      <c r="G41" s="206"/>
      <c r="H41" t="s">
        <v>775</v>
      </c>
      <c r="K41" t="s">
        <v>751</v>
      </c>
      <c r="L41" s="95">
        <v>11</v>
      </c>
      <c r="M41" s="93" t="s">
        <v>230</v>
      </c>
      <c r="N41" s="304" t="s">
        <v>88</v>
      </c>
      <c r="O41" s="307">
        <v>24</v>
      </c>
      <c r="P41" s="206">
        <f t="shared" si="1"/>
        <v>0.18095573684677208</v>
      </c>
      <c r="T41" t="s">
        <v>755</v>
      </c>
      <c r="U41" s="95">
        <v>15</v>
      </c>
      <c r="V41" s="93" t="s">
        <v>233</v>
      </c>
      <c r="W41" s="306" t="s">
        <v>124</v>
      </c>
      <c r="X41" s="95">
        <v>29</v>
      </c>
      <c r="Y41" s="206">
        <f t="shared" si="2"/>
        <v>0.26420794216690158</v>
      </c>
    </row>
    <row r="42" spans="1:25">
      <c r="A42" t="s">
        <v>741</v>
      </c>
      <c r="B42" s="93">
        <v>16</v>
      </c>
      <c r="C42" s="93" t="s">
        <v>245</v>
      </c>
      <c r="D42" s="304" t="s">
        <v>118</v>
      </c>
      <c r="E42" s="93">
        <v>23</v>
      </c>
      <c r="F42" s="206">
        <f t="shared" si="0"/>
        <v>0.16619025137490007</v>
      </c>
      <c r="G42" s="206"/>
      <c r="H42" t="s">
        <v>38</v>
      </c>
      <c r="I42" s="329">
        <v>0.125</v>
      </c>
      <c r="K42" t="s">
        <v>751</v>
      </c>
      <c r="L42" s="95">
        <v>12</v>
      </c>
      <c r="M42" s="95" t="s">
        <v>239</v>
      </c>
      <c r="N42" s="304" t="s">
        <v>125</v>
      </c>
      <c r="O42" s="307">
        <v>34</v>
      </c>
      <c r="P42" s="206">
        <f t="shared" si="1"/>
        <v>0.36316811075498012</v>
      </c>
      <c r="T42" t="s">
        <v>755</v>
      </c>
      <c r="U42" s="95">
        <v>16</v>
      </c>
      <c r="V42" s="93" t="s">
        <v>233</v>
      </c>
      <c r="W42" s="306" t="s">
        <v>124</v>
      </c>
      <c r="X42" s="95">
        <v>28</v>
      </c>
      <c r="Y42" s="206">
        <f t="shared" si="2"/>
        <v>0.24630086404143978</v>
      </c>
    </row>
    <row r="43" spans="1:25">
      <c r="A43" t="s">
        <v>741</v>
      </c>
      <c r="B43" s="93">
        <v>17</v>
      </c>
      <c r="C43" s="93" t="s">
        <v>229</v>
      </c>
      <c r="D43" s="93" t="s">
        <v>164</v>
      </c>
      <c r="E43" s="93">
        <v>37</v>
      </c>
      <c r="F43" s="206">
        <f t="shared" si="0"/>
        <v>0.43008403427644265</v>
      </c>
      <c r="G43" s="206"/>
      <c r="H43" t="s">
        <v>39</v>
      </c>
      <c r="I43" s="329">
        <v>0.1154</v>
      </c>
      <c r="K43" t="s">
        <v>751</v>
      </c>
      <c r="L43" s="95">
        <v>13</v>
      </c>
      <c r="M43" s="93" t="s">
        <v>230</v>
      </c>
      <c r="N43" s="304" t="s">
        <v>88</v>
      </c>
      <c r="O43" s="307">
        <v>20.9</v>
      </c>
      <c r="P43" s="206">
        <f t="shared" si="1"/>
        <v>0.13722790870145574</v>
      </c>
      <c r="T43" t="s">
        <v>755</v>
      </c>
      <c r="U43" s="95">
        <v>17</v>
      </c>
      <c r="V43" s="93" t="s">
        <v>265</v>
      </c>
      <c r="W43" s="306" t="s">
        <v>137</v>
      </c>
      <c r="X43" s="95">
        <v>46</v>
      </c>
      <c r="Y43" s="206">
        <f t="shared" si="2"/>
        <v>0.66476100549960027</v>
      </c>
    </row>
    <row r="44" spans="1:25">
      <c r="A44" t="s">
        <v>741</v>
      </c>
      <c r="B44" s="93">
        <v>18</v>
      </c>
      <c r="C44" s="93" t="s">
        <v>230</v>
      </c>
      <c r="D44" s="304" t="s">
        <v>88</v>
      </c>
      <c r="E44" s="93">
        <v>41</v>
      </c>
      <c r="F44" s="206">
        <f t="shared" si="0"/>
        <v>0.52810172506844411</v>
      </c>
      <c r="G44" s="206"/>
      <c r="H44" t="s">
        <v>40</v>
      </c>
      <c r="I44" s="330">
        <v>0.33</v>
      </c>
      <c r="K44" t="s">
        <v>751</v>
      </c>
      <c r="L44" s="95">
        <v>14</v>
      </c>
      <c r="M44" s="93" t="s">
        <v>230</v>
      </c>
      <c r="N44" s="304" t="s">
        <v>88</v>
      </c>
      <c r="O44" s="307">
        <v>21.2</v>
      </c>
      <c r="P44" s="206">
        <f t="shared" si="1"/>
        <v>0.14119574022293963</v>
      </c>
      <c r="T44" t="s">
        <v>755</v>
      </c>
      <c r="U44" s="95">
        <v>18</v>
      </c>
      <c r="V44" s="305" t="s">
        <v>299</v>
      </c>
      <c r="W44" s="95" t="s">
        <v>165</v>
      </c>
      <c r="X44" s="95">
        <v>26</v>
      </c>
      <c r="Y44" s="206">
        <f t="shared" si="2"/>
        <v>0.21237166338267005</v>
      </c>
    </row>
    <row r="45" spans="1:25">
      <c r="A45" t="s">
        <v>741</v>
      </c>
      <c r="B45" s="93">
        <v>19</v>
      </c>
      <c r="C45" s="93" t="s">
        <v>236</v>
      </c>
      <c r="D45" s="304" t="s">
        <v>90</v>
      </c>
      <c r="E45" s="93">
        <v>57</v>
      </c>
      <c r="F45" s="206">
        <f t="shared" si="0"/>
        <v>1.0207034531513237</v>
      </c>
      <c r="G45" s="206"/>
      <c r="H45" t="s">
        <v>42</v>
      </c>
      <c r="I45" s="329">
        <v>0.216</v>
      </c>
      <c r="K45" t="s">
        <v>751</v>
      </c>
      <c r="L45" s="95">
        <v>15</v>
      </c>
      <c r="M45" s="93" t="s">
        <v>230</v>
      </c>
      <c r="N45" s="304" t="s">
        <v>88</v>
      </c>
      <c r="O45" s="307">
        <v>34</v>
      </c>
      <c r="P45" s="206">
        <f t="shared" si="1"/>
        <v>0.36316811075498012</v>
      </c>
      <c r="T45" t="s">
        <v>755</v>
      </c>
      <c r="U45" s="95">
        <v>19</v>
      </c>
      <c r="V45" s="93" t="s">
        <v>261</v>
      </c>
      <c r="W45" s="306" t="s">
        <v>661</v>
      </c>
      <c r="X45" s="95">
        <v>35</v>
      </c>
      <c r="Y45" s="206">
        <f t="shared" si="2"/>
        <v>0.38484510006474959</v>
      </c>
    </row>
    <row r="46" spans="1:25">
      <c r="A46" t="s">
        <v>741</v>
      </c>
      <c r="B46" s="93">
        <v>20</v>
      </c>
      <c r="C46" s="93" t="s">
        <v>230</v>
      </c>
      <c r="D46" s="304" t="s">
        <v>88</v>
      </c>
      <c r="E46" s="93">
        <v>29.5</v>
      </c>
      <c r="F46" s="206">
        <f t="shared" si="0"/>
        <v>0.27339710067865164</v>
      </c>
      <c r="G46" s="206"/>
      <c r="H46" t="s">
        <v>43</v>
      </c>
      <c r="I46" s="329">
        <v>0.1923</v>
      </c>
      <c r="K46" t="s">
        <v>751</v>
      </c>
      <c r="L46" s="95">
        <v>16</v>
      </c>
      <c r="M46" s="93" t="s">
        <v>230</v>
      </c>
      <c r="N46" s="304" t="s">
        <v>88</v>
      </c>
      <c r="O46" s="307">
        <v>39.700000000000003</v>
      </c>
      <c r="P46" s="206">
        <f t="shared" si="1"/>
        <v>0.4951432765396338</v>
      </c>
      <c r="T46" t="s">
        <v>755</v>
      </c>
      <c r="U46" s="95">
        <v>20</v>
      </c>
      <c r="V46" s="93" t="s">
        <v>233</v>
      </c>
      <c r="W46" s="306" t="s">
        <v>124</v>
      </c>
      <c r="X46" s="95">
        <v>49</v>
      </c>
      <c r="Y46" s="206">
        <f t="shared" si="2"/>
        <v>0.75429639612690924</v>
      </c>
    </row>
    <row r="47" spans="1:25">
      <c r="A47" t="s">
        <v>741</v>
      </c>
      <c r="B47" s="93">
        <v>21</v>
      </c>
      <c r="C47" s="93" t="s">
        <v>242</v>
      </c>
      <c r="D47" s="93" t="s">
        <v>98</v>
      </c>
      <c r="E47" s="93">
        <v>21</v>
      </c>
      <c r="F47" s="206">
        <f t="shared" si="0"/>
        <v>0.13854423602330984</v>
      </c>
      <c r="G47" s="206"/>
      <c r="K47" t="s">
        <v>751</v>
      </c>
      <c r="L47" s="95">
        <v>17</v>
      </c>
      <c r="M47" s="95" t="s">
        <v>239</v>
      </c>
      <c r="N47" s="304" t="s">
        <v>125</v>
      </c>
      <c r="O47" s="307">
        <v>20.8</v>
      </c>
      <c r="P47" s="206">
        <f t="shared" si="1"/>
        <v>0.13591786456490884</v>
      </c>
      <c r="T47" t="s">
        <v>755</v>
      </c>
      <c r="U47" s="95">
        <v>21</v>
      </c>
      <c r="V47" s="93" t="s">
        <v>230</v>
      </c>
      <c r="W47" s="304" t="s">
        <v>88</v>
      </c>
      <c r="X47" s="95">
        <v>47</v>
      </c>
      <c r="Y47" s="206">
        <f t="shared" si="2"/>
        <v>0.69397781717798523</v>
      </c>
    </row>
    <row r="48" spans="1:25">
      <c r="A48" t="s">
        <v>741</v>
      </c>
      <c r="B48" s="93">
        <v>22</v>
      </c>
      <c r="C48" s="93" t="s">
        <v>230</v>
      </c>
      <c r="D48" s="304" t="s">
        <v>88</v>
      </c>
      <c r="E48" s="93">
        <v>34</v>
      </c>
      <c r="F48" s="206">
        <f t="shared" si="0"/>
        <v>0.36316811075498012</v>
      </c>
      <c r="G48" s="206"/>
      <c r="K48" t="s">
        <v>751</v>
      </c>
      <c r="L48" s="95">
        <v>18</v>
      </c>
      <c r="M48" s="93" t="s">
        <v>230</v>
      </c>
      <c r="N48" s="304" t="s">
        <v>88</v>
      </c>
      <c r="O48" s="307">
        <v>28.2</v>
      </c>
      <c r="P48" s="206">
        <f t="shared" si="1"/>
        <v>0.24983201418407464</v>
      </c>
      <c r="T48" t="s">
        <v>755</v>
      </c>
      <c r="U48" s="95">
        <v>22</v>
      </c>
      <c r="V48" s="93" t="s">
        <v>260</v>
      </c>
      <c r="W48" s="306" t="s">
        <v>120</v>
      </c>
      <c r="X48" s="95">
        <v>35</v>
      </c>
      <c r="Y48" s="206">
        <f t="shared" si="2"/>
        <v>0.38484510006474959</v>
      </c>
    </row>
    <row r="49" spans="1:25">
      <c r="A49" t="s">
        <v>741</v>
      </c>
      <c r="B49" s="93">
        <v>23</v>
      </c>
      <c r="C49" s="93" t="s">
        <v>230</v>
      </c>
      <c r="D49" s="304" t="s">
        <v>88</v>
      </c>
      <c r="E49" s="93">
        <v>40.5</v>
      </c>
      <c r="F49" s="206">
        <f t="shared" si="0"/>
        <v>0.51529973500506587</v>
      </c>
      <c r="G49" s="206"/>
      <c r="K49" t="s">
        <v>751</v>
      </c>
      <c r="L49" s="95">
        <v>19</v>
      </c>
      <c r="M49" s="93" t="s">
        <v>230</v>
      </c>
      <c r="N49" s="304" t="s">
        <v>88</v>
      </c>
      <c r="O49" s="307">
        <v>22.2</v>
      </c>
      <c r="P49" s="206">
        <f t="shared" si="1"/>
        <v>0.15483025233951936</v>
      </c>
      <c r="T49" t="s">
        <v>755</v>
      </c>
      <c r="U49" s="95">
        <v>23</v>
      </c>
      <c r="V49" s="93" t="s">
        <v>236</v>
      </c>
      <c r="W49" s="306" t="s">
        <v>90</v>
      </c>
      <c r="X49" s="95">
        <v>50</v>
      </c>
      <c r="Y49" s="206">
        <f t="shared" si="2"/>
        <v>0.78539816339744828</v>
      </c>
    </row>
    <row r="50" spans="1:25">
      <c r="A50" t="s">
        <v>741</v>
      </c>
      <c r="B50" s="93">
        <v>24</v>
      </c>
      <c r="C50" s="93" t="s">
        <v>230</v>
      </c>
      <c r="D50" s="304" t="s">
        <v>88</v>
      </c>
      <c r="E50" s="93">
        <v>64.5</v>
      </c>
      <c r="F50" s="206">
        <f t="shared" si="0"/>
        <v>1.3069810837096938</v>
      </c>
      <c r="G50" s="206"/>
      <c r="K50" t="s">
        <v>751</v>
      </c>
      <c r="L50" s="95">
        <v>20</v>
      </c>
      <c r="M50" s="93" t="s">
        <v>230</v>
      </c>
      <c r="N50" s="304" t="s">
        <v>88</v>
      </c>
      <c r="O50" s="307">
        <v>24.2</v>
      </c>
      <c r="P50" s="206">
        <f t="shared" si="1"/>
        <v>0.18398423216483265</v>
      </c>
      <c r="T50" t="s">
        <v>755</v>
      </c>
      <c r="U50" s="95">
        <v>24</v>
      </c>
      <c r="V50" s="93" t="s">
        <v>230</v>
      </c>
      <c r="W50" s="304" t="s">
        <v>88</v>
      </c>
      <c r="X50" s="95">
        <v>33</v>
      </c>
      <c r="Y50" s="206">
        <f t="shared" si="2"/>
        <v>0.34211943997592853</v>
      </c>
    </row>
    <row r="51" spans="1:25">
      <c r="A51" t="s">
        <v>741</v>
      </c>
      <c r="B51" s="93">
        <v>25</v>
      </c>
      <c r="C51" s="93" t="s">
        <v>230</v>
      </c>
      <c r="D51" s="304" t="s">
        <v>88</v>
      </c>
      <c r="E51" s="93">
        <v>45</v>
      </c>
      <c r="F51" s="206">
        <f t="shared" si="0"/>
        <v>0.63617251235193317</v>
      </c>
      <c r="G51" s="206"/>
      <c r="K51" t="s">
        <v>751</v>
      </c>
      <c r="L51" s="95">
        <v>21</v>
      </c>
      <c r="M51" s="95" t="s">
        <v>239</v>
      </c>
      <c r="N51" s="304" t="s">
        <v>125</v>
      </c>
      <c r="O51" s="307">
        <v>20.8</v>
      </c>
      <c r="P51" s="206">
        <f t="shared" si="1"/>
        <v>0.13591786456490884</v>
      </c>
      <c r="T51" t="s">
        <v>755</v>
      </c>
      <c r="U51" s="95">
        <v>25</v>
      </c>
      <c r="V51" s="93" t="s">
        <v>233</v>
      </c>
      <c r="W51" s="306" t="s">
        <v>124</v>
      </c>
      <c r="X51" s="95">
        <v>37</v>
      </c>
      <c r="Y51" s="206">
        <f t="shared" si="2"/>
        <v>0.43008403427644265</v>
      </c>
    </row>
    <row r="52" spans="1:25">
      <c r="A52" t="s">
        <v>741</v>
      </c>
      <c r="B52" s="93">
        <v>26</v>
      </c>
      <c r="C52" s="93" t="s">
        <v>230</v>
      </c>
      <c r="D52" s="304" t="s">
        <v>88</v>
      </c>
      <c r="E52" s="93">
        <v>53</v>
      </c>
      <c r="F52" s="206">
        <f t="shared" si="0"/>
        <v>0.88247337639337287</v>
      </c>
      <c r="G52" s="206"/>
      <c r="K52" t="s">
        <v>751</v>
      </c>
      <c r="L52" s="95">
        <v>22</v>
      </c>
      <c r="M52" s="93" t="s">
        <v>230</v>
      </c>
      <c r="N52" s="304" t="s">
        <v>88</v>
      </c>
      <c r="O52" s="307">
        <v>24</v>
      </c>
      <c r="P52" s="206">
        <f t="shared" si="1"/>
        <v>0.18095573684677208</v>
      </c>
      <c r="T52" t="s">
        <v>755</v>
      </c>
      <c r="U52" s="95">
        <v>26</v>
      </c>
      <c r="V52" s="93" t="s">
        <v>229</v>
      </c>
      <c r="W52" s="306" t="s">
        <v>681</v>
      </c>
      <c r="X52" s="95">
        <v>30</v>
      </c>
      <c r="Y52" s="206">
        <f t="shared" si="2"/>
        <v>0.28274333882308139</v>
      </c>
    </row>
    <row r="53" spans="1:25">
      <c r="A53" t="s">
        <v>741</v>
      </c>
      <c r="B53" s="93">
        <v>27</v>
      </c>
      <c r="C53" s="93" t="s">
        <v>236</v>
      </c>
      <c r="D53" s="304" t="s">
        <v>90</v>
      </c>
      <c r="E53" s="93">
        <v>79</v>
      </c>
      <c r="F53" s="206">
        <f t="shared" si="0"/>
        <v>1.9606679751053899</v>
      </c>
      <c r="G53" s="206"/>
      <c r="K53" t="s">
        <v>751</v>
      </c>
      <c r="L53" s="95">
        <v>23</v>
      </c>
      <c r="M53" s="93" t="s">
        <v>230</v>
      </c>
      <c r="N53" s="304" t="s">
        <v>88</v>
      </c>
      <c r="O53" s="307">
        <v>21.3</v>
      </c>
      <c r="P53" s="206">
        <f t="shared" si="1"/>
        <v>0.14253091710071533</v>
      </c>
      <c r="T53" t="s">
        <v>756</v>
      </c>
      <c r="U53" s="95">
        <v>1</v>
      </c>
      <c r="V53" s="93" t="s">
        <v>233</v>
      </c>
      <c r="W53" s="306" t="s">
        <v>124</v>
      </c>
      <c r="X53" s="95">
        <v>49.6</v>
      </c>
      <c r="Y53" s="206">
        <f t="shared" si="2"/>
        <v>0.77288205826554646</v>
      </c>
    </row>
    <row r="54" spans="1:25">
      <c r="A54" t="s">
        <v>741</v>
      </c>
      <c r="B54" s="93">
        <v>28</v>
      </c>
      <c r="C54" s="93" t="s">
        <v>230</v>
      </c>
      <c r="D54" s="304" t="s">
        <v>88</v>
      </c>
      <c r="E54" s="93">
        <v>72</v>
      </c>
      <c r="F54" s="206">
        <f t="shared" si="0"/>
        <v>1.6286016316209484</v>
      </c>
      <c r="G54" s="206"/>
      <c r="K54" t="s">
        <v>752</v>
      </c>
      <c r="L54" s="95">
        <v>1</v>
      </c>
      <c r="M54" s="93" t="s">
        <v>230</v>
      </c>
      <c r="N54" s="304" t="s">
        <v>88</v>
      </c>
      <c r="O54" s="307">
        <v>24</v>
      </c>
      <c r="P54" s="206">
        <f t="shared" si="1"/>
        <v>0.18095573684677208</v>
      </c>
      <c r="T54" t="s">
        <v>756</v>
      </c>
      <c r="U54" s="95">
        <v>2</v>
      </c>
      <c r="V54" s="93" t="s">
        <v>230</v>
      </c>
      <c r="W54" s="304" t="s">
        <v>88</v>
      </c>
      <c r="X54" s="95">
        <v>30</v>
      </c>
      <c r="Y54" s="206">
        <f t="shared" si="2"/>
        <v>0.28274333882308139</v>
      </c>
    </row>
    <row r="55" spans="1:25">
      <c r="A55" t="s">
        <v>741</v>
      </c>
      <c r="B55" s="93">
        <v>29</v>
      </c>
      <c r="C55" s="93" t="s">
        <v>250</v>
      </c>
      <c r="D55" s="304" t="s">
        <v>94</v>
      </c>
      <c r="E55" s="93">
        <v>20</v>
      </c>
      <c r="F55" s="206">
        <f t="shared" si="0"/>
        <v>0.12566370614359174</v>
      </c>
      <c r="G55" s="206"/>
      <c r="K55" t="s">
        <v>752</v>
      </c>
      <c r="L55" s="95">
        <v>2</v>
      </c>
      <c r="M55" s="93" t="s">
        <v>230</v>
      </c>
      <c r="N55" s="304" t="s">
        <v>88</v>
      </c>
      <c r="O55" s="307">
        <v>20</v>
      </c>
      <c r="P55" s="206">
        <f t="shared" si="1"/>
        <v>0.12566370614359174</v>
      </c>
      <c r="T55" t="s">
        <v>756</v>
      </c>
      <c r="U55" s="95">
        <v>3</v>
      </c>
      <c r="V55" s="93" t="s">
        <v>233</v>
      </c>
      <c r="W55" s="306" t="s">
        <v>124</v>
      </c>
      <c r="X55" s="95">
        <v>41.5</v>
      </c>
      <c r="Y55" s="206">
        <f t="shared" si="2"/>
        <v>0.54106079476450208</v>
      </c>
    </row>
    <row r="56" spans="1:25">
      <c r="A56" t="s">
        <v>741</v>
      </c>
      <c r="B56" s="93">
        <v>30</v>
      </c>
      <c r="C56" s="93" t="s">
        <v>265</v>
      </c>
      <c r="D56" s="93" t="s">
        <v>137</v>
      </c>
      <c r="E56" s="93">
        <v>43</v>
      </c>
      <c r="F56" s="206">
        <f t="shared" si="0"/>
        <v>0.58088048164875272</v>
      </c>
      <c r="G56" s="206"/>
      <c r="K56" t="s">
        <v>752</v>
      </c>
      <c r="L56" s="95">
        <v>3</v>
      </c>
      <c r="M56" s="93" t="s">
        <v>230</v>
      </c>
      <c r="N56" s="304" t="s">
        <v>88</v>
      </c>
      <c r="O56" s="307">
        <v>23.2</v>
      </c>
      <c r="P56" s="206">
        <f t="shared" si="1"/>
        <v>0.16909308298681697</v>
      </c>
      <c r="T56" t="s">
        <v>756</v>
      </c>
      <c r="U56" s="95">
        <v>4</v>
      </c>
      <c r="V56" s="93" t="s">
        <v>230</v>
      </c>
      <c r="W56" s="304" t="s">
        <v>88</v>
      </c>
      <c r="X56" s="95">
        <v>44</v>
      </c>
      <c r="Y56" s="206">
        <f t="shared" si="2"/>
        <v>0.60821233773498395</v>
      </c>
    </row>
    <row r="57" spans="1:25">
      <c r="A57" t="s">
        <v>741</v>
      </c>
      <c r="B57" s="93">
        <v>31</v>
      </c>
      <c r="C57" s="93" t="s">
        <v>276</v>
      </c>
      <c r="D57" s="93" t="s">
        <v>143</v>
      </c>
      <c r="E57" s="93">
        <v>32.5</v>
      </c>
      <c r="F57" s="206">
        <f t="shared" si="0"/>
        <v>0.33183072403542191</v>
      </c>
      <c r="G57" s="206"/>
      <c r="K57" t="s">
        <v>752</v>
      </c>
      <c r="L57" s="95">
        <v>4</v>
      </c>
      <c r="M57" s="93" t="s">
        <v>230</v>
      </c>
      <c r="N57" s="304" t="s">
        <v>88</v>
      </c>
      <c r="O57" s="307">
        <v>34</v>
      </c>
      <c r="P57" s="206">
        <f t="shared" si="1"/>
        <v>0.36316811075498012</v>
      </c>
      <c r="T57" t="s">
        <v>756</v>
      </c>
      <c r="U57" s="95">
        <v>5</v>
      </c>
      <c r="V57" s="93" t="s">
        <v>275</v>
      </c>
      <c r="W57" s="306" t="s">
        <v>685</v>
      </c>
      <c r="X57" s="95">
        <v>56.5</v>
      </c>
      <c r="Y57" s="206">
        <f t="shared" si="2"/>
        <v>1.0028749148422014</v>
      </c>
    </row>
    <row r="58" spans="1:25">
      <c r="A58" t="s">
        <v>741</v>
      </c>
      <c r="B58" s="93">
        <v>32</v>
      </c>
      <c r="C58" s="93" t="s">
        <v>236</v>
      </c>
      <c r="D58" s="304" t="s">
        <v>90</v>
      </c>
      <c r="E58" s="93">
        <v>73</v>
      </c>
      <c r="F58" s="206">
        <f t="shared" si="0"/>
        <v>1.6741547250980002</v>
      </c>
      <c r="G58" s="206"/>
      <c r="K58" t="s">
        <v>752</v>
      </c>
      <c r="L58" s="95">
        <v>5</v>
      </c>
      <c r="M58" s="93" t="s">
        <v>230</v>
      </c>
      <c r="N58" s="304" t="s">
        <v>88</v>
      </c>
      <c r="O58" s="307">
        <v>26</v>
      </c>
      <c r="P58" s="206">
        <f t="shared" si="1"/>
        <v>0.21237166338267005</v>
      </c>
      <c r="T58" t="s">
        <v>756</v>
      </c>
      <c r="U58" s="95">
        <v>6</v>
      </c>
      <c r="V58" s="93" t="s">
        <v>230</v>
      </c>
      <c r="W58" s="304" t="s">
        <v>88</v>
      </c>
      <c r="X58" s="95">
        <v>62.5</v>
      </c>
      <c r="Y58" s="206">
        <f t="shared" si="2"/>
        <v>1.2271846303085128</v>
      </c>
    </row>
    <row r="59" spans="1:25">
      <c r="A59" t="s">
        <v>741</v>
      </c>
      <c r="B59" s="93">
        <v>33</v>
      </c>
      <c r="C59" s="93" t="s">
        <v>300</v>
      </c>
      <c r="D59" s="93" t="s">
        <v>161</v>
      </c>
      <c r="E59" s="93">
        <v>48</v>
      </c>
      <c r="F59" s="206">
        <f t="shared" si="0"/>
        <v>0.7238229473870883</v>
      </c>
      <c r="G59" s="206"/>
      <c r="K59" t="s">
        <v>752</v>
      </c>
      <c r="L59" s="95">
        <v>6</v>
      </c>
      <c r="M59" s="93" t="s">
        <v>230</v>
      </c>
      <c r="N59" s="304" t="s">
        <v>88</v>
      </c>
      <c r="O59" s="307">
        <v>25.3</v>
      </c>
      <c r="P59" s="206">
        <f t="shared" si="1"/>
        <v>0.20109020416362902</v>
      </c>
      <c r="T59" t="s">
        <v>756</v>
      </c>
      <c r="U59" s="95">
        <v>7</v>
      </c>
      <c r="V59" s="93" t="s">
        <v>233</v>
      </c>
      <c r="W59" s="306" t="s">
        <v>124</v>
      </c>
      <c r="X59" s="95">
        <v>51.5</v>
      </c>
      <c r="Y59" s="206">
        <f t="shared" si="2"/>
        <v>0.83322891154835277</v>
      </c>
    </row>
    <row r="60" spans="1:25">
      <c r="A60" t="s">
        <v>742</v>
      </c>
      <c r="B60" s="95">
        <v>1</v>
      </c>
      <c r="C60" s="93" t="s">
        <v>236</v>
      </c>
      <c r="D60" s="304" t="s">
        <v>90</v>
      </c>
      <c r="E60" s="93">
        <v>60</v>
      </c>
      <c r="F60" s="206">
        <f t="shared" si="0"/>
        <v>1.1309733552923256</v>
      </c>
      <c r="G60" s="206"/>
      <c r="K60" t="s">
        <v>752</v>
      </c>
      <c r="L60" s="95">
        <v>7</v>
      </c>
      <c r="M60" s="93" t="s">
        <v>230</v>
      </c>
      <c r="N60" s="304" t="s">
        <v>88</v>
      </c>
      <c r="O60" s="307">
        <v>45</v>
      </c>
      <c r="P60" s="206">
        <f t="shared" si="1"/>
        <v>0.63617251235193317</v>
      </c>
      <c r="T60" t="s">
        <v>756</v>
      </c>
      <c r="U60" s="95">
        <v>8</v>
      </c>
      <c r="V60" s="93" t="s">
        <v>230</v>
      </c>
      <c r="W60" s="304" t="s">
        <v>88</v>
      </c>
      <c r="X60" s="95">
        <v>22.5</v>
      </c>
      <c r="Y60" s="206">
        <f t="shared" si="2"/>
        <v>0.15904312808798329</v>
      </c>
    </row>
    <row r="61" spans="1:25">
      <c r="A61" t="s">
        <v>742</v>
      </c>
      <c r="B61" s="95">
        <v>2</v>
      </c>
      <c r="C61" s="93" t="s">
        <v>264</v>
      </c>
      <c r="D61" s="93" t="s">
        <v>93</v>
      </c>
      <c r="E61" s="93">
        <v>30</v>
      </c>
      <c r="F61" s="206">
        <f t="shared" si="0"/>
        <v>0.28274333882308139</v>
      </c>
      <c r="G61" s="206"/>
      <c r="K61" t="s">
        <v>752</v>
      </c>
      <c r="L61" s="95">
        <v>8</v>
      </c>
      <c r="M61" s="93" t="s">
        <v>230</v>
      </c>
      <c r="N61" s="304" t="s">
        <v>88</v>
      </c>
      <c r="O61" s="307">
        <v>43.1</v>
      </c>
      <c r="P61" s="206">
        <f t="shared" si="1"/>
        <v>0.58358539292349354</v>
      </c>
      <c r="T61" t="s">
        <v>756</v>
      </c>
      <c r="U61" s="95">
        <v>9</v>
      </c>
      <c r="V61" s="93" t="s">
        <v>233</v>
      </c>
      <c r="W61" s="306" t="s">
        <v>124</v>
      </c>
      <c r="X61" s="95">
        <v>49.7</v>
      </c>
      <c r="Y61" s="206">
        <f t="shared" si="2"/>
        <v>0.77600165977056135</v>
      </c>
    </row>
    <row r="62" spans="1:25">
      <c r="A62" t="s">
        <v>742</v>
      </c>
      <c r="B62" s="95">
        <v>3</v>
      </c>
      <c r="C62" s="93" t="s">
        <v>230</v>
      </c>
      <c r="D62" s="304" t="s">
        <v>88</v>
      </c>
      <c r="E62" s="93">
        <v>59</v>
      </c>
      <c r="F62" s="206">
        <f t="shared" si="0"/>
        <v>1.0935884027146066</v>
      </c>
      <c r="G62" s="206"/>
      <c r="K62" t="s">
        <v>752</v>
      </c>
      <c r="L62" s="95">
        <v>9</v>
      </c>
      <c r="M62" s="93" t="s">
        <v>230</v>
      </c>
      <c r="N62" s="304" t="s">
        <v>88</v>
      </c>
      <c r="O62" s="307">
        <v>45.2</v>
      </c>
      <c r="P62" s="206">
        <f t="shared" si="1"/>
        <v>0.64183994549900913</v>
      </c>
      <c r="T62" t="s">
        <v>756</v>
      </c>
      <c r="U62" s="95">
        <v>10</v>
      </c>
      <c r="V62" s="93" t="s">
        <v>233</v>
      </c>
      <c r="W62" s="306" t="s">
        <v>124</v>
      </c>
      <c r="X62" s="95">
        <v>69</v>
      </c>
      <c r="Y62" s="206">
        <f t="shared" si="2"/>
        <v>1.4957122623740999</v>
      </c>
    </row>
    <row r="63" spans="1:25">
      <c r="A63" t="s">
        <v>742</v>
      </c>
      <c r="B63" s="95">
        <v>4</v>
      </c>
      <c r="C63" s="93" t="s">
        <v>236</v>
      </c>
      <c r="D63" s="304" t="s">
        <v>90</v>
      </c>
      <c r="E63" s="93">
        <v>50</v>
      </c>
      <c r="F63" s="206">
        <f t="shared" si="0"/>
        <v>0.78539816339744828</v>
      </c>
      <c r="G63" s="206"/>
      <c r="K63" t="s">
        <v>752</v>
      </c>
      <c r="L63" s="95">
        <v>10</v>
      </c>
      <c r="M63" s="93" t="s">
        <v>230</v>
      </c>
      <c r="N63" s="304" t="s">
        <v>88</v>
      </c>
      <c r="O63" s="307">
        <v>39.4</v>
      </c>
      <c r="P63" s="206">
        <f t="shared" si="1"/>
        <v>0.487688277172665</v>
      </c>
      <c r="T63" t="s">
        <v>756</v>
      </c>
      <c r="U63" s="95">
        <v>11</v>
      </c>
      <c r="V63" s="93" t="s">
        <v>265</v>
      </c>
      <c r="W63" s="306" t="s">
        <v>137</v>
      </c>
      <c r="X63" s="95">
        <v>48</v>
      </c>
      <c r="Y63" s="206">
        <f t="shared" si="2"/>
        <v>0.7238229473870883</v>
      </c>
    </row>
    <row r="64" spans="1:25">
      <c r="A64" t="s">
        <v>742</v>
      </c>
      <c r="B64" s="95">
        <v>5</v>
      </c>
      <c r="C64" s="93" t="s">
        <v>275</v>
      </c>
      <c r="D64" s="304" t="s">
        <v>86</v>
      </c>
      <c r="E64" s="93">
        <v>30</v>
      </c>
      <c r="F64" s="206">
        <f t="shared" si="0"/>
        <v>0.28274333882308139</v>
      </c>
      <c r="G64" s="206"/>
      <c r="K64" t="s">
        <v>752</v>
      </c>
      <c r="L64" s="95">
        <v>11</v>
      </c>
      <c r="M64" s="93" t="s">
        <v>230</v>
      </c>
      <c r="N64" s="304" t="s">
        <v>88</v>
      </c>
      <c r="O64" s="307">
        <v>44.5</v>
      </c>
      <c r="P64" s="206">
        <f t="shared" si="1"/>
        <v>0.62211388522711886</v>
      </c>
      <c r="T64" t="s">
        <v>756</v>
      </c>
      <c r="U64" s="95">
        <v>12</v>
      </c>
      <c r="V64" s="93" t="s">
        <v>265</v>
      </c>
      <c r="W64" s="306" t="s">
        <v>137</v>
      </c>
      <c r="X64" s="95">
        <v>42.6</v>
      </c>
      <c r="Y64" s="206">
        <f t="shared" si="2"/>
        <v>0.57012366840286133</v>
      </c>
    </row>
    <row r="65" spans="1:25">
      <c r="A65" t="s">
        <v>742</v>
      </c>
      <c r="B65" s="95">
        <v>6</v>
      </c>
      <c r="C65" s="93" t="s">
        <v>236</v>
      </c>
      <c r="D65" s="304" t="s">
        <v>90</v>
      </c>
      <c r="E65" s="93">
        <v>41</v>
      </c>
      <c r="F65" s="206">
        <f t="shared" si="0"/>
        <v>0.52810172506844411</v>
      </c>
      <c r="G65" s="206"/>
      <c r="K65" t="s">
        <v>752</v>
      </c>
      <c r="L65" s="95">
        <v>12</v>
      </c>
      <c r="M65" s="93" t="s">
        <v>230</v>
      </c>
      <c r="N65" s="304" t="s">
        <v>88</v>
      </c>
      <c r="O65" s="307">
        <v>20.2</v>
      </c>
      <c r="P65" s="206">
        <f t="shared" si="1"/>
        <v>0.12818954663707788</v>
      </c>
      <c r="T65" t="s">
        <v>756</v>
      </c>
      <c r="U65" s="95">
        <v>13</v>
      </c>
      <c r="V65" s="93" t="s">
        <v>230</v>
      </c>
      <c r="W65" s="304" t="s">
        <v>88</v>
      </c>
      <c r="X65" s="95">
        <v>39.700000000000003</v>
      </c>
      <c r="Y65" s="206">
        <f t="shared" si="2"/>
        <v>0.4951432765396338</v>
      </c>
    </row>
    <row r="66" spans="1:25">
      <c r="A66" t="s">
        <v>742</v>
      </c>
      <c r="B66" s="95">
        <v>7</v>
      </c>
      <c r="C66" s="93" t="s">
        <v>230</v>
      </c>
      <c r="D66" s="304" t="s">
        <v>88</v>
      </c>
      <c r="E66" s="93">
        <v>71</v>
      </c>
      <c r="F66" s="206">
        <f t="shared" si="0"/>
        <v>1.5836768566746147</v>
      </c>
      <c r="G66" s="206"/>
      <c r="K66" t="s">
        <v>752</v>
      </c>
      <c r="L66" s="95">
        <v>13</v>
      </c>
      <c r="M66" s="93" t="s">
        <v>230</v>
      </c>
      <c r="N66" s="304" t="s">
        <v>88</v>
      </c>
      <c r="O66" s="307">
        <v>24.1</v>
      </c>
      <c r="P66" s="206">
        <f t="shared" si="1"/>
        <v>0.1824668429131488</v>
      </c>
      <c r="T66" t="s">
        <v>756</v>
      </c>
      <c r="U66" s="95">
        <v>14</v>
      </c>
      <c r="V66" s="93" t="s">
        <v>276</v>
      </c>
      <c r="W66" s="306" t="s">
        <v>681</v>
      </c>
      <c r="X66" s="95">
        <v>22.1</v>
      </c>
      <c r="Y66" s="206">
        <f t="shared" si="2"/>
        <v>0.1534385267939791</v>
      </c>
    </row>
    <row r="67" spans="1:25">
      <c r="A67" t="s">
        <v>742</v>
      </c>
      <c r="B67" s="95">
        <v>8</v>
      </c>
      <c r="C67" s="93" t="s">
        <v>293</v>
      </c>
      <c r="D67" s="93" t="s">
        <v>168</v>
      </c>
      <c r="E67" s="93">
        <v>32</v>
      </c>
      <c r="F67" s="206">
        <f t="shared" si="0"/>
        <v>0.32169908772759481</v>
      </c>
      <c r="G67" s="206"/>
      <c r="K67" t="s">
        <v>752</v>
      </c>
      <c r="L67" s="95">
        <v>14</v>
      </c>
      <c r="M67" s="93" t="s">
        <v>230</v>
      </c>
      <c r="N67" s="304" t="s">
        <v>88</v>
      </c>
      <c r="O67" s="307">
        <v>29.7</v>
      </c>
      <c r="P67" s="206">
        <f t="shared" si="1"/>
        <v>0.27711674638050204</v>
      </c>
      <c r="T67" t="s">
        <v>756</v>
      </c>
      <c r="U67" s="95">
        <v>15</v>
      </c>
      <c r="V67" s="93" t="s">
        <v>230</v>
      </c>
      <c r="W67" s="304" t="s">
        <v>88</v>
      </c>
      <c r="X67" s="95">
        <v>58.7</v>
      </c>
      <c r="Y67" s="206">
        <f t="shared" si="2"/>
        <v>1.0824954390547816</v>
      </c>
    </row>
    <row r="68" spans="1:25">
      <c r="A68" t="s">
        <v>742</v>
      </c>
      <c r="B68" s="95">
        <v>9</v>
      </c>
      <c r="C68" s="93" t="s">
        <v>236</v>
      </c>
      <c r="D68" s="304" t="s">
        <v>90</v>
      </c>
      <c r="E68" s="93">
        <v>48</v>
      </c>
      <c r="F68" s="206">
        <f t="shared" ref="F68:F131" si="3">(PI()*(E68/200)^2)/0.025/10</f>
        <v>0.7238229473870883</v>
      </c>
      <c r="G68" s="206"/>
      <c r="K68" t="s">
        <v>752</v>
      </c>
      <c r="L68" s="95">
        <v>15</v>
      </c>
      <c r="M68" s="93" t="s">
        <v>265</v>
      </c>
      <c r="N68" s="306" t="s">
        <v>643</v>
      </c>
      <c r="O68" s="307">
        <v>31.1</v>
      </c>
      <c r="P68" s="206">
        <f t="shared" ref="P68:P100" si="4">(PI()*(O68/200)^2)/0.025/10</f>
        <v>0.30385798304785838</v>
      </c>
      <c r="T68" t="s">
        <v>756</v>
      </c>
      <c r="U68" s="95">
        <v>16</v>
      </c>
      <c r="V68" s="93" t="s">
        <v>293</v>
      </c>
      <c r="W68" s="306" t="s">
        <v>168</v>
      </c>
      <c r="X68" s="95">
        <v>26.6</v>
      </c>
      <c r="Y68" s="206">
        <f t="shared" ref="Y68:Y131" si="5">(PI()*(X68/200)^2)/0.025/10</f>
        <v>0.22228652979739941</v>
      </c>
    </row>
    <row r="69" spans="1:25">
      <c r="A69" t="s">
        <v>742</v>
      </c>
      <c r="B69" s="95">
        <v>10</v>
      </c>
      <c r="C69" s="93" t="s">
        <v>275</v>
      </c>
      <c r="D69" s="304" t="s">
        <v>86</v>
      </c>
      <c r="E69" s="93">
        <v>23</v>
      </c>
      <c r="F69" s="206">
        <f t="shared" si="3"/>
        <v>0.16619025137490007</v>
      </c>
      <c r="G69" s="206"/>
      <c r="K69" t="s">
        <v>752</v>
      </c>
      <c r="L69" s="95">
        <v>16</v>
      </c>
      <c r="M69" s="93" t="s">
        <v>230</v>
      </c>
      <c r="N69" s="304" t="s">
        <v>88</v>
      </c>
      <c r="O69" s="307">
        <v>28.3</v>
      </c>
      <c r="P69" s="206">
        <f t="shared" si="4"/>
        <v>0.25160701403335295</v>
      </c>
      <c r="T69" t="s">
        <v>756</v>
      </c>
      <c r="U69" s="95">
        <v>17</v>
      </c>
      <c r="V69" s="93" t="s">
        <v>230</v>
      </c>
      <c r="W69" s="304" t="s">
        <v>88</v>
      </c>
      <c r="X69" s="95">
        <v>54</v>
      </c>
      <c r="Y69" s="206">
        <f t="shared" si="5"/>
        <v>0.91608841778678374</v>
      </c>
    </row>
    <row r="70" spans="1:25">
      <c r="A70" t="s">
        <v>742</v>
      </c>
      <c r="B70" s="95">
        <v>11</v>
      </c>
      <c r="C70" s="93" t="s">
        <v>258</v>
      </c>
      <c r="D70" s="304" t="s">
        <v>119</v>
      </c>
      <c r="E70" s="93">
        <v>61</v>
      </c>
      <c r="F70" s="206">
        <f t="shared" si="3"/>
        <v>1.168986626400762</v>
      </c>
      <c r="G70" s="206"/>
      <c r="K70" t="s">
        <v>752</v>
      </c>
      <c r="L70" s="95">
        <v>17</v>
      </c>
      <c r="M70" s="93" t="s">
        <v>230</v>
      </c>
      <c r="N70" s="304" t="s">
        <v>88</v>
      </c>
      <c r="O70" s="307">
        <v>25.8</v>
      </c>
      <c r="P70" s="206">
        <f t="shared" si="4"/>
        <v>0.20911697339355095</v>
      </c>
      <c r="T70" t="s">
        <v>756</v>
      </c>
      <c r="U70" s="95">
        <v>18</v>
      </c>
      <c r="V70" s="93" t="s">
        <v>233</v>
      </c>
      <c r="W70" s="306" t="s">
        <v>124</v>
      </c>
      <c r="X70" s="95">
        <v>55.3</v>
      </c>
      <c r="Y70" s="206">
        <f t="shared" si="5"/>
        <v>0.96072730780164084</v>
      </c>
    </row>
    <row r="71" spans="1:25">
      <c r="A71" t="s">
        <v>742</v>
      </c>
      <c r="B71" s="95">
        <v>12</v>
      </c>
      <c r="C71" s="93" t="s">
        <v>270</v>
      </c>
      <c r="D71" s="304" t="s">
        <v>96</v>
      </c>
      <c r="E71" s="93">
        <v>25</v>
      </c>
      <c r="F71" s="206">
        <f t="shared" si="3"/>
        <v>0.19634954084936207</v>
      </c>
      <c r="G71" s="206"/>
      <c r="K71" t="s">
        <v>752</v>
      </c>
      <c r="L71" s="95">
        <v>18</v>
      </c>
      <c r="M71" s="93" t="s">
        <v>230</v>
      </c>
      <c r="N71" s="304" t="s">
        <v>88</v>
      </c>
      <c r="O71" s="307">
        <v>35.299999999999997</v>
      </c>
      <c r="P71" s="206">
        <f t="shared" si="4"/>
        <v>0.39147071897117047</v>
      </c>
      <c r="T71" t="s">
        <v>756</v>
      </c>
      <c r="U71" s="95">
        <v>19</v>
      </c>
      <c r="V71" s="93" t="s">
        <v>295</v>
      </c>
      <c r="W71" s="306" t="s">
        <v>691</v>
      </c>
      <c r="X71" s="95">
        <v>22.5</v>
      </c>
      <c r="Y71" s="206">
        <f t="shared" si="5"/>
        <v>0.15904312808798329</v>
      </c>
    </row>
    <row r="72" spans="1:25">
      <c r="A72" t="s">
        <v>742</v>
      </c>
      <c r="B72" s="95">
        <v>13</v>
      </c>
      <c r="C72" s="93" t="s">
        <v>268</v>
      </c>
      <c r="D72" s="306" t="s">
        <v>486</v>
      </c>
      <c r="E72" s="93">
        <v>51</v>
      </c>
      <c r="F72" s="206">
        <f t="shared" si="3"/>
        <v>0.81712824919870519</v>
      </c>
      <c r="G72" s="206"/>
      <c r="K72" t="s">
        <v>753</v>
      </c>
      <c r="L72" s="95">
        <v>1</v>
      </c>
      <c r="M72" s="93" t="s">
        <v>230</v>
      </c>
      <c r="N72" s="304" t="s">
        <v>88</v>
      </c>
      <c r="O72" s="307">
        <v>42.7</v>
      </c>
      <c r="P72" s="206">
        <f t="shared" si="4"/>
        <v>0.57280344693637342</v>
      </c>
      <c r="T72" t="s">
        <v>756</v>
      </c>
      <c r="U72" s="95">
        <v>20</v>
      </c>
      <c r="V72" s="93" t="s">
        <v>230</v>
      </c>
      <c r="W72" s="304" t="s">
        <v>88</v>
      </c>
      <c r="X72" s="95">
        <v>30.8</v>
      </c>
      <c r="Y72" s="206">
        <f t="shared" si="5"/>
        <v>0.29802404549014216</v>
      </c>
    </row>
    <row r="73" spans="1:25">
      <c r="A73" t="s">
        <v>742</v>
      </c>
      <c r="B73" s="95">
        <v>14</v>
      </c>
      <c r="C73" s="93" t="s">
        <v>283</v>
      </c>
      <c r="D73" s="93" t="s">
        <v>157</v>
      </c>
      <c r="E73" s="93">
        <v>39</v>
      </c>
      <c r="F73" s="206">
        <f t="shared" si="3"/>
        <v>0.47783624261100754</v>
      </c>
      <c r="G73" s="206"/>
      <c r="K73" t="s">
        <v>753</v>
      </c>
      <c r="L73" s="95">
        <v>2</v>
      </c>
      <c r="M73" s="93" t="s">
        <v>230</v>
      </c>
      <c r="N73" s="304" t="s">
        <v>88</v>
      </c>
      <c r="O73" s="307">
        <v>32.6</v>
      </c>
      <c r="P73" s="206">
        <f t="shared" si="4"/>
        <v>0.33387590085290886</v>
      </c>
      <c r="T73" t="s">
        <v>756</v>
      </c>
      <c r="U73" s="95">
        <v>21</v>
      </c>
      <c r="V73" s="93" t="s">
        <v>230</v>
      </c>
      <c r="W73" s="304" t="s">
        <v>88</v>
      </c>
      <c r="X73" s="95">
        <v>38.4</v>
      </c>
      <c r="Y73" s="206">
        <f t="shared" si="5"/>
        <v>0.46324668632773652</v>
      </c>
    </row>
    <row r="74" spans="1:25">
      <c r="A74" t="s">
        <v>742</v>
      </c>
      <c r="B74" s="95">
        <v>15</v>
      </c>
      <c r="C74" s="93" t="s">
        <v>230</v>
      </c>
      <c r="D74" s="304" t="s">
        <v>88</v>
      </c>
      <c r="E74" s="93">
        <v>49</v>
      </c>
      <c r="F74" s="206">
        <f t="shared" si="3"/>
        <v>0.75429639612690924</v>
      </c>
      <c r="G74" s="206"/>
      <c r="K74" t="s">
        <v>753</v>
      </c>
      <c r="L74" s="95">
        <v>3</v>
      </c>
      <c r="M74" s="93" t="s">
        <v>230</v>
      </c>
      <c r="N74" s="304" t="s">
        <v>88</v>
      </c>
      <c r="O74" s="307">
        <v>30.7</v>
      </c>
      <c r="P74" s="206">
        <f t="shared" si="4"/>
        <v>0.29609196600818444</v>
      </c>
      <c r="T74" t="s">
        <v>756</v>
      </c>
      <c r="U74" s="95">
        <v>22</v>
      </c>
      <c r="V74" s="93" t="s">
        <v>233</v>
      </c>
      <c r="W74" s="306" t="s">
        <v>124</v>
      </c>
      <c r="X74" s="95">
        <v>46.5</v>
      </c>
      <c r="Y74" s="206">
        <f t="shared" si="5"/>
        <v>0.67929087152245304</v>
      </c>
    </row>
    <row r="75" spans="1:25">
      <c r="A75" t="s">
        <v>742</v>
      </c>
      <c r="B75" s="95">
        <v>16</v>
      </c>
      <c r="C75" s="93" t="s">
        <v>301</v>
      </c>
      <c r="D75" s="93" t="s">
        <v>172</v>
      </c>
      <c r="E75" s="93">
        <v>30</v>
      </c>
      <c r="F75" s="206">
        <f t="shared" si="3"/>
        <v>0.28274333882308139</v>
      </c>
      <c r="G75" s="206"/>
      <c r="K75" t="s">
        <v>753</v>
      </c>
      <c r="L75" s="95">
        <v>4</v>
      </c>
      <c r="M75" s="93" t="s">
        <v>230</v>
      </c>
      <c r="N75" s="304" t="s">
        <v>88</v>
      </c>
      <c r="O75" s="307">
        <v>39.799999999999997</v>
      </c>
      <c r="P75" s="206">
        <f t="shared" si="4"/>
        <v>0.49764084269923742</v>
      </c>
      <c r="T75" t="s">
        <v>756</v>
      </c>
      <c r="U75" s="95">
        <v>23</v>
      </c>
      <c r="V75" s="93" t="s">
        <v>230</v>
      </c>
      <c r="W75" s="304" t="s">
        <v>88</v>
      </c>
      <c r="X75" s="95">
        <v>33</v>
      </c>
      <c r="Y75" s="206">
        <f t="shared" si="5"/>
        <v>0.34211943997592853</v>
      </c>
    </row>
    <row r="76" spans="1:25">
      <c r="A76" t="s">
        <v>742</v>
      </c>
      <c r="B76" s="95">
        <v>17</v>
      </c>
      <c r="C76" s="93" t="s">
        <v>275</v>
      </c>
      <c r="D76" s="304" t="s">
        <v>86</v>
      </c>
      <c r="E76" s="93">
        <v>21</v>
      </c>
      <c r="F76" s="206">
        <f t="shared" si="3"/>
        <v>0.13854423602330984</v>
      </c>
      <c r="G76" s="206"/>
      <c r="K76" t="s">
        <v>753</v>
      </c>
      <c r="L76" s="95">
        <v>5</v>
      </c>
      <c r="M76" s="93" t="s">
        <v>230</v>
      </c>
      <c r="N76" s="304" t="s">
        <v>88</v>
      </c>
      <c r="O76" s="307">
        <v>38.5</v>
      </c>
      <c r="P76" s="206">
        <f t="shared" si="4"/>
        <v>0.46566257107834702</v>
      </c>
      <c r="T76" t="s">
        <v>756</v>
      </c>
      <c r="U76" s="95">
        <v>24</v>
      </c>
      <c r="V76" s="95" t="s">
        <v>286</v>
      </c>
      <c r="W76" s="95" t="s">
        <v>173</v>
      </c>
      <c r="X76" s="95">
        <v>30</v>
      </c>
      <c r="Y76" s="206">
        <f t="shared" si="5"/>
        <v>0.28274333882308139</v>
      </c>
    </row>
    <row r="77" spans="1:25">
      <c r="A77" t="s">
        <v>742</v>
      </c>
      <c r="B77" s="95">
        <v>18</v>
      </c>
      <c r="C77" s="93" t="s">
        <v>242</v>
      </c>
      <c r="D77" s="93" t="s">
        <v>98</v>
      </c>
      <c r="E77" s="93">
        <v>22</v>
      </c>
      <c r="F77" s="206">
        <f t="shared" si="3"/>
        <v>0.15205308443374599</v>
      </c>
      <c r="G77" s="206"/>
      <c r="K77" t="s">
        <v>753</v>
      </c>
      <c r="L77" s="95">
        <v>6</v>
      </c>
      <c r="M77" s="93" t="s">
        <v>230</v>
      </c>
      <c r="N77" s="304" t="s">
        <v>88</v>
      </c>
      <c r="O77" s="307">
        <v>27.2</v>
      </c>
      <c r="P77" s="206">
        <f t="shared" si="4"/>
        <v>0.23242759088318729</v>
      </c>
      <c r="T77" t="s">
        <v>756</v>
      </c>
      <c r="U77" s="95">
        <v>25</v>
      </c>
      <c r="V77" s="93" t="s">
        <v>230</v>
      </c>
      <c r="W77" s="304" t="s">
        <v>88</v>
      </c>
      <c r="X77" s="95">
        <v>30</v>
      </c>
      <c r="Y77" s="206">
        <f t="shared" si="5"/>
        <v>0.28274333882308139</v>
      </c>
    </row>
    <row r="78" spans="1:25">
      <c r="A78" t="s">
        <v>742</v>
      </c>
      <c r="B78" s="95">
        <v>19</v>
      </c>
      <c r="C78" s="93" t="s">
        <v>236</v>
      </c>
      <c r="D78" s="304" t="s">
        <v>90</v>
      </c>
      <c r="E78" s="93">
        <v>62</v>
      </c>
      <c r="F78" s="206">
        <f t="shared" si="3"/>
        <v>1.2076282160399165</v>
      </c>
      <c r="G78" s="206"/>
      <c r="K78" t="s">
        <v>753</v>
      </c>
      <c r="L78" s="95">
        <v>7</v>
      </c>
      <c r="M78" s="95" t="s">
        <v>239</v>
      </c>
      <c r="N78" s="304" t="s">
        <v>125</v>
      </c>
      <c r="O78" s="307">
        <v>27.3</v>
      </c>
      <c r="P78" s="206">
        <f t="shared" si="4"/>
        <v>0.23413975887939373</v>
      </c>
      <c r="T78" t="s">
        <v>756</v>
      </c>
      <c r="U78" s="95">
        <v>26</v>
      </c>
      <c r="V78" s="95" t="s">
        <v>292</v>
      </c>
      <c r="W78" s="95" t="s">
        <v>174</v>
      </c>
      <c r="X78" s="95">
        <v>20</v>
      </c>
      <c r="Y78" s="206">
        <f t="shared" si="5"/>
        <v>0.12566370614359174</v>
      </c>
    </row>
    <row r="79" spans="1:25">
      <c r="A79" t="s">
        <v>742</v>
      </c>
      <c r="B79" s="95">
        <v>20</v>
      </c>
      <c r="C79" s="93" t="s">
        <v>230</v>
      </c>
      <c r="D79" s="304" t="s">
        <v>88</v>
      </c>
      <c r="E79" s="93">
        <v>38</v>
      </c>
      <c r="F79" s="206">
        <f t="shared" si="3"/>
        <v>0.45364597917836608</v>
      </c>
      <c r="G79" s="206"/>
      <c r="K79" t="s">
        <v>753</v>
      </c>
      <c r="L79" s="95">
        <v>8</v>
      </c>
      <c r="M79" s="93" t="s">
        <v>230</v>
      </c>
      <c r="N79" s="304" t="s">
        <v>88</v>
      </c>
      <c r="O79" s="307">
        <v>37.200000000000003</v>
      </c>
      <c r="P79" s="206">
        <f t="shared" si="4"/>
        <v>0.43474615777436998</v>
      </c>
      <c r="T79" t="s">
        <v>756</v>
      </c>
      <c r="U79" s="95">
        <v>27</v>
      </c>
      <c r="V79" s="95" t="s">
        <v>292</v>
      </c>
      <c r="W79" s="95" t="s">
        <v>174</v>
      </c>
      <c r="X79" s="95">
        <v>51.5</v>
      </c>
      <c r="Y79" s="206">
        <f t="shared" si="5"/>
        <v>0.83322891154835277</v>
      </c>
    </row>
    <row r="80" spans="1:25">
      <c r="A80" t="s">
        <v>742</v>
      </c>
      <c r="B80" s="95">
        <v>21</v>
      </c>
      <c r="C80" s="93" t="s">
        <v>268</v>
      </c>
      <c r="D80" s="93" t="s">
        <v>171</v>
      </c>
      <c r="E80" s="93">
        <v>48</v>
      </c>
      <c r="F80" s="206">
        <f t="shared" si="3"/>
        <v>0.7238229473870883</v>
      </c>
      <c r="G80" s="206"/>
      <c r="K80" t="s">
        <v>753</v>
      </c>
      <c r="L80" s="95">
        <v>9</v>
      </c>
      <c r="M80" s="95" t="s">
        <v>239</v>
      </c>
      <c r="N80" s="304" t="s">
        <v>125</v>
      </c>
      <c r="O80" s="307">
        <v>26.6</v>
      </c>
      <c r="P80" s="206">
        <f t="shared" si="4"/>
        <v>0.22228652979739941</v>
      </c>
      <c r="T80" t="s">
        <v>756</v>
      </c>
      <c r="U80" s="95">
        <v>28</v>
      </c>
      <c r="V80" s="95" t="s">
        <v>282</v>
      </c>
      <c r="W80" s="306" t="s">
        <v>692</v>
      </c>
      <c r="X80" s="95">
        <v>24</v>
      </c>
      <c r="Y80" s="206">
        <f t="shared" si="5"/>
        <v>0.18095573684677208</v>
      </c>
    </row>
    <row r="81" spans="1:25">
      <c r="A81" t="s">
        <v>742</v>
      </c>
      <c r="B81" s="95">
        <v>22</v>
      </c>
      <c r="C81" s="93" t="s">
        <v>250</v>
      </c>
      <c r="D81" s="304" t="s">
        <v>94</v>
      </c>
      <c r="E81" s="93">
        <v>33</v>
      </c>
      <c r="F81" s="206">
        <f t="shared" si="3"/>
        <v>0.34211943997592853</v>
      </c>
      <c r="G81" s="206"/>
      <c r="K81" t="s">
        <v>753</v>
      </c>
      <c r="L81" s="95">
        <v>10</v>
      </c>
      <c r="M81" s="93" t="s">
        <v>230</v>
      </c>
      <c r="N81" s="304" t="s">
        <v>88</v>
      </c>
      <c r="O81" s="307">
        <v>33.9</v>
      </c>
      <c r="P81" s="206">
        <f t="shared" si="4"/>
        <v>0.36103496934319257</v>
      </c>
      <c r="T81" t="s">
        <v>756</v>
      </c>
      <c r="U81" s="95">
        <v>29</v>
      </c>
      <c r="V81" s="93" t="s">
        <v>270</v>
      </c>
      <c r="W81" s="306" t="s">
        <v>662</v>
      </c>
      <c r="X81" s="95">
        <v>23.6</v>
      </c>
      <c r="Y81" s="206">
        <f t="shared" si="5"/>
        <v>0.17497414443433715</v>
      </c>
    </row>
    <row r="82" spans="1:25">
      <c r="A82" t="s">
        <v>742</v>
      </c>
      <c r="B82" s="95">
        <v>23</v>
      </c>
      <c r="C82" s="93" t="s">
        <v>250</v>
      </c>
      <c r="D82" s="304" t="s">
        <v>94</v>
      </c>
      <c r="E82" s="93">
        <v>39</v>
      </c>
      <c r="F82" s="206">
        <f t="shared" si="3"/>
        <v>0.47783624261100754</v>
      </c>
      <c r="G82" s="206"/>
      <c r="K82" t="s">
        <v>753</v>
      </c>
      <c r="L82" s="95">
        <v>11</v>
      </c>
      <c r="M82" s="95" t="s">
        <v>239</v>
      </c>
      <c r="N82" s="304" t="s">
        <v>125</v>
      </c>
      <c r="O82" s="307">
        <v>32.700000000000003</v>
      </c>
      <c r="P82" s="206">
        <f t="shared" si="4"/>
        <v>0.33592736085570302</v>
      </c>
      <c r="T82" t="s">
        <v>756</v>
      </c>
      <c r="U82" s="95">
        <v>30</v>
      </c>
      <c r="V82" s="93" t="s">
        <v>260</v>
      </c>
      <c r="W82" s="306" t="s">
        <v>120</v>
      </c>
      <c r="X82" s="95">
        <v>51.3</v>
      </c>
      <c r="Y82" s="206">
        <f t="shared" si="5"/>
        <v>0.82676979705257225</v>
      </c>
    </row>
    <row r="83" spans="1:25">
      <c r="A83" t="s">
        <v>742</v>
      </c>
      <c r="B83" s="95">
        <v>24</v>
      </c>
      <c r="C83" s="93" t="s">
        <v>265</v>
      </c>
      <c r="D83" s="93" t="s">
        <v>169</v>
      </c>
      <c r="E83" s="93">
        <v>64</v>
      </c>
      <c r="F83" s="206">
        <f t="shared" si="3"/>
        <v>1.2867963509103792</v>
      </c>
      <c r="G83" s="206"/>
      <c r="K83" t="s">
        <v>753</v>
      </c>
      <c r="L83" s="95">
        <v>12</v>
      </c>
      <c r="M83" s="93" t="s">
        <v>230</v>
      </c>
      <c r="N83" s="304" t="s">
        <v>88</v>
      </c>
      <c r="O83" s="307">
        <v>38.799999999999997</v>
      </c>
      <c r="P83" s="206">
        <f t="shared" si="4"/>
        <v>0.47294792444202161</v>
      </c>
      <c r="T83" t="s">
        <v>756</v>
      </c>
      <c r="U83" s="95">
        <v>31</v>
      </c>
      <c r="V83" s="95" t="s">
        <v>285</v>
      </c>
      <c r="W83" s="306" t="s">
        <v>177</v>
      </c>
      <c r="X83" s="95">
        <v>29</v>
      </c>
      <c r="Y83" s="206">
        <f t="shared" si="5"/>
        <v>0.26420794216690158</v>
      </c>
    </row>
    <row r="84" spans="1:25">
      <c r="A84" t="s">
        <v>742</v>
      </c>
      <c r="B84" s="95">
        <v>25</v>
      </c>
      <c r="C84" s="93" t="s">
        <v>230</v>
      </c>
      <c r="D84" s="304" t="s">
        <v>88</v>
      </c>
      <c r="E84" s="93">
        <v>36</v>
      </c>
      <c r="F84" s="206">
        <f t="shared" si="3"/>
        <v>0.4071504079052371</v>
      </c>
      <c r="G84" s="206"/>
      <c r="K84" t="s">
        <v>753</v>
      </c>
      <c r="L84" s="95">
        <v>13</v>
      </c>
      <c r="M84" s="93" t="s">
        <v>230</v>
      </c>
      <c r="N84" s="304" t="s">
        <v>88</v>
      </c>
      <c r="O84" s="307">
        <v>23.1</v>
      </c>
      <c r="P84" s="206">
        <f t="shared" si="4"/>
        <v>0.16763852558820497</v>
      </c>
      <c r="T84" t="s">
        <v>756</v>
      </c>
      <c r="U84" s="95">
        <v>32</v>
      </c>
      <c r="V84" s="93" t="s">
        <v>276</v>
      </c>
      <c r="W84" s="308" t="s">
        <v>671</v>
      </c>
      <c r="X84" s="95">
        <v>25</v>
      </c>
      <c r="Y84" s="206">
        <f t="shared" si="5"/>
        <v>0.19634954084936207</v>
      </c>
    </row>
    <row r="85" spans="1:25">
      <c r="A85" t="s">
        <v>742</v>
      </c>
      <c r="B85" s="95">
        <v>26</v>
      </c>
      <c r="C85" s="93" t="s">
        <v>236</v>
      </c>
      <c r="D85" s="304" t="s">
        <v>90</v>
      </c>
      <c r="E85" s="93">
        <v>64</v>
      </c>
      <c r="F85" s="206">
        <f t="shared" si="3"/>
        <v>1.2867963509103792</v>
      </c>
      <c r="G85" s="206"/>
      <c r="K85" t="s">
        <v>753</v>
      </c>
      <c r="L85" s="95">
        <v>14</v>
      </c>
      <c r="M85" s="93" t="s">
        <v>245</v>
      </c>
      <c r="N85" s="308" t="s">
        <v>657</v>
      </c>
      <c r="O85" s="307">
        <v>31.3</v>
      </c>
      <c r="P85" s="206">
        <f t="shared" si="4"/>
        <v>0.30777869067953845</v>
      </c>
      <c r="T85" t="s">
        <v>756</v>
      </c>
      <c r="U85" s="95">
        <v>33</v>
      </c>
      <c r="V85" s="93" t="s">
        <v>229</v>
      </c>
      <c r="W85" s="306" t="s">
        <v>681</v>
      </c>
      <c r="X85" s="95">
        <v>21.3</v>
      </c>
      <c r="Y85" s="206">
        <f t="shared" si="5"/>
        <v>0.14253091710071533</v>
      </c>
    </row>
    <row r="86" spans="1:25">
      <c r="A86" t="s">
        <v>742</v>
      </c>
      <c r="B86" s="95">
        <v>27</v>
      </c>
      <c r="C86" s="93" t="s">
        <v>230</v>
      </c>
      <c r="D86" s="304" t="s">
        <v>88</v>
      </c>
      <c r="E86" s="93">
        <v>38</v>
      </c>
      <c r="F86" s="206">
        <f t="shared" si="3"/>
        <v>0.45364597917836608</v>
      </c>
      <c r="G86" s="206"/>
      <c r="K86" t="s">
        <v>753</v>
      </c>
      <c r="L86" s="95">
        <v>15</v>
      </c>
      <c r="M86" s="93" t="s">
        <v>245</v>
      </c>
      <c r="N86" s="308" t="s">
        <v>657</v>
      </c>
      <c r="O86" s="307">
        <v>38.200000000000003</v>
      </c>
      <c r="P86" s="206">
        <f t="shared" si="4"/>
        <v>0.45843376638243694</v>
      </c>
      <c r="T86" t="s">
        <v>757</v>
      </c>
      <c r="U86" s="95">
        <v>1</v>
      </c>
      <c r="V86" s="95" t="s">
        <v>248</v>
      </c>
      <c r="W86" s="95" t="s">
        <v>178</v>
      </c>
      <c r="X86" s="95">
        <v>57.4</v>
      </c>
      <c r="Y86" s="206">
        <f t="shared" si="5"/>
        <v>1.0350793811341505</v>
      </c>
    </row>
    <row r="87" spans="1:25">
      <c r="A87" t="s">
        <v>742</v>
      </c>
      <c r="B87" s="95">
        <v>28</v>
      </c>
      <c r="C87" s="93" t="s">
        <v>236</v>
      </c>
      <c r="D87" s="304" t="s">
        <v>90</v>
      </c>
      <c r="E87" s="93">
        <v>52</v>
      </c>
      <c r="F87" s="206">
        <f t="shared" si="3"/>
        <v>0.8494866535306802</v>
      </c>
      <c r="G87" s="206"/>
      <c r="K87" t="s">
        <v>753</v>
      </c>
      <c r="L87" s="95">
        <v>16</v>
      </c>
      <c r="M87" s="93" t="s">
        <v>245</v>
      </c>
      <c r="N87" s="308" t="s">
        <v>657</v>
      </c>
      <c r="O87" s="307">
        <v>20</v>
      </c>
      <c r="P87" s="206">
        <f t="shared" si="4"/>
        <v>0.12566370614359174</v>
      </c>
      <c r="T87" t="s">
        <v>757</v>
      </c>
      <c r="U87" s="95">
        <v>2</v>
      </c>
      <c r="V87" s="93" t="s">
        <v>270</v>
      </c>
      <c r="W87" s="95" t="s">
        <v>179</v>
      </c>
      <c r="X87" s="95">
        <v>85.5</v>
      </c>
      <c r="Y87" s="206">
        <f t="shared" si="5"/>
        <v>2.2965827695904784</v>
      </c>
    </row>
    <row r="88" spans="1:25">
      <c r="A88" t="s">
        <v>742</v>
      </c>
      <c r="B88" s="95">
        <v>29</v>
      </c>
      <c r="C88" s="93" t="s">
        <v>236</v>
      </c>
      <c r="D88" s="304" t="s">
        <v>90</v>
      </c>
      <c r="E88" s="93">
        <v>42</v>
      </c>
      <c r="F88" s="206">
        <f t="shared" si="3"/>
        <v>0.55417694409323937</v>
      </c>
      <c r="G88" s="206"/>
      <c r="K88" t="s">
        <v>753</v>
      </c>
      <c r="L88" s="95">
        <v>17</v>
      </c>
      <c r="M88" s="93" t="s">
        <v>245</v>
      </c>
      <c r="N88" s="308" t="s">
        <v>657</v>
      </c>
      <c r="O88" s="307">
        <v>34.299999999999997</v>
      </c>
      <c r="P88" s="206">
        <f t="shared" si="4"/>
        <v>0.36960523410218549</v>
      </c>
      <c r="T88" t="s">
        <v>757</v>
      </c>
      <c r="U88" s="95">
        <v>3</v>
      </c>
      <c r="V88" s="95" t="s">
        <v>296</v>
      </c>
      <c r="W88" s="95" t="s">
        <v>180</v>
      </c>
      <c r="X88" s="95">
        <v>28.5</v>
      </c>
      <c r="Y88" s="206">
        <f t="shared" si="5"/>
        <v>0.25517586328783093</v>
      </c>
    </row>
    <row r="89" spans="1:25">
      <c r="A89" t="s">
        <v>742</v>
      </c>
      <c r="B89" s="95">
        <v>30</v>
      </c>
      <c r="C89" s="93" t="s">
        <v>260</v>
      </c>
      <c r="D89" s="304" t="s">
        <v>120</v>
      </c>
      <c r="E89" s="93">
        <v>60</v>
      </c>
      <c r="F89" s="206">
        <f t="shared" si="3"/>
        <v>1.1309733552923256</v>
      </c>
      <c r="G89" s="206"/>
      <c r="K89" t="s">
        <v>753</v>
      </c>
      <c r="L89" s="95">
        <v>18</v>
      </c>
      <c r="M89" s="93" t="s">
        <v>245</v>
      </c>
      <c r="N89" s="308" t="s">
        <v>657</v>
      </c>
      <c r="O89" s="307">
        <v>29.6</v>
      </c>
      <c r="P89" s="206">
        <f t="shared" si="4"/>
        <v>0.2752537819369234</v>
      </c>
      <c r="T89" t="s">
        <v>757</v>
      </c>
      <c r="U89" s="95">
        <v>4</v>
      </c>
      <c r="V89" s="95" t="s">
        <v>248</v>
      </c>
      <c r="W89" s="95" t="s">
        <v>181</v>
      </c>
      <c r="X89" s="95">
        <v>23</v>
      </c>
      <c r="Y89" s="206">
        <f t="shared" si="5"/>
        <v>0.16619025137490007</v>
      </c>
    </row>
    <row r="90" spans="1:25">
      <c r="A90" t="s">
        <v>742</v>
      </c>
      <c r="B90" s="95">
        <v>31</v>
      </c>
      <c r="C90" s="93" t="s">
        <v>230</v>
      </c>
      <c r="D90" s="304" t="s">
        <v>88</v>
      </c>
      <c r="E90" s="93">
        <v>35</v>
      </c>
      <c r="F90" s="206">
        <f t="shared" si="3"/>
        <v>0.38484510006474959</v>
      </c>
      <c r="G90" s="206"/>
      <c r="K90" t="s">
        <v>753</v>
      </c>
      <c r="L90" s="95">
        <v>19</v>
      </c>
      <c r="M90" s="93" t="s">
        <v>245</v>
      </c>
      <c r="N90" s="308" t="s">
        <v>657</v>
      </c>
      <c r="O90" s="307">
        <v>32.799999999999997</v>
      </c>
      <c r="P90" s="206">
        <f t="shared" si="4"/>
        <v>0.33798510404380422</v>
      </c>
      <c r="T90" t="s">
        <v>757</v>
      </c>
      <c r="U90" s="95">
        <v>5</v>
      </c>
      <c r="V90" s="93" t="s">
        <v>230</v>
      </c>
      <c r="W90" s="304" t="s">
        <v>88</v>
      </c>
      <c r="X90" s="95">
        <v>45.3</v>
      </c>
      <c r="Y90" s="206">
        <f t="shared" si="5"/>
        <v>0.64468308685050779</v>
      </c>
    </row>
    <row r="91" spans="1:25">
      <c r="A91" t="s">
        <v>742</v>
      </c>
      <c r="B91" s="95">
        <v>32</v>
      </c>
      <c r="C91" s="93" t="s">
        <v>236</v>
      </c>
      <c r="D91" s="304" t="s">
        <v>90</v>
      </c>
      <c r="E91" s="93">
        <v>45</v>
      </c>
      <c r="F91" s="206">
        <f t="shared" si="3"/>
        <v>0.63617251235193317</v>
      </c>
      <c r="G91" s="206"/>
      <c r="K91" t="s">
        <v>753</v>
      </c>
      <c r="L91" s="95">
        <v>20</v>
      </c>
      <c r="M91" s="93" t="s">
        <v>245</v>
      </c>
      <c r="N91" s="308" t="s">
        <v>657</v>
      </c>
      <c r="O91" s="307">
        <v>26.5</v>
      </c>
      <c r="P91" s="206">
        <f t="shared" si="4"/>
        <v>0.22061834409834322</v>
      </c>
      <c r="T91" t="s">
        <v>757</v>
      </c>
      <c r="U91" s="95">
        <v>6</v>
      </c>
      <c r="V91" s="93" t="s">
        <v>236</v>
      </c>
      <c r="W91" s="95" t="s">
        <v>90</v>
      </c>
      <c r="X91" s="95">
        <v>45.2</v>
      </c>
      <c r="Y91" s="206">
        <f t="shared" si="5"/>
        <v>0.64183994549900913</v>
      </c>
    </row>
    <row r="92" spans="1:25">
      <c r="A92" t="s">
        <v>743</v>
      </c>
      <c r="B92" s="93">
        <v>1</v>
      </c>
      <c r="C92" s="93" t="s">
        <v>230</v>
      </c>
      <c r="D92" s="304" t="s">
        <v>88</v>
      </c>
      <c r="E92" s="93">
        <v>58</v>
      </c>
      <c r="F92" s="206">
        <f t="shared" si="3"/>
        <v>1.0568317686676063</v>
      </c>
      <c r="G92" s="206"/>
      <c r="K92" t="s">
        <v>753</v>
      </c>
      <c r="L92" s="95">
        <v>21</v>
      </c>
      <c r="M92" s="93" t="s">
        <v>245</v>
      </c>
      <c r="N92" s="308" t="s">
        <v>657</v>
      </c>
      <c r="O92" s="307">
        <v>21.9</v>
      </c>
      <c r="P92" s="206">
        <f t="shared" si="4"/>
        <v>0.15067392525882001</v>
      </c>
      <c r="T92" t="s">
        <v>757</v>
      </c>
      <c r="U92" s="95">
        <v>7</v>
      </c>
      <c r="V92" s="93" t="s">
        <v>233</v>
      </c>
      <c r="W92" s="306" t="s">
        <v>124</v>
      </c>
      <c r="X92" s="95">
        <v>60.6</v>
      </c>
      <c r="Y92" s="206">
        <f t="shared" si="5"/>
        <v>1.1537059197337012</v>
      </c>
    </row>
    <row r="93" spans="1:25">
      <c r="A93" t="s">
        <v>743</v>
      </c>
      <c r="B93" s="93">
        <v>2</v>
      </c>
      <c r="C93" s="93" t="s">
        <v>230</v>
      </c>
      <c r="D93" s="304" t="s">
        <v>88</v>
      </c>
      <c r="E93" s="93">
        <v>68</v>
      </c>
      <c r="F93" s="206">
        <f t="shared" si="3"/>
        <v>1.4526724430199205</v>
      </c>
      <c r="G93" s="206"/>
      <c r="K93" t="s">
        <v>753</v>
      </c>
      <c r="L93" s="95">
        <v>22</v>
      </c>
      <c r="M93" s="93" t="s">
        <v>245</v>
      </c>
      <c r="N93" s="308" t="s">
        <v>657</v>
      </c>
      <c r="O93" s="307">
        <v>28.3</v>
      </c>
      <c r="P93" s="206">
        <f t="shared" si="4"/>
        <v>0.25160701403335295</v>
      </c>
      <c r="T93" t="s">
        <v>757</v>
      </c>
      <c r="U93" s="95">
        <v>8</v>
      </c>
      <c r="V93" s="93" t="s">
        <v>236</v>
      </c>
      <c r="W93" s="95" t="s">
        <v>90</v>
      </c>
      <c r="X93" s="95">
        <v>35.4</v>
      </c>
      <c r="Y93" s="206">
        <f t="shared" si="5"/>
        <v>0.39369182497725841</v>
      </c>
    </row>
    <row r="94" spans="1:25">
      <c r="A94" t="s">
        <v>743</v>
      </c>
      <c r="B94" s="93">
        <v>3</v>
      </c>
      <c r="C94" s="93" t="s">
        <v>268</v>
      </c>
      <c r="D94" s="306" t="s">
        <v>486</v>
      </c>
      <c r="E94" s="93">
        <v>47</v>
      </c>
      <c r="F94" s="206">
        <f t="shared" si="3"/>
        <v>0.69397781717798523</v>
      </c>
      <c r="G94" s="206"/>
      <c r="K94" t="s">
        <v>753</v>
      </c>
      <c r="L94" s="95">
        <v>23</v>
      </c>
      <c r="M94" s="93" t="s">
        <v>245</v>
      </c>
      <c r="N94" s="308" t="s">
        <v>657</v>
      </c>
      <c r="O94" s="307">
        <v>34.200000000000003</v>
      </c>
      <c r="P94" s="206">
        <f t="shared" si="4"/>
        <v>0.36745324313447658</v>
      </c>
      <c r="T94" t="s">
        <v>757</v>
      </c>
      <c r="U94" s="95">
        <v>9</v>
      </c>
      <c r="V94" s="93" t="s">
        <v>261</v>
      </c>
      <c r="W94" s="95" t="s">
        <v>95</v>
      </c>
      <c r="X94" s="95">
        <v>21</v>
      </c>
      <c r="Y94" s="206">
        <f t="shared" si="5"/>
        <v>0.13854423602330984</v>
      </c>
    </row>
    <row r="95" spans="1:25">
      <c r="A95" t="s">
        <v>743</v>
      </c>
      <c r="B95" s="93">
        <v>4</v>
      </c>
      <c r="C95" s="93" t="s">
        <v>230</v>
      </c>
      <c r="D95" s="304" t="s">
        <v>88</v>
      </c>
      <c r="E95" s="93">
        <v>53</v>
      </c>
      <c r="F95" s="206">
        <f t="shared" si="3"/>
        <v>0.88247337639337287</v>
      </c>
      <c r="G95" s="206"/>
      <c r="K95" t="s">
        <v>753</v>
      </c>
      <c r="L95" s="95">
        <v>24</v>
      </c>
      <c r="M95" s="93" t="s">
        <v>245</v>
      </c>
      <c r="N95" s="308" t="s">
        <v>657</v>
      </c>
      <c r="O95" s="307">
        <v>22.1</v>
      </c>
      <c r="P95" s="206">
        <f t="shared" si="4"/>
        <v>0.1534385267939791</v>
      </c>
      <c r="T95" t="s">
        <v>757</v>
      </c>
      <c r="U95" s="95">
        <v>10</v>
      </c>
      <c r="V95" s="93" t="s">
        <v>261</v>
      </c>
      <c r="W95" s="95" t="s">
        <v>95</v>
      </c>
      <c r="X95" s="95">
        <v>25</v>
      </c>
      <c r="Y95" s="206">
        <f t="shared" si="5"/>
        <v>0.19634954084936207</v>
      </c>
    </row>
    <row r="96" spans="1:25">
      <c r="A96" t="s">
        <v>743</v>
      </c>
      <c r="B96" s="93">
        <v>5</v>
      </c>
      <c r="C96" s="93" t="s">
        <v>229</v>
      </c>
      <c r="D96" s="93" t="s">
        <v>160</v>
      </c>
      <c r="E96" s="93">
        <v>36</v>
      </c>
      <c r="F96" s="206">
        <f t="shared" si="3"/>
        <v>0.4071504079052371</v>
      </c>
      <c r="G96" s="206"/>
      <c r="K96" t="s">
        <v>753</v>
      </c>
      <c r="L96" s="95">
        <v>25</v>
      </c>
      <c r="M96" s="93" t="s">
        <v>230</v>
      </c>
      <c r="N96" s="304" t="s">
        <v>88</v>
      </c>
      <c r="O96" s="307">
        <v>26.7</v>
      </c>
      <c r="P96" s="206">
        <f t="shared" si="4"/>
        <v>0.22396099868176278</v>
      </c>
      <c r="T96" t="s">
        <v>757</v>
      </c>
      <c r="U96" s="95">
        <v>11</v>
      </c>
      <c r="V96" s="93" t="s">
        <v>294</v>
      </c>
      <c r="W96" s="95" t="s">
        <v>182</v>
      </c>
      <c r="X96" s="95">
        <v>23.6</v>
      </c>
      <c r="Y96" s="206">
        <f t="shared" si="5"/>
        <v>0.17497414443433715</v>
      </c>
    </row>
    <row r="97" spans="1:25">
      <c r="A97" t="s">
        <v>743</v>
      </c>
      <c r="B97" s="93">
        <v>6</v>
      </c>
      <c r="C97" s="93" t="s">
        <v>250</v>
      </c>
      <c r="D97" s="304" t="s">
        <v>94</v>
      </c>
      <c r="E97" s="93">
        <v>27</v>
      </c>
      <c r="F97" s="206">
        <f t="shared" si="3"/>
        <v>0.22902210444669593</v>
      </c>
      <c r="G97" s="206"/>
      <c r="K97" t="s">
        <v>753</v>
      </c>
      <c r="L97" s="95">
        <v>26</v>
      </c>
      <c r="M97" s="93" t="s">
        <v>230</v>
      </c>
      <c r="N97" s="304" t="s">
        <v>88</v>
      </c>
      <c r="O97" s="307">
        <v>35.5</v>
      </c>
      <c r="P97" s="206">
        <f t="shared" si="4"/>
        <v>0.39591921416865367</v>
      </c>
      <c r="T97" t="s">
        <v>757</v>
      </c>
      <c r="U97" s="95">
        <v>12</v>
      </c>
      <c r="V97" s="93" t="s">
        <v>294</v>
      </c>
      <c r="W97" s="95" t="s">
        <v>182</v>
      </c>
      <c r="X97" s="95">
        <v>28.7</v>
      </c>
      <c r="Y97" s="206">
        <f t="shared" si="5"/>
        <v>0.25876984528353764</v>
      </c>
    </row>
    <row r="98" spans="1:25">
      <c r="A98" t="s">
        <v>743</v>
      </c>
      <c r="B98" s="93">
        <v>7</v>
      </c>
      <c r="C98" s="93" t="s">
        <v>230</v>
      </c>
      <c r="D98" s="304" t="s">
        <v>88</v>
      </c>
      <c r="E98" s="93">
        <v>63</v>
      </c>
      <c r="F98" s="206">
        <f t="shared" si="3"/>
        <v>1.246898124209789</v>
      </c>
      <c r="G98" s="206"/>
      <c r="K98" t="s">
        <v>753</v>
      </c>
      <c r="L98" s="95">
        <v>27</v>
      </c>
      <c r="M98" s="93" t="s">
        <v>230</v>
      </c>
      <c r="N98" s="304" t="s">
        <v>88</v>
      </c>
      <c r="O98" s="307">
        <v>20.100000000000001</v>
      </c>
      <c r="P98" s="206">
        <f t="shared" si="4"/>
        <v>0.12692348479768126</v>
      </c>
      <c r="T98" t="s">
        <v>757</v>
      </c>
      <c r="U98" s="95">
        <v>13</v>
      </c>
      <c r="V98" s="93" t="s">
        <v>264</v>
      </c>
      <c r="W98" s="95" t="s">
        <v>183</v>
      </c>
      <c r="X98" s="95">
        <v>30.2</v>
      </c>
      <c r="Y98" s="206">
        <f t="shared" si="5"/>
        <v>0.28652581637800345</v>
      </c>
    </row>
    <row r="99" spans="1:25">
      <c r="A99" t="s">
        <v>743</v>
      </c>
      <c r="B99" s="93">
        <v>8</v>
      </c>
      <c r="C99" s="93" t="s">
        <v>305</v>
      </c>
      <c r="D99" s="93" t="s">
        <v>121</v>
      </c>
      <c r="E99" s="93">
        <v>30</v>
      </c>
      <c r="F99" s="206">
        <f t="shared" si="3"/>
        <v>0.28274333882308139</v>
      </c>
      <c r="G99" s="206"/>
      <c r="K99" t="s">
        <v>753</v>
      </c>
      <c r="L99" s="95">
        <v>28</v>
      </c>
      <c r="M99" s="93" t="s">
        <v>230</v>
      </c>
      <c r="N99" s="304" t="s">
        <v>88</v>
      </c>
      <c r="O99" s="307">
        <v>26.9</v>
      </c>
      <c r="P99" s="206">
        <f t="shared" si="4"/>
        <v>0.22732878600641096</v>
      </c>
      <c r="T99" t="s">
        <v>757</v>
      </c>
      <c r="U99" s="95">
        <v>14</v>
      </c>
      <c r="V99" s="93" t="s">
        <v>233</v>
      </c>
      <c r="W99" s="306" t="s">
        <v>124</v>
      </c>
      <c r="X99" s="95">
        <v>22</v>
      </c>
      <c r="Y99" s="206">
        <f t="shared" si="5"/>
        <v>0.15205308443374599</v>
      </c>
    </row>
    <row r="100" spans="1:25">
      <c r="A100" t="s">
        <v>743</v>
      </c>
      <c r="B100" s="93">
        <v>9</v>
      </c>
      <c r="C100" s="93" t="s">
        <v>230</v>
      </c>
      <c r="D100" s="304" t="s">
        <v>88</v>
      </c>
      <c r="E100" s="93">
        <v>64</v>
      </c>
      <c r="F100" s="206">
        <f t="shared" si="3"/>
        <v>1.2867963509103792</v>
      </c>
      <c r="G100" s="206"/>
      <c r="K100" t="s">
        <v>753</v>
      </c>
      <c r="L100" s="95">
        <v>29</v>
      </c>
      <c r="M100" s="93" t="s">
        <v>230</v>
      </c>
      <c r="N100" s="304" t="s">
        <v>88</v>
      </c>
      <c r="O100" s="95">
        <v>33.799999999999997</v>
      </c>
      <c r="P100" s="206">
        <f t="shared" si="4"/>
        <v>0.35890811111671228</v>
      </c>
      <c r="T100" t="s">
        <v>757</v>
      </c>
      <c r="U100" s="95">
        <v>15</v>
      </c>
      <c r="V100" s="93" t="s">
        <v>294</v>
      </c>
      <c r="W100" s="95" t="s">
        <v>182</v>
      </c>
      <c r="X100" s="95">
        <v>32</v>
      </c>
      <c r="Y100" s="206">
        <f t="shared" si="5"/>
        <v>0.32169908772759481</v>
      </c>
    </row>
    <row r="101" spans="1:25">
      <c r="A101" t="s">
        <v>743</v>
      </c>
      <c r="B101" s="93">
        <v>10</v>
      </c>
      <c r="C101" s="93" t="s">
        <v>245</v>
      </c>
      <c r="D101" s="304" t="s">
        <v>118</v>
      </c>
      <c r="E101" s="93">
        <v>37</v>
      </c>
      <c r="F101" s="206">
        <f t="shared" si="3"/>
        <v>0.43008403427644265</v>
      </c>
      <c r="G101" s="206"/>
      <c r="T101" t="s">
        <v>757</v>
      </c>
      <c r="U101" s="95">
        <v>16</v>
      </c>
      <c r="V101" s="93" t="s">
        <v>230</v>
      </c>
      <c r="W101" s="304" t="s">
        <v>88</v>
      </c>
      <c r="X101" s="95">
        <v>36.4</v>
      </c>
      <c r="Y101" s="206">
        <f t="shared" si="5"/>
        <v>0.41624846023003326</v>
      </c>
    </row>
    <row r="102" spans="1:25">
      <c r="A102" t="s">
        <v>743</v>
      </c>
      <c r="B102" s="93">
        <v>11</v>
      </c>
      <c r="C102" s="93" t="s">
        <v>236</v>
      </c>
      <c r="D102" s="304" t="s">
        <v>90</v>
      </c>
      <c r="E102" s="93">
        <v>58</v>
      </c>
      <c r="F102" s="206">
        <f t="shared" si="3"/>
        <v>1.0568317686676063</v>
      </c>
      <c r="G102" s="206"/>
      <c r="T102" t="s">
        <v>757</v>
      </c>
      <c r="U102" s="95">
        <v>17</v>
      </c>
      <c r="V102" s="95" t="s">
        <v>291</v>
      </c>
      <c r="W102" s="95" t="s">
        <v>150</v>
      </c>
      <c r="X102" s="95">
        <v>44</v>
      </c>
      <c r="Y102" s="206">
        <f t="shared" si="5"/>
        <v>0.60821233773498395</v>
      </c>
    </row>
    <row r="103" spans="1:25">
      <c r="A103" t="s">
        <v>743</v>
      </c>
      <c r="B103" s="93">
        <v>12</v>
      </c>
      <c r="C103" s="93" t="s">
        <v>230</v>
      </c>
      <c r="D103" s="304" t="s">
        <v>88</v>
      </c>
      <c r="E103" s="93">
        <v>54</v>
      </c>
      <c r="F103" s="206">
        <f t="shared" si="3"/>
        <v>0.91608841778678374</v>
      </c>
      <c r="G103" s="206"/>
      <c r="T103" t="s">
        <v>757</v>
      </c>
      <c r="U103" s="95">
        <v>18</v>
      </c>
      <c r="V103" s="93" t="s">
        <v>230</v>
      </c>
      <c r="W103" s="304" t="s">
        <v>88</v>
      </c>
      <c r="X103" s="95">
        <v>25.5</v>
      </c>
      <c r="Y103" s="206">
        <f t="shared" si="5"/>
        <v>0.2042820622996763</v>
      </c>
    </row>
    <row r="104" spans="1:25">
      <c r="A104" t="s">
        <v>743</v>
      </c>
      <c r="B104" s="93">
        <v>13</v>
      </c>
      <c r="C104" s="93" t="s">
        <v>264</v>
      </c>
      <c r="D104" s="93" t="s">
        <v>93</v>
      </c>
      <c r="E104" s="93">
        <v>45</v>
      </c>
      <c r="F104" s="206">
        <f t="shared" si="3"/>
        <v>0.63617251235193317</v>
      </c>
      <c r="G104" s="206"/>
      <c r="T104" t="s">
        <v>757</v>
      </c>
      <c r="U104" s="95">
        <v>19</v>
      </c>
      <c r="V104" s="93" t="s">
        <v>265</v>
      </c>
      <c r="W104" s="95" t="s">
        <v>137</v>
      </c>
      <c r="X104" s="95">
        <v>35.799999999999997</v>
      </c>
      <c r="Y104" s="206">
        <f t="shared" si="5"/>
        <v>0.40263908085468225</v>
      </c>
    </row>
    <row r="105" spans="1:25">
      <c r="A105" t="s">
        <v>743</v>
      </c>
      <c r="B105" s="93">
        <v>14</v>
      </c>
      <c r="C105" s="93" t="s">
        <v>265</v>
      </c>
      <c r="D105" s="93" t="s">
        <v>169</v>
      </c>
      <c r="E105" s="93">
        <v>37</v>
      </c>
      <c r="F105" s="206">
        <f t="shared" si="3"/>
        <v>0.43008403427644265</v>
      </c>
      <c r="G105" s="206"/>
      <c r="T105" t="s">
        <v>757</v>
      </c>
      <c r="U105" s="95">
        <v>20</v>
      </c>
      <c r="V105" s="93" t="s">
        <v>230</v>
      </c>
      <c r="W105" s="304" t="s">
        <v>88</v>
      </c>
      <c r="X105" s="95">
        <v>22.9</v>
      </c>
      <c r="Y105" s="206">
        <f t="shared" si="5"/>
        <v>0.16474826034690232</v>
      </c>
    </row>
    <row r="106" spans="1:25">
      <c r="A106" t="s">
        <v>743</v>
      </c>
      <c r="B106" s="93">
        <v>15</v>
      </c>
      <c r="C106" s="93" t="s">
        <v>229</v>
      </c>
      <c r="D106" s="93" t="s">
        <v>164</v>
      </c>
      <c r="E106" s="93">
        <v>45</v>
      </c>
      <c r="F106" s="206">
        <f t="shared" si="3"/>
        <v>0.63617251235193317</v>
      </c>
      <c r="G106" s="206"/>
      <c r="T106" t="s">
        <v>757</v>
      </c>
      <c r="U106" s="95">
        <v>21</v>
      </c>
      <c r="V106" s="95" t="s">
        <v>248</v>
      </c>
      <c r="W106" s="95" t="s">
        <v>181</v>
      </c>
      <c r="X106" s="95">
        <v>32.5</v>
      </c>
      <c r="Y106" s="206">
        <f t="shared" si="5"/>
        <v>0.33183072403542191</v>
      </c>
    </row>
    <row r="107" spans="1:25">
      <c r="A107" t="s">
        <v>743</v>
      </c>
      <c r="B107" s="93">
        <v>16</v>
      </c>
      <c r="C107" s="93" t="s">
        <v>258</v>
      </c>
      <c r="D107" s="304" t="s">
        <v>119</v>
      </c>
      <c r="E107" s="93">
        <v>23</v>
      </c>
      <c r="F107" s="206">
        <f t="shared" si="3"/>
        <v>0.16619025137490007</v>
      </c>
      <c r="G107" s="206"/>
      <c r="T107" t="s">
        <v>757</v>
      </c>
      <c r="U107" s="95">
        <v>22</v>
      </c>
      <c r="V107" s="93" t="s">
        <v>230</v>
      </c>
      <c r="W107" s="304" t="s">
        <v>88</v>
      </c>
      <c r="X107" s="95">
        <v>61</v>
      </c>
      <c r="Y107" s="206">
        <f t="shared" si="5"/>
        <v>1.168986626400762</v>
      </c>
    </row>
    <row r="108" spans="1:25">
      <c r="A108" t="s">
        <v>743</v>
      </c>
      <c r="B108" s="93">
        <v>17</v>
      </c>
      <c r="C108" s="305" t="s">
        <v>309</v>
      </c>
      <c r="D108" s="93"/>
      <c r="E108" s="93">
        <v>20</v>
      </c>
      <c r="F108" s="206">
        <f t="shared" si="3"/>
        <v>0.12566370614359174</v>
      </c>
      <c r="G108" s="206"/>
      <c r="T108" t="s">
        <v>757</v>
      </c>
      <c r="U108" s="95">
        <v>23</v>
      </c>
      <c r="V108" s="95" t="s">
        <v>287</v>
      </c>
      <c r="W108" s="95"/>
      <c r="X108" s="95">
        <v>30</v>
      </c>
      <c r="Y108" s="206">
        <f t="shared" si="5"/>
        <v>0.28274333882308139</v>
      </c>
    </row>
    <row r="109" spans="1:25">
      <c r="A109" t="s">
        <v>743</v>
      </c>
      <c r="B109" s="93">
        <v>18</v>
      </c>
      <c r="C109" s="93" t="s">
        <v>265</v>
      </c>
      <c r="D109" s="93" t="s">
        <v>137</v>
      </c>
      <c r="E109" s="93">
        <v>54</v>
      </c>
      <c r="F109" s="206">
        <f t="shared" si="3"/>
        <v>0.91608841778678374</v>
      </c>
      <c r="G109" s="206"/>
      <c r="T109" t="s">
        <v>757</v>
      </c>
      <c r="U109" s="95">
        <v>24</v>
      </c>
      <c r="V109" s="95" t="s">
        <v>281</v>
      </c>
      <c r="W109" s="95" t="s">
        <v>185</v>
      </c>
      <c r="X109" s="95">
        <v>31.7</v>
      </c>
      <c r="Y109" s="206">
        <f t="shared" si="5"/>
        <v>0.31569550416658476</v>
      </c>
    </row>
    <row r="110" spans="1:25">
      <c r="A110" t="s">
        <v>743</v>
      </c>
      <c r="B110" s="93">
        <v>19</v>
      </c>
      <c r="C110" s="93" t="s">
        <v>273</v>
      </c>
      <c r="D110" s="304" t="s">
        <v>101</v>
      </c>
      <c r="E110" s="93">
        <v>37</v>
      </c>
      <c r="F110" s="206">
        <f t="shared" si="3"/>
        <v>0.43008403427644265</v>
      </c>
      <c r="G110" s="206"/>
      <c r="T110" t="s">
        <v>757</v>
      </c>
      <c r="U110" s="95">
        <v>25</v>
      </c>
      <c r="V110" s="95" t="s">
        <v>248</v>
      </c>
      <c r="W110" s="95" t="s">
        <v>181</v>
      </c>
      <c r="X110" s="95">
        <v>50.8</v>
      </c>
      <c r="Y110" s="206">
        <f t="shared" si="5"/>
        <v>0.81073196655599633</v>
      </c>
    </row>
    <row r="111" spans="1:25">
      <c r="A111" t="s">
        <v>743</v>
      </c>
      <c r="B111" s="93">
        <v>20</v>
      </c>
      <c r="C111" s="93" t="s">
        <v>230</v>
      </c>
      <c r="D111" s="304" t="s">
        <v>88</v>
      </c>
      <c r="E111" s="93">
        <v>70</v>
      </c>
      <c r="F111" s="206">
        <f t="shared" si="3"/>
        <v>1.5393804002589984</v>
      </c>
      <c r="G111" s="206"/>
      <c r="T111" t="s">
        <v>757</v>
      </c>
      <c r="U111" s="95">
        <v>26</v>
      </c>
      <c r="V111" s="93" t="s">
        <v>230</v>
      </c>
      <c r="W111" s="304" t="s">
        <v>88</v>
      </c>
      <c r="X111" s="95">
        <v>42.9</v>
      </c>
      <c r="Y111" s="206">
        <f t="shared" si="5"/>
        <v>0.57818185355931906</v>
      </c>
    </row>
    <row r="112" spans="1:25">
      <c r="A112" t="s">
        <v>743</v>
      </c>
      <c r="B112" s="93">
        <v>21</v>
      </c>
      <c r="C112" s="93" t="s">
        <v>230</v>
      </c>
      <c r="D112" s="304" t="s">
        <v>88</v>
      </c>
      <c r="E112" s="93">
        <v>32</v>
      </c>
      <c r="F112" s="206">
        <f t="shared" si="3"/>
        <v>0.32169908772759481</v>
      </c>
      <c r="G112" s="206"/>
      <c r="T112" t="s">
        <v>757</v>
      </c>
      <c r="U112" s="95">
        <v>27</v>
      </c>
      <c r="V112" s="95" t="s">
        <v>248</v>
      </c>
      <c r="W112" s="95" t="s">
        <v>181</v>
      </c>
      <c r="X112" s="95">
        <v>40.9</v>
      </c>
      <c r="Y112" s="206">
        <f t="shared" si="5"/>
        <v>0.52552876068515408</v>
      </c>
    </row>
    <row r="113" spans="1:25">
      <c r="A113" t="s">
        <v>743</v>
      </c>
      <c r="B113" s="93">
        <v>22</v>
      </c>
      <c r="C113" s="93" t="s">
        <v>230</v>
      </c>
      <c r="D113" s="304" t="s">
        <v>88</v>
      </c>
      <c r="E113" s="93">
        <v>63</v>
      </c>
      <c r="F113" s="206">
        <f t="shared" si="3"/>
        <v>1.246898124209789</v>
      </c>
      <c r="G113" s="206"/>
      <c r="T113" t="s">
        <v>757</v>
      </c>
      <c r="U113" s="95">
        <v>28</v>
      </c>
      <c r="V113" s="93" t="s">
        <v>230</v>
      </c>
      <c r="W113" s="304" t="s">
        <v>88</v>
      </c>
      <c r="X113" s="95">
        <v>27</v>
      </c>
      <c r="Y113" s="206">
        <f t="shared" si="5"/>
        <v>0.22902210444669593</v>
      </c>
    </row>
    <row r="114" spans="1:25">
      <c r="A114" t="s">
        <v>743</v>
      </c>
      <c r="B114" s="93">
        <v>23</v>
      </c>
      <c r="C114" s="93" t="s">
        <v>258</v>
      </c>
      <c r="D114" s="304" t="s">
        <v>119</v>
      </c>
      <c r="E114" s="93">
        <v>23</v>
      </c>
      <c r="F114" s="206">
        <f t="shared" si="3"/>
        <v>0.16619025137490007</v>
      </c>
      <c r="G114" s="206"/>
      <c r="T114" t="s">
        <v>757</v>
      </c>
      <c r="U114" s="95">
        <v>29</v>
      </c>
      <c r="V114" s="305" t="s">
        <v>299</v>
      </c>
      <c r="W114" s="95" t="s">
        <v>186</v>
      </c>
      <c r="X114" s="95">
        <v>30.2</v>
      </c>
      <c r="Y114" s="206">
        <f t="shared" si="5"/>
        <v>0.28652581637800345</v>
      </c>
    </row>
    <row r="115" spans="1:25">
      <c r="A115" t="s">
        <v>743</v>
      </c>
      <c r="B115" s="93">
        <v>24</v>
      </c>
      <c r="C115" s="93" t="s">
        <v>258</v>
      </c>
      <c r="D115" s="304" t="s">
        <v>119</v>
      </c>
      <c r="E115" s="93">
        <v>26</v>
      </c>
      <c r="F115" s="206">
        <f t="shared" si="3"/>
        <v>0.21237166338267005</v>
      </c>
      <c r="G115" s="206"/>
      <c r="T115" t="s">
        <v>757</v>
      </c>
      <c r="U115" s="95">
        <v>30</v>
      </c>
      <c r="V115" s="95" t="s">
        <v>248</v>
      </c>
      <c r="W115" s="95" t="s">
        <v>181</v>
      </c>
      <c r="X115" s="95">
        <v>46</v>
      </c>
      <c r="Y115" s="206">
        <f t="shared" si="5"/>
        <v>0.66476100549960027</v>
      </c>
    </row>
    <row r="116" spans="1:25">
      <c r="A116" t="s">
        <v>743</v>
      </c>
      <c r="B116" s="93">
        <v>25</v>
      </c>
      <c r="C116" s="93" t="s">
        <v>253</v>
      </c>
      <c r="D116" s="304" t="s">
        <v>122</v>
      </c>
      <c r="E116" s="93">
        <v>42</v>
      </c>
      <c r="F116" s="206">
        <f t="shared" si="3"/>
        <v>0.55417694409323937</v>
      </c>
      <c r="G116" s="206"/>
      <c r="T116" t="s">
        <v>757</v>
      </c>
      <c r="U116" s="95">
        <v>31</v>
      </c>
      <c r="V116" s="95" t="s">
        <v>248</v>
      </c>
      <c r="W116" s="95" t="s">
        <v>181</v>
      </c>
      <c r="X116" s="95">
        <v>29</v>
      </c>
      <c r="Y116" s="206">
        <f t="shared" si="5"/>
        <v>0.26420794216690158</v>
      </c>
    </row>
    <row r="117" spans="1:25">
      <c r="A117" t="s">
        <v>743</v>
      </c>
      <c r="B117" s="93">
        <v>26</v>
      </c>
      <c r="C117" s="93" t="s">
        <v>268</v>
      </c>
      <c r="D117" s="93" t="s">
        <v>163</v>
      </c>
      <c r="E117" s="93">
        <v>41</v>
      </c>
      <c r="F117" s="206">
        <f t="shared" si="3"/>
        <v>0.52810172506844411</v>
      </c>
      <c r="G117" s="206"/>
      <c r="T117" t="s">
        <v>757</v>
      </c>
      <c r="U117" s="95">
        <v>32</v>
      </c>
      <c r="V117" s="95" t="s">
        <v>286</v>
      </c>
      <c r="W117" s="95" t="s">
        <v>187</v>
      </c>
      <c r="X117" s="95">
        <v>30.6</v>
      </c>
      <c r="Y117" s="206">
        <f t="shared" si="5"/>
        <v>0.29416616971153386</v>
      </c>
    </row>
    <row r="118" spans="1:25">
      <c r="A118" t="s">
        <v>743</v>
      </c>
      <c r="B118" s="93">
        <v>27</v>
      </c>
      <c r="C118" s="93" t="s">
        <v>230</v>
      </c>
      <c r="D118" s="304" t="s">
        <v>88</v>
      </c>
      <c r="E118" s="93">
        <v>63</v>
      </c>
      <c r="F118" s="206">
        <f t="shared" si="3"/>
        <v>1.246898124209789</v>
      </c>
      <c r="G118" s="206"/>
      <c r="T118" t="s">
        <v>757</v>
      </c>
      <c r="U118" s="95">
        <v>33</v>
      </c>
      <c r="V118" s="93" t="s">
        <v>264</v>
      </c>
      <c r="W118" s="95" t="s">
        <v>188</v>
      </c>
      <c r="X118" s="95">
        <v>43.7</v>
      </c>
      <c r="Y118" s="206">
        <f t="shared" si="5"/>
        <v>0.59994680746338935</v>
      </c>
    </row>
    <row r="119" spans="1:25">
      <c r="A119" t="s">
        <v>743</v>
      </c>
      <c r="B119" s="93">
        <v>28</v>
      </c>
      <c r="C119" s="93" t="s">
        <v>230</v>
      </c>
      <c r="D119" s="304" t="s">
        <v>88</v>
      </c>
      <c r="E119" s="93">
        <v>63</v>
      </c>
      <c r="F119" s="206">
        <f t="shared" si="3"/>
        <v>1.246898124209789</v>
      </c>
      <c r="G119" s="206"/>
      <c r="T119" t="s">
        <v>757</v>
      </c>
      <c r="U119" s="95">
        <v>34</v>
      </c>
      <c r="V119" s="93" t="s">
        <v>233</v>
      </c>
      <c r="W119" s="306" t="s">
        <v>124</v>
      </c>
      <c r="X119" s="95">
        <v>74.5</v>
      </c>
      <c r="Y119" s="206">
        <f t="shared" si="5"/>
        <v>1.743662462558675</v>
      </c>
    </row>
    <row r="120" spans="1:25">
      <c r="A120" t="s">
        <v>743</v>
      </c>
      <c r="B120" s="93">
        <v>29</v>
      </c>
      <c r="C120" s="93" t="s">
        <v>270</v>
      </c>
      <c r="D120" s="304" t="s">
        <v>96</v>
      </c>
      <c r="E120" s="93">
        <v>67</v>
      </c>
      <c r="F120" s="206">
        <f t="shared" si="3"/>
        <v>1.4102609421964583</v>
      </c>
      <c r="G120" s="206"/>
      <c r="T120" t="s">
        <v>757</v>
      </c>
      <c r="U120" s="95">
        <v>35</v>
      </c>
      <c r="V120" s="95" t="s">
        <v>280</v>
      </c>
      <c r="W120" s="95" t="s">
        <v>189</v>
      </c>
      <c r="X120" s="95">
        <v>27.5</v>
      </c>
      <c r="Y120" s="206">
        <f t="shared" si="5"/>
        <v>0.23758294442772812</v>
      </c>
    </row>
    <row r="121" spans="1:25">
      <c r="A121" t="s">
        <v>743</v>
      </c>
      <c r="B121" s="93">
        <v>30</v>
      </c>
      <c r="C121" s="93" t="s">
        <v>253</v>
      </c>
      <c r="D121" s="304" t="s">
        <v>122</v>
      </c>
      <c r="E121" s="93">
        <v>35</v>
      </c>
      <c r="F121" s="206">
        <f t="shared" si="3"/>
        <v>0.38484510006474959</v>
      </c>
      <c r="G121" s="206"/>
      <c r="T121" t="s">
        <v>757</v>
      </c>
      <c r="U121" s="95">
        <v>36</v>
      </c>
      <c r="V121" s="93" t="s">
        <v>260</v>
      </c>
      <c r="W121" s="95" t="s">
        <v>120</v>
      </c>
      <c r="X121" s="95">
        <v>40.200000000000003</v>
      </c>
      <c r="Y121" s="206">
        <f t="shared" si="5"/>
        <v>0.50769393919072503</v>
      </c>
    </row>
    <row r="122" spans="1:25">
      <c r="A122" t="s">
        <v>743</v>
      </c>
      <c r="B122" s="93">
        <v>31</v>
      </c>
      <c r="C122" s="93" t="s">
        <v>277</v>
      </c>
      <c r="D122" s="93" t="s">
        <v>190</v>
      </c>
      <c r="E122" s="93">
        <v>27</v>
      </c>
      <c r="F122" s="206">
        <f t="shared" si="3"/>
        <v>0.22902210444669593</v>
      </c>
      <c r="G122" s="206"/>
      <c r="T122" t="s">
        <v>757</v>
      </c>
      <c r="U122" s="95">
        <v>37</v>
      </c>
      <c r="V122" s="93" t="s">
        <v>230</v>
      </c>
      <c r="W122" s="304" t="s">
        <v>88</v>
      </c>
      <c r="X122" s="95">
        <v>39.700000000000003</v>
      </c>
      <c r="Y122" s="206">
        <f t="shared" si="5"/>
        <v>0.4951432765396338</v>
      </c>
    </row>
    <row r="123" spans="1:25">
      <c r="A123" t="s">
        <v>743</v>
      </c>
      <c r="B123" s="93">
        <v>32</v>
      </c>
      <c r="C123" s="93" t="s">
        <v>301</v>
      </c>
      <c r="D123" s="93" t="s">
        <v>172</v>
      </c>
      <c r="E123" s="93">
        <v>37</v>
      </c>
      <c r="F123" s="206">
        <f t="shared" si="3"/>
        <v>0.43008403427644265</v>
      </c>
      <c r="G123" s="206"/>
      <c r="T123" t="s">
        <v>758</v>
      </c>
      <c r="U123" s="95">
        <v>1</v>
      </c>
      <c r="V123" s="93" t="s">
        <v>229</v>
      </c>
      <c r="W123" s="306" t="s">
        <v>681</v>
      </c>
      <c r="X123" s="95">
        <v>31.9</v>
      </c>
      <c r="Y123" s="206">
        <f t="shared" si="5"/>
        <v>0.31969161002195096</v>
      </c>
    </row>
    <row r="124" spans="1:25">
      <c r="A124" t="s">
        <v>743</v>
      </c>
      <c r="B124" s="93">
        <v>33</v>
      </c>
      <c r="C124" s="305" t="s">
        <v>309</v>
      </c>
      <c r="D124" s="93"/>
      <c r="E124" s="93">
        <v>48</v>
      </c>
      <c r="F124" s="206">
        <f t="shared" si="3"/>
        <v>0.7238229473870883</v>
      </c>
      <c r="G124" s="206"/>
      <c r="T124" t="s">
        <v>758</v>
      </c>
      <c r="U124" s="95">
        <v>2</v>
      </c>
      <c r="V124" s="93" t="s">
        <v>230</v>
      </c>
      <c r="W124" s="304" t="s">
        <v>88</v>
      </c>
      <c r="X124" s="95">
        <v>72</v>
      </c>
      <c r="Y124" s="206">
        <f t="shared" si="5"/>
        <v>1.6286016316209484</v>
      </c>
    </row>
    <row r="125" spans="1:25">
      <c r="A125" t="s">
        <v>744</v>
      </c>
      <c r="B125" s="93">
        <v>1</v>
      </c>
      <c r="C125" s="93" t="s">
        <v>230</v>
      </c>
      <c r="D125" s="304" t="s">
        <v>88</v>
      </c>
      <c r="E125" s="93">
        <v>46</v>
      </c>
      <c r="F125" s="206">
        <f t="shared" si="3"/>
        <v>0.66476100549960027</v>
      </c>
      <c r="G125" s="206"/>
      <c r="T125" t="s">
        <v>758</v>
      </c>
      <c r="U125" s="95">
        <v>3</v>
      </c>
      <c r="V125" s="93" t="s">
        <v>264</v>
      </c>
      <c r="W125" s="95" t="s">
        <v>191</v>
      </c>
      <c r="X125" s="95">
        <v>27.8</v>
      </c>
      <c r="Y125" s="206">
        <f t="shared" si="5"/>
        <v>0.24279484664003365</v>
      </c>
    </row>
    <row r="126" spans="1:25">
      <c r="A126" t="s">
        <v>744</v>
      </c>
      <c r="B126" s="93">
        <v>2</v>
      </c>
      <c r="C126" s="93" t="s">
        <v>230</v>
      </c>
      <c r="D126" s="304" t="s">
        <v>88</v>
      </c>
      <c r="E126" s="93">
        <v>52</v>
      </c>
      <c r="F126" s="206">
        <f t="shared" si="3"/>
        <v>0.8494866535306802</v>
      </c>
      <c r="G126" s="206"/>
      <c r="T126" t="s">
        <v>758</v>
      </c>
      <c r="U126" s="95">
        <v>4</v>
      </c>
      <c r="V126" s="93" t="s">
        <v>229</v>
      </c>
      <c r="W126" s="306" t="s">
        <v>681</v>
      </c>
      <c r="X126" s="95">
        <v>57.7</v>
      </c>
      <c r="Y126" s="206">
        <f t="shared" si="5"/>
        <v>1.0459273005669965</v>
      </c>
    </row>
    <row r="127" spans="1:25">
      <c r="A127" t="s">
        <v>744</v>
      </c>
      <c r="B127" s="93">
        <v>3</v>
      </c>
      <c r="C127" s="93" t="s">
        <v>230</v>
      </c>
      <c r="D127" s="304" t="s">
        <v>88</v>
      </c>
      <c r="E127" s="93">
        <v>36</v>
      </c>
      <c r="F127" s="206">
        <f t="shared" si="3"/>
        <v>0.4071504079052371</v>
      </c>
      <c r="G127" s="206"/>
      <c r="T127" t="s">
        <v>758</v>
      </c>
      <c r="U127" s="95">
        <v>5</v>
      </c>
      <c r="V127" s="95" t="s">
        <v>272</v>
      </c>
      <c r="W127" s="95" t="s">
        <v>192</v>
      </c>
      <c r="X127" s="95">
        <v>26.9</v>
      </c>
      <c r="Y127" s="206">
        <f t="shared" si="5"/>
        <v>0.22732878600641096</v>
      </c>
    </row>
    <row r="128" spans="1:25">
      <c r="A128" t="s">
        <v>744</v>
      </c>
      <c r="B128" s="93">
        <v>4</v>
      </c>
      <c r="C128" s="93" t="s">
        <v>230</v>
      </c>
      <c r="D128" s="304" t="s">
        <v>88</v>
      </c>
      <c r="E128" s="93">
        <v>43</v>
      </c>
      <c r="F128" s="206">
        <f t="shared" si="3"/>
        <v>0.58088048164875272</v>
      </c>
      <c r="G128" s="206"/>
      <c r="T128" t="s">
        <v>758</v>
      </c>
      <c r="U128" s="95">
        <v>6</v>
      </c>
      <c r="V128" s="95" t="s">
        <v>272</v>
      </c>
      <c r="W128" s="95" t="s">
        <v>192</v>
      </c>
      <c r="X128" s="95">
        <v>56</v>
      </c>
      <c r="Y128" s="206">
        <f t="shared" si="5"/>
        <v>0.98520345616575911</v>
      </c>
    </row>
    <row r="129" spans="1:25">
      <c r="A129" t="s">
        <v>744</v>
      </c>
      <c r="B129" s="93">
        <v>5</v>
      </c>
      <c r="C129" s="93" t="s">
        <v>230</v>
      </c>
      <c r="D129" s="304" t="s">
        <v>88</v>
      </c>
      <c r="E129" s="93">
        <v>48</v>
      </c>
      <c r="F129" s="206">
        <f t="shared" si="3"/>
        <v>0.7238229473870883</v>
      </c>
      <c r="G129" s="206"/>
      <c r="T129" t="s">
        <v>758</v>
      </c>
      <c r="U129" s="95">
        <v>7</v>
      </c>
      <c r="V129" s="95" t="s">
        <v>248</v>
      </c>
      <c r="W129" s="95" t="s">
        <v>181</v>
      </c>
      <c r="X129" s="95">
        <v>37.200000000000003</v>
      </c>
      <c r="Y129" s="206">
        <f t="shared" si="5"/>
        <v>0.43474615777436998</v>
      </c>
    </row>
    <row r="130" spans="1:25">
      <c r="A130" t="s">
        <v>744</v>
      </c>
      <c r="B130" s="93">
        <v>6</v>
      </c>
      <c r="C130" s="93" t="s">
        <v>242</v>
      </c>
      <c r="D130" s="93" t="s">
        <v>98</v>
      </c>
      <c r="E130" s="93">
        <v>29</v>
      </c>
      <c r="F130" s="206">
        <f t="shared" si="3"/>
        <v>0.26420794216690158</v>
      </c>
      <c r="G130" s="206"/>
      <c r="T130" t="s">
        <v>758</v>
      </c>
      <c r="U130" s="95">
        <v>8</v>
      </c>
      <c r="V130" s="93" t="s">
        <v>260</v>
      </c>
      <c r="W130" s="95" t="s">
        <v>193</v>
      </c>
      <c r="X130" s="95">
        <v>49.2</v>
      </c>
      <c r="Y130" s="206">
        <f t="shared" si="5"/>
        <v>0.76046648409855977</v>
      </c>
    </row>
    <row r="131" spans="1:25">
      <c r="A131" t="s">
        <v>744</v>
      </c>
      <c r="B131" s="93">
        <v>7</v>
      </c>
      <c r="C131" s="93" t="s">
        <v>242</v>
      </c>
      <c r="D131" s="93" t="s">
        <v>98</v>
      </c>
      <c r="E131" s="93">
        <v>26</v>
      </c>
      <c r="F131" s="206">
        <f t="shared" si="3"/>
        <v>0.21237166338267005</v>
      </c>
      <c r="G131" s="206"/>
      <c r="T131" t="s">
        <v>758</v>
      </c>
      <c r="U131" s="95">
        <v>9</v>
      </c>
      <c r="V131" s="95" t="s">
        <v>248</v>
      </c>
      <c r="W131" s="95" t="s">
        <v>181</v>
      </c>
      <c r="X131" s="95">
        <v>28.5</v>
      </c>
      <c r="Y131" s="206">
        <f t="shared" si="5"/>
        <v>0.25517586328783093</v>
      </c>
    </row>
    <row r="132" spans="1:25">
      <c r="A132" t="s">
        <v>744</v>
      </c>
      <c r="B132" s="93">
        <v>8</v>
      </c>
      <c r="C132" s="93" t="s">
        <v>230</v>
      </c>
      <c r="D132" s="304" t="s">
        <v>88</v>
      </c>
      <c r="E132" s="93">
        <v>48</v>
      </c>
      <c r="F132" s="206">
        <f t="shared" ref="F132:F195" si="6">(PI()*(E132/200)^2)/0.025/10</f>
        <v>0.7238229473870883</v>
      </c>
      <c r="G132" s="206"/>
      <c r="T132" t="s">
        <v>758</v>
      </c>
      <c r="U132" s="95">
        <v>10</v>
      </c>
      <c r="V132" s="95" t="s">
        <v>248</v>
      </c>
      <c r="W132" s="95" t="s">
        <v>181</v>
      </c>
      <c r="X132" s="95">
        <v>51.4</v>
      </c>
      <c r="Y132" s="206">
        <f t="shared" ref="Y132:Y148" si="7">(PI()*(X132/200)^2)/0.025/10</f>
        <v>0.82999621270780888</v>
      </c>
    </row>
    <row r="133" spans="1:25">
      <c r="A133" t="s">
        <v>744</v>
      </c>
      <c r="B133" s="93">
        <v>9</v>
      </c>
      <c r="C133" s="93" t="s">
        <v>264</v>
      </c>
      <c r="D133" s="93" t="s">
        <v>93</v>
      </c>
      <c r="E133" s="93">
        <v>26</v>
      </c>
      <c r="F133" s="206">
        <f t="shared" si="6"/>
        <v>0.21237166338267005</v>
      </c>
      <c r="G133" s="206"/>
      <c r="T133" t="s">
        <v>758</v>
      </c>
      <c r="U133" s="95">
        <v>11</v>
      </c>
      <c r="V133" s="93" t="s">
        <v>294</v>
      </c>
      <c r="W133" s="95" t="s">
        <v>182</v>
      </c>
      <c r="X133" s="95">
        <v>37.700000000000003</v>
      </c>
      <c r="Y133" s="206">
        <f t="shared" si="7"/>
        <v>0.44651142226206364</v>
      </c>
    </row>
    <row r="134" spans="1:25">
      <c r="A134" t="s">
        <v>744</v>
      </c>
      <c r="B134" s="93">
        <v>10</v>
      </c>
      <c r="C134" s="305" t="s">
        <v>311</v>
      </c>
      <c r="D134" s="306" t="s">
        <v>194</v>
      </c>
      <c r="E134" s="93">
        <v>25</v>
      </c>
      <c r="F134" s="206">
        <f t="shared" si="6"/>
        <v>0.19634954084936207</v>
      </c>
      <c r="G134" s="206"/>
      <c r="T134" t="s">
        <v>758</v>
      </c>
      <c r="U134" s="95">
        <v>12</v>
      </c>
      <c r="V134" s="93" t="s">
        <v>230</v>
      </c>
      <c r="W134" s="304" t="s">
        <v>88</v>
      </c>
      <c r="X134" s="95">
        <v>28.5</v>
      </c>
      <c r="Y134" s="206">
        <f t="shared" si="7"/>
        <v>0.25517586328783093</v>
      </c>
    </row>
    <row r="135" spans="1:25">
      <c r="A135" t="s">
        <v>744</v>
      </c>
      <c r="B135" s="93">
        <v>11</v>
      </c>
      <c r="C135" s="93" t="s">
        <v>250</v>
      </c>
      <c r="D135" s="304" t="s">
        <v>94</v>
      </c>
      <c r="E135" s="93">
        <v>30</v>
      </c>
      <c r="F135" s="206">
        <f t="shared" si="6"/>
        <v>0.28274333882308139</v>
      </c>
      <c r="G135" s="206"/>
      <c r="T135" t="s">
        <v>758</v>
      </c>
      <c r="U135" s="95">
        <v>13</v>
      </c>
      <c r="V135" s="95" t="s">
        <v>274</v>
      </c>
      <c r="W135" s="95" t="s">
        <v>195</v>
      </c>
      <c r="X135" s="95">
        <v>52.2</v>
      </c>
      <c r="Y135" s="206">
        <f t="shared" si="7"/>
        <v>0.8560337326207611</v>
      </c>
    </row>
    <row r="136" spans="1:25">
      <c r="A136" t="s">
        <v>744</v>
      </c>
      <c r="B136" s="93">
        <v>12</v>
      </c>
      <c r="C136" s="93" t="s">
        <v>230</v>
      </c>
      <c r="D136" s="304" t="s">
        <v>88</v>
      </c>
      <c r="E136" s="93">
        <v>61</v>
      </c>
      <c r="F136" s="206">
        <f t="shared" si="6"/>
        <v>1.168986626400762</v>
      </c>
      <c r="G136" s="206"/>
      <c r="T136" t="s">
        <v>758</v>
      </c>
      <c r="U136" s="95">
        <v>14</v>
      </c>
      <c r="V136" s="93" t="s">
        <v>242</v>
      </c>
      <c r="W136" s="95" t="s">
        <v>98</v>
      </c>
      <c r="X136" s="95">
        <v>20.9</v>
      </c>
      <c r="Y136" s="206">
        <f t="shared" si="7"/>
        <v>0.13722790870145574</v>
      </c>
    </row>
    <row r="137" spans="1:25">
      <c r="A137" t="s">
        <v>744</v>
      </c>
      <c r="B137" s="93">
        <v>13</v>
      </c>
      <c r="C137" s="93" t="s">
        <v>230</v>
      </c>
      <c r="D137" s="304" t="s">
        <v>88</v>
      </c>
      <c r="E137" s="93">
        <v>32</v>
      </c>
      <c r="F137" s="206">
        <f t="shared" si="6"/>
        <v>0.32169908772759481</v>
      </c>
      <c r="G137" s="206"/>
      <c r="T137" t="s">
        <v>758</v>
      </c>
      <c r="U137" s="95">
        <v>15</v>
      </c>
      <c r="V137" s="95" t="s">
        <v>248</v>
      </c>
      <c r="W137" s="95" t="s">
        <v>181</v>
      </c>
      <c r="X137" s="95">
        <v>21.5</v>
      </c>
      <c r="Y137" s="206">
        <f t="shared" si="7"/>
        <v>0.14522012041218818</v>
      </c>
    </row>
    <row r="138" spans="1:25">
      <c r="A138" t="s">
        <v>744</v>
      </c>
      <c r="B138" s="93">
        <v>14</v>
      </c>
      <c r="C138" s="93" t="s">
        <v>230</v>
      </c>
      <c r="D138" s="304" t="s">
        <v>88</v>
      </c>
      <c r="E138" s="93">
        <v>46</v>
      </c>
      <c r="F138" s="206">
        <f t="shared" si="6"/>
        <v>0.66476100549960027</v>
      </c>
      <c r="G138" s="206"/>
      <c r="T138" t="s">
        <v>758</v>
      </c>
      <c r="U138" s="95">
        <v>16</v>
      </c>
      <c r="V138" s="93" t="s">
        <v>230</v>
      </c>
      <c r="W138" s="304" t="s">
        <v>88</v>
      </c>
      <c r="X138" s="95">
        <v>61.7</v>
      </c>
      <c r="Y138" s="206">
        <f t="shared" si="7"/>
        <v>1.1959697657024448</v>
      </c>
    </row>
    <row r="139" spans="1:25">
      <c r="A139" t="s">
        <v>744</v>
      </c>
      <c r="B139" s="93">
        <v>15</v>
      </c>
      <c r="C139" s="93" t="s">
        <v>242</v>
      </c>
      <c r="D139" s="93" t="s">
        <v>98</v>
      </c>
      <c r="E139" s="93">
        <v>30</v>
      </c>
      <c r="F139" s="206">
        <f t="shared" si="6"/>
        <v>0.28274333882308139</v>
      </c>
      <c r="G139" s="206"/>
      <c r="T139" t="s">
        <v>758</v>
      </c>
      <c r="U139" s="95">
        <v>17</v>
      </c>
      <c r="V139" s="95" t="s">
        <v>289</v>
      </c>
      <c r="W139" s="95" t="s">
        <v>196</v>
      </c>
      <c r="X139" s="95">
        <v>20.5</v>
      </c>
      <c r="Y139" s="206">
        <f t="shared" si="7"/>
        <v>0.13202543126711103</v>
      </c>
    </row>
    <row r="140" spans="1:25">
      <c r="A140" t="s">
        <v>744</v>
      </c>
      <c r="B140" s="93">
        <v>16</v>
      </c>
      <c r="C140" s="93" t="s">
        <v>236</v>
      </c>
      <c r="D140" s="304" t="s">
        <v>90</v>
      </c>
      <c r="E140" s="93">
        <v>47</v>
      </c>
      <c r="F140" s="206">
        <f t="shared" si="6"/>
        <v>0.69397781717798523</v>
      </c>
      <c r="G140" s="206"/>
      <c r="T140" t="s">
        <v>758</v>
      </c>
      <c r="U140" s="95">
        <v>18</v>
      </c>
      <c r="V140" s="93" t="s">
        <v>276</v>
      </c>
      <c r="W140" s="306" t="s">
        <v>681</v>
      </c>
      <c r="X140" s="95">
        <v>22.7</v>
      </c>
      <c r="Y140" s="206">
        <f t="shared" si="7"/>
        <v>0.1618831278468284</v>
      </c>
    </row>
    <row r="141" spans="1:25">
      <c r="A141" t="s">
        <v>744</v>
      </c>
      <c r="B141" s="93">
        <v>17</v>
      </c>
      <c r="C141" s="93" t="s">
        <v>242</v>
      </c>
      <c r="D141" s="93" t="s">
        <v>98</v>
      </c>
      <c r="E141" s="93">
        <v>28</v>
      </c>
      <c r="F141" s="206">
        <f t="shared" si="6"/>
        <v>0.24630086404143978</v>
      </c>
      <c r="G141" s="206"/>
      <c r="T141" t="s">
        <v>758</v>
      </c>
      <c r="U141" s="95">
        <v>19</v>
      </c>
      <c r="V141" s="95" t="s">
        <v>284</v>
      </c>
      <c r="W141" s="95" t="s">
        <v>197</v>
      </c>
      <c r="X141" s="95">
        <v>37.1</v>
      </c>
      <c r="Y141" s="206">
        <f t="shared" si="7"/>
        <v>0.43241195443275265</v>
      </c>
    </row>
    <row r="142" spans="1:25">
      <c r="A142" t="s">
        <v>744</v>
      </c>
      <c r="B142" s="93">
        <v>18</v>
      </c>
      <c r="C142" s="93" t="s">
        <v>236</v>
      </c>
      <c r="D142" s="304" t="s">
        <v>90</v>
      </c>
      <c r="E142" s="93">
        <v>39</v>
      </c>
      <c r="F142" s="206">
        <f t="shared" si="6"/>
        <v>0.47783624261100754</v>
      </c>
      <c r="G142" s="206"/>
      <c r="T142" t="s">
        <v>758</v>
      </c>
      <c r="U142" s="95">
        <v>20</v>
      </c>
      <c r="V142" s="95" t="s">
        <v>286</v>
      </c>
      <c r="W142" s="95" t="s">
        <v>187</v>
      </c>
      <c r="X142" s="95">
        <v>55.5</v>
      </c>
      <c r="Y142" s="206">
        <f t="shared" si="7"/>
        <v>0.96768907712199614</v>
      </c>
    </row>
    <row r="143" spans="1:25">
      <c r="A143" t="s">
        <v>744</v>
      </c>
      <c r="B143" s="93">
        <v>19</v>
      </c>
      <c r="C143" s="93" t="s">
        <v>230</v>
      </c>
      <c r="D143" s="304" t="s">
        <v>88</v>
      </c>
      <c r="E143" s="93">
        <v>55</v>
      </c>
      <c r="F143" s="206">
        <f t="shared" si="6"/>
        <v>0.95033177771091248</v>
      </c>
      <c r="G143" s="206"/>
      <c r="T143" t="s">
        <v>758</v>
      </c>
      <c r="U143" s="95">
        <v>21</v>
      </c>
      <c r="V143" s="95" t="s">
        <v>286</v>
      </c>
      <c r="W143" s="95" t="s">
        <v>187</v>
      </c>
      <c r="X143" s="95">
        <v>40.200000000000003</v>
      </c>
      <c r="Y143" s="206">
        <f t="shared" si="7"/>
        <v>0.50769393919072503</v>
      </c>
    </row>
    <row r="144" spans="1:25">
      <c r="A144" t="s">
        <v>744</v>
      </c>
      <c r="B144" s="93">
        <v>20</v>
      </c>
      <c r="C144" s="93" t="s">
        <v>230</v>
      </c>
      <c r="D144" s="304" t="s">
        <v>88</v>
      </c>
      <c r="E144" s="93">
        <v>42</v>
      </c>
      <c r="F144" s="206">
        <f t="shared" si="6"/>
        <v>0.55417694409323937</v>
      </c>
      <c r="G144" s="206"/>
      <c r="T144" t="s">
        <v>758</v>
      </c>
      <c r="U144" s="95">
        <v>22</v>
      </c>
      <c r="V144" s="93" t="s">
        <v>230</v>
      </c>
      <c r="W144" s="304" t="s">
        <v>88</v>
      </c>
      <c r="X144" s="95">
        <v>37.700000000000003</v>
      </c>
      <c r="Y144" s="206">
        <f t="shared" si="7"/>
        <v>0.44651142226206364</v>
      </c>
    </row>
    <row r="145" spans="1:25">
      <c r="A145" t="s">
        <v>744</v>
      </c>
      <c r="B145" s="93">
        <v>21</v>
      </c>
      <c r="C145" s="93" t="s">
        <v>264</v>
      </c>
      <c r="D145" s="93" t="s">
        <v>93</v>
      </c>
      <c r="E145" s="93">
        <v>55</v>
      </c>
      <c r="F145" s="206">
        <f t="shared" si="6"/>
        <v>0.95033177771091248</v>
      </c>
      <c r="G145" s="206"/>
      <c r="T145" t="s">
        <v>758</v>
      </c>
      <c r="U145" s="95">
        <v>23</v>
      </c>
      <c r="V145" s="93" t="s">
        <v>258</v>
      </c>
      <c r="W145" s="95" t="s">
        <v>119</v>
      </c>
      <c r="X145" s="95">
        <v>46.2</v>
      </c>
      <c r="Y145" s="206">
        <f t="shared" si="7"/>
        <v>0.67055410235281987</v>
      </c>
    </row>
    <row r="146" spans="1:25">
      <c r="A146" t="s">
        <v>744</v>
      </c>
      <c r="B146" s="93">
        <v>22</v>
      </c>
      <c r="C146" s="93" t="s">
        <v>230</v>
      </c>
      <c r="D146" s="304" t="s">
        <v>88</v>
      </c>
      <c r="E146" s="93">
        <v>44</v>
      </c>
      <c r="F146" s="206">
        <f t="shared" si="6"/>
        <v>0.60821233773498395</v>
      </c>
      <c r="G146" s="206"/>
      <c r="T146" t="s">
        <v>758</v>
      </c>
      <c r="U146" s="95">
        <v>24</v>
      </c>
      <c r="V146" s="93" t="s">
        <v>230</v>
      </c>
      <c r="W146" s="304" t="s">
        <v>88</v>
      </c>
      <c r="X146" s="95">
        <v>45.8</v>
      </c>
      <c r="Y146" s="206">
        <f t="shared" si="7"/>
        <v>0.65899304138760928</v>
      </c>
    </row>
    <row r="147" spans="1:25">
      <c r="A147" t="s">
        <v>744</v>
      </c>
      <c r="B147" s="93">
        <v>23</v>
      </c>
      <c r="C147" s="93" t="s">
        <v>253</v>
      </c>
      <c r="D147" s="304" t="s">
        <v>122</v>
      </c>
      <c r="E147" s="93">
        <v>44</v>
      </c>
      <c r="F147" s="206">
        <f t="shared" si="6"/>
        <v>0.60821233773498395</v>
      </c>
      <c r="G147" s="206"/>
      <c r="T147" t="s">
        <v>758</v>
      </c>
      <c r="U147" s="95">
        <v>25</v>
      </c>
      <c r="V147" s="95" t="s">
        <v>248</v>
      </c>
      <c r="W147" s="95" t="s">
        <v>181</v>
      </c>
      <c r="X147" s="95">
        <v>59.2</v>
      </c>
      <c r="Y147" s="206">
        <f t="shared" si="7"/>
        <v>1.1010151277476936</v>
      </c>
    </row>
    <row r="148" spans="1:25">
      <c r="A148" t="s">
        <v>744</v>
      </c>
      <c r="B148" s="93">
        <v>24</v>
      </c>
      <c r="C148" s="93" t="s">
        <v>230</v>
      </c>
      <c r="D148" s="304" t="s">
        <v>88</v>
      </c>
      <c r="E148" s="93">
        <v>41</v>
      </c>
      <c r="F148" s="206">
        <f t="shared" si="6"/>
        <v>0.52810172506844411</v>
      </c>
      <c r="G148" s="206"/>
      <c r="T148" t="s">
        <v>758</v>
      </c>
      <c r="U148" s="95">
        <v>26</v>
      </c>
      <c r="V148" s="93" t="s">
        <v>261</v>
      </c>
      <c r="W148" s="306" t="s">
        <v>95</v>
      </c>
      <c r="X148" s="95">
        <v>22.8</v>
      </c>
      <c r="Y148" s="206">
        <f t="shared" si="7"/>
        <v>0.16331255250421178</v>
      </c>
    </row>
    <row r="149" spans="1:25">
      <c r="A149" t="s">
        <v>745</v>
      </c>
      <c r="B149" s="93">
        <v>1</v>
      </c>
      <c r="C149" s="93" t="s">
        <v>302</v>
      </c>
      <c r="D149" s="93" t="s">
        <v>198</v>
      </c>
      <c r="E149" s="93">
        <v>39</v>
      </c>
      <c r="F149" s="206">
        <f t="shared" si="6"/>
        <v>0.47783624261100754</v>
      </c>
      <c r="G149" s="206"/>
    </row>
    <row r="150" spans="1:25">
      <c r="A150" t="s">
        <v>745</v>
      </c>
      <c r="B150" s="93">
        <v>2</v>
      </c>
      <c r="C150" s="93" t="s">
        <v>250</v>
      </c>
      <c r="D150" s="304" t="s">
        <v>94</v>
      </c>
      <c r="E150" s="93">
        <v>29</v>
      </c>
      <c r="F150" s="206">
        <f t="shared" si="6"/>
        <v>0.26420794216690158</v>
      </c>
      <c r="G150" s="206"/>
    </row>
    <row r="151" spans="1:25">
      <c r="A151" t="s">
        <v>745</v>
      </c>
      <c r="B151" s="93">
        <v>3</v>
      </c>
      <c r="C151" s="93" t="s">
        <v>260</v>
      </c>
      <c r="D151" s="304" t="s">
        <v>120</v>
      </c>
      <c r="E151" s="93">
        <v>56</v>
      </c>
      <c r="F151" s="206">
        <f t="shared" si="6"/>
        <v>0.98520345616575911</v>
      </c>
      <c r="G151" s="206"/>
    </row>
    <row r="152" spans="1:25">
      <c r="A152" t="s">
        <v>745</v>
      </c>
      <c r="B152" s="93">
        <v>4</v>
      </c>
      <c r="C152" s="93" t="s">
        <v>230</v>
      </c>
      <c r="D152" s="304" t="s">
        <v>88</v>
      </c>
      <c r="E152" s="93">
        <v>77</v>
      </c>
      <c r="F152" s="206">
        <f t="shared" si="6"/>
        <v>1.8626502843133881</v>
      </c>
      <c r="G152" s="206"/>
    </row>
    <row r="153" spans="1:25">
      <c r="A153" t="s">
        <v>745</v>
      </c>
      <c r="B153" s="93">
        <v>5</v>
      </c>
      <c r="C153" s="93" t="s">
        <v>242</v>
      </c>
      <c r="D153" s="93" t="s">
        <v>98</v>
      </c>
      <c r="E153" s="93">
        <v>34</v>
      </c>
      <c r="F153" s="206">
        <f t="shared" si="6"/>
        <v>0.36316811075498012</v>
      </c>
      <c r="G153" s="206"/>
    </row>
    <row r="154" spans="1:25">
      <c r="A154" t="s">
        <v>745</v>
      </c>
      <c r="B154" s="93">
        <v>6</v>
      </c>
      <c r="C154" s="93" t="s">
        <v>258</v>
      </c>
      <c r="D154" s="304" t="s">
        <v>119</v>
      </c>
      <c r="E154" s="93">
        <v>45</v>
      </c>
      <c r="F154" s="206">
        <f t="shared" si="6"/>
        <v>0.63617251235193317</v>
      </c>
      <c r="G154" s="206"/>
    </row>
    <row r="155" spans="1:25">
      <c r="A155" t="s">
        <v>745</v>
      </c>
      <c r="B155" s="93">
        <v>7</v>
      </c>
      <c r="C155" s="93" t="s">
        <v>295</v>
      </c>
      <c r="D155" s="93" t="s">
        <v>199</v>
      </c>
      <c r="E155" s="93">
        <v>23</v>
      </c>
      <c r="F155" s="206">
        <f t="shared" si="6"/>
        <v>0.16619025137490007</v>
      </c>
      <c r="G155" s="206"/>
    </row>
    <row r="156" spans="1:25">
      <c r="A156" t="s">
        <v>745</v>
      </c>
      <c r="B156" s="93">
        <v>8</v>
      </c>
      <c r="C156" s="93" t="s">
        <v>295</v>
      </c>
      <c r="D156" s="93" t="s">
        <v>199</v>
      </c>
      <c r="E156" s="93">
        <v>30</v>
      </c>
      <c r="F156" s="206">
        <f t="shared" si="6"/>
        <v>0.28274333882308139</v>
      </c>
      <c r="G156" s="206"/>
    </row>
    <row r="157" spans="1:25">
      <c r="A157" t="s">
        <v>745</v>
      </c>
      <c r="B157" s="93">
        <v>9</v>
      </c>
      <c r="C157" s="93" t="s">
        <v>264</v>
      </c>
      <c r="D157" s="93" t="s">
        <v>93</v>
      </c>
      <c r="E157" s="93">
        <v>47</v>
      </c>
      <c r="F157" s="206">
        <f t="shared" si="6"/>
        <v>0.69397781717798523</v>
      </c>
      <c r="G157" s="206"/>
    </row>
    <row r="158" spans="1:25">
      <c r="A158" t="s">
        <v>745</v>
      </c>
      <c r="B158" s="93">
        <v>10</v>
      </c>
      <c r="C158" s="93" t="s">
        <v>242</v>
      </c>
      <c r="D158" s="93" t="s">
        <v>98</v>
      </c>
      <c r="E158" s="93">
        <v>39</v>
      </c>
      <c r="F158" s="206">
        <f t="shared" si="6"/>
        <v>0.47783624261100754</v>
      </c>
      <c r="G158" s="206"/>
    </row>
    <row r="159" spans="1:25">
      <c r="A159" t="s">
        <v>745</v>
      </c>
      <c r="B159" s="93">
        <v>11</v>
      </c>
      <c r="C159" s="93" t="s">
        <v>253</v>
      </c>
      <c r="D159" s="304" t="s">
        <v>122</v>
      </c>
      <c r="E159" s="93">
        <v>37</v>
      </c>
      <c r="F159" s="206">
        <f t="shared" si="6"/>
        <v>0.43008403427644265</v>
      </c>
      <c r="G159" s="206"/>
    </row>
    <row r="160" spans="1:25">
      <c r="A160" t="s">
        <v>745</v>
      </c>
      <c r="B160" s="93">
        <v>12</v>
      </c>
      <c r="C160" s="93" t="s">
        <v>258</v>
      </c>
      <c r="D160" s="304" t="s">
        <v>119</v>
      </c>
      <c r="E160" s="93">
        <v>26</v>
      </c>
      <c r="F160" s="206">
        <f t="shared" si="6"/>
        <v>0.21237166338267005</v>
      </c>
      <c r="G160" s="206"/>
    </row>
    <row r="161" spans="1:7">
      <c r="A161" t="s">
        <v>745</v>
      </c>
      <c r="B161" s="93">
        <v>13</v>
      </c>
      <c r="C161" s="93" t="s">
        <v>265</v>
      </c>
      <c r="D161" s="93" t="s">
        <v>137</v>
      </c>
      <c r="E161" s="93">
        <v>49</v>
      </c>
      <c r="F161" s="206">
        <f t="shared" si="6"/>
        <v>0.75429639612690924</v>
      </c>
      <c r="G161" s="206"/>
    </row>
    <row r="162" spans="1:7">
      <c r="A162" t="s">
        <v>745</v>
      </c>
      <c r="B162" s="93">
        <v>14</v>
      </c>
      <c r="C162" s="93" t="s">
        <v>302</v>
      </c>
      <c r="D162" s="306" t="s">
        <v>198</v>
      </c>
      <c r="E162" s="93">
        <v>45</v>
      </c>
      <c r="F162" s="206">
        <f t="shared" si="6"/>
        <v>0.63617251235193317</v>
      </c>
      <c r="G162" s="206"/>
    </row>
    <row r="163" spans="1:7">
      <c r="A163" t="s">
        <v>745</v>
      </c>
      <c r="B163" s="93">
        <v>15</v>
      </c>
      <c r="C163" s="93" t="s">
        <v>302</v>
      </c>
      <c r="D163" s="93" t="s">
        <v>198</v>
      </c>
      <c r="E163" s="93">
        <v>49</v>
      </c>
      <c r="F163" s="206">
        <f t="shared" si="6"/>
        <v>0.75429639612690924</v>
      </c>
      <c r="G163" s="206"/>
    </row>
    <row r="164" spans="1:7">
      <c r="A164" t="s">
        <v>745</v>
      </c>
      <c r="B164" s="93">
        <v>16</v>
      </c>
      <c r="C164" s="305" t="s">
        <v>311</v>
      </c>
      <c r="D164" s="306" t="s">
        <v>194</v>
      </c>
      <c r="E164" s="93">
        <v>50</v>
      </c>
      <c r="F164" s="206">
        <f t="shared" si="6"/>
        <v>0.78539816339744828</v>
      </c>
      <c r="G164" s="206"/>
    </row>
    <row r="165" spans="1:7">
      <c r="A165" t="s">
        <v>745</v>
      </c>
      <c r="B165" s="93">
        <v>17</v>
      </c>
      <c r="C165" s="93" t="s">
        <v>293</v>
      </c>
      <c r="D165" s="93" t="s">
        <v>168</v>
      </c>
      <c r="E165" s="93">
        <v>63</v>
      </c>
      <c r="F165" s="206">
        <f t="shared" si="6"/>
        <v>1.246898124209789</v>
      </c>
      <c r="G165" s="206"/>
    </row>
    <row r="166" spans="1:7">
      <c r="A166" t="s">
        <v>745</v>
      </c>
      <c r="B166" s="93">
        <v>18</v>
      </c>
      <c r="C166" s="93" t="s">
        <v>242</v>
      </c>
      <c r="D166" s="93" t="s">
        <v>98</v>
      </c>
      <c r="E166" s="93">
        <v>21</v>
      </c>
      <c r="F166" s="206">
        <f t="shared" si="6"/>
        <v>0.13854423602330984</v>
      </c>
      <c r="G166" s="206"/>
    </row>
    <row r="167" spans="1:7">
      <c r="A167" t="s">
        <v>745</v>
      </c>
      <c r="B167" s="93">
        <v>19</v>
      </c>
      <c r="C167" s="93" t="s">
        <v>253</v>
      </c>
      <c r="D167" s="304" t="s">
        <v>122</v>
      </c>
      <c r="E167" s="93">
        <v>25</v>
      </c>
      <c r="F167" s="206">
        <f t="shared" si="6"/>
        <v>0.19634954084936207</v>
      </c>
      <c r="G167" s="206"/>
    </row>
    <row r="168" spans="1:7">
      <c r="A168" t="s">
        <v>745</v>
      </c>
      <c r="B168" s="93">
        <v>20</v>
      </c>
      <c r="C168" s="93" t="s">
        <v>264</v>
      </c>
      <c r="D168" s="93" t="s">
        <v>93</v>
      </c>
      <c r="E168" s="93">
        <v>59</v>
      </c>
      <c r="F168" s="206">
        <f t="shared" si="6"/>
        <v>1.0935884027146066</v>
      </c>
      <c r="G168" s="206"/>
    </row>
    <row r="169" spans="1:7">
      <c r="A169" t="s">
        <v>745</v>
      </c>
      <c r="B169" s="93">
        <v>21</v>
      </c>
      <c r="C169" s="93" t="s">
        <v>268</v>
      </c>
      <c r="D169" s="93" t="s">
        <v>163</v>
      </c>
      <c r="E169" s="93">
        <v>38</v>
      </c>
      <c r="F169" s="206">
        <f t="shared" si="6"/>
        <v>0.45364597917836608</v>
      </c>
      <c r="G169" s="206"/>
    </row>
    <row r="170" spans="1:7">
      <c r="A170" t="s">
        <v>745</v>
      </c>
      <c r="B170" s="93">
        <v>22</v>
      </c>
      <c r="C170" s="93" t="s">
        <v>268</v>
      </c>
      <c r="D170" s="93" t="s">
        <v>163</v>
      </c>
      <c r="E170" s="93">
        <v>39</v>
      </c>
      <c r="F170" s="206">
        <f t="shared" si="6"/>
        <v>0.47783624261100754</v>
      </c>
      <c r="G170" s="206"/>
    </row>
    <row r="171" spans="1:7">
      <c r="A171" t="s">
        <v>745</v>
      </c>
      <c r="B171" s="93">
        <v>23</v>
      </c>
      <c r="C171" s="305" t="s">
        <v>310</v>
      </c>
      <c r="D171" s="93"/>
      <c r="E171" s="93">
        <v>83</v>
      </c>
      <c r="F171" s="206">
        <f t="shared" si="6"/>
        <v>2.1642431790580083</v>
      </c>
      <c r="G171" s="206"/>
    </row>
    <row r="172" spans="1:7">
      <c r="A172" t="s">
        <v>745</v>
      </c>
      <c r="B172" s="93">
        <v>24</v>
      </c>
      <c r="C172" s="93" t="s">
        <v>253</v>
      </c>
      <c r="D172" s="304" t="s">
        <v>122</v>
      </c>
      <c r="E172" s="93">
        <v>32</v>
      </c>
      <c r="F172" s="206">
        <f t="shared" si="6"/>
        <v>0.32169908772759481</v>
      </c>
      <c r="G172" s="206"/>
    </row>
    <row r="173" spans="1:7">
      <c r="A173" t="s">
        <v>745</v>
      </c>
      <c r="B173" s="93">
        <v>25</v>
      </c>
      <c r="C173" s="93" t="s">
        <v>295</v>
      </c>
      <c r="D173" s="93" t="s">
        <v>199</v>
      </c>
      <c r="E173" s="93">
        <v>40</v>
      </c>
      <c r="F173" s="206">
        <f t="shared" si="6"/>
        <v>0.50265482457436694</v>
      </c>
      <c r="G173" s="206"/>
    </row>
    <row r="174" spans="1:7">
      <c r="A174" t="s">
        <v>745</v>
      </c>
      <c r="B174" s="93">
        <v>26</v>
      </c>
      <c r="C174" s="93" t="s">
        <v>276</v>
      </c>
      <c r="D174" s="93" t="s">
        <v>143</v>
      </c>
      <c r="E174" s="93">
        <v>29</v>
      </c>
      <c r="F174" s="206">
        <f t="shared" si="6"/>
        <v>0.26420794216690158</v>
      </c>
      <c r="G174" s="206"/>
    </row>
    <row r="175" spans="1:7">
      <c r="A175" t="s">
        <v>745</v>
      </c>
      <c r="B175" s="93">
        <v>27</v>
      </c>
      <c r="C175" s="93" t="s">
        <v>253</v>
      </c>
      <c r="D175" s="304" t="s">
        <v>122</v>
      </c>
      <c r="E175" s="93">
        <v>20</v>
      </c>
      <c r="F175" s="206">
        <f t="shared" si="6"/>
        <v>0.12566370614359174</v>
      </c>
      <c r="G175" s="206"/>
    </row>
    <row r="176" spans="1:7">
      <c r="A176" t="s">
        <v>745</v>
      </c>
      <c r="B176" s="93">
        <v>28</v>
      </c>
      <c r="C176" s="93" t="s">
        <v>236</v>
      </c>
      <c r="D176" s="304" t="s">
        <v>90</v>
      </c>
      <c r="E176" s="93">
        <v>72</v>
      </c>
      <c r="F176" s="206">
        <f t="shared" si="6"/>
        <v>1.6286016316209484</v>
      </c>
      <c r="G176" s="206"/>
    </row>
    <row r="177" spans="1:7">
      <c r="A177" t="s">
        <v>745</v>
      </c>
      <c r="B177" s="93">
        <v>29</v>
      </c>
      <c r="C177" s="93" t="s">
        <v>242</v>
      </c>
      <c r="D177" s="93" t="s">
        <v>98</v>
      </c>
      <c r="E177" s="93">
        <v>26</v>
      </c>
      <c r="F177" s="206">
        <f t="shared" si="6"/>
        <v>0.21237166338267005</v>
      </c>
      <c r="G177" s="206"/>
    </row>
    <row r="178" spans="1:7">
      <c r="A178" t="s">
        <v>745</v>
      </c>
      <c r="B178" s="93">
        <v>30</v>
      </c>
      <c r="C178" s="93" t="s">
        <v>230</v>
      </c>
      <c r="D178" s="304" t="s">
        <v>88</v>
      </c>
      <c r="E178" s="93">
        <v>54</v>
      </c>
      <c r="F178" s="206">
        <f t="shared" si="6"/>
        <v>0.91608841778678374</v>
      </c>
      <c r="G178" s="206"/>
    </row>
    <row r="179" spans="1:7">
      <c r="A179" t="s">
        <v>745</v>
      </c>
      <c r="B179" s="93">
        <v>31</v>
      </c>
      <c r="C179" s="93" t="s">
        <v>264</v>
      </c>
      <c r="D179" s="93" t="s">
        <v>93</v>
      </c>
      <c r="E179" s="93">
        <v>49</v>
      </c>
      <c r="F179" s="206">
        <f t="shared" si="6"/>
        <v>0.75429639612690924</v>
      </c>
      <c r="G179" s="206"/>
    </row>
    <row r="180" spans="1:7">
      <c r="A180" t="s">
        <v>745</v>
      </c>
      <c r="B180" s="93">
        <v>32</v>
      </c>
      <c r="C180" s="93" t="s">
        <v>230</v>
      </c>
      <c r="D180" s="304" t="s">
        <v>88</v>
      </c>
      <c r="E180" s="93">
        <v>75</v>
      </c>
      <c r="F180" s="206">
        <f t="shared" si="6"/>
        <v>1.7671458676442586</v>
      </c>
      <c r="G180" s="206"/>
    </row>
    <row r="181" spans="1:7">
      <c r="A181" t="s">
        <v>745</v>
      </c>
      <c r="B181" s="93">
        <v>33</v>
      </c>
      <c r="C181" s="93" t="s">
        <v>283</v>
      </c>
      <c r="D181" s="93" t="s">
        <v>157</v>
      </c>
      <c r="E181" s="93">
        <v>38</v>
      </c>
      <c r="F181" s="206">
        <f t="shared" si="6"/>
        <v>0.45364597917836608</v>
      </c>
      <c r="G181" s="206"/>
    </row>
    <row r="182" spans="1:7">
      <c r="A182" t="s">
        <v>745</v>
      </c>
      <c r="B182" s="93">
        <v>34</v>
      </c>
      <c r="C182" s="93" t="s">
        <v>253</v>
      </c>
      <c r="D182" s="304" t="s">
        <v>122</v>
      </c>
      <c r="E182" s="93">
        <v>25</v>
      </c>
      <c r="F182" s="206">
        <f t="shared" si="6"/>
        <v>0.19634954084936207</v>
      </c>
      <c r="G182" s="206"/>
    </row>
    <row r="183" spans="1:7">
      <c r="A183" t="s">
        <v>745</v>
      </c>
      <c r="B183" s="93">
        <v>35</v>
      </c>
      <c r="C183" s="93" t="s">
        <v>242</v>
      </c>
      <c r="D183" s="93" t="s">
        <v>98</v>
      </c>
      <c r="E183" s="93">
        <v>33</v>
      </c>
      <c r="F183" s="206">
        <f t="shared" si="6"/>
        <v>0.34211943997592853</v>
      </c>
      <c r="G183" s="206"/>
    </row>
    <row r="184" spans="1:7">
      <c r="A184" t="s">
        <v>745</v>
      </c>
      <c r="B184" s="93">
        <v>36</v>
      </c>
      <c r="C184" s="93" t="s">
        <v>258</v>
      </c>
      <c r="D184" s="304" t="s">
        <v>119</v>
      </c>
      <c r="E184" s="93">
        <v>20</v>
      </c>
      <c r="F184" s="206">
        <f t="shared" si="6"/>
        <v>0.12566370614359174</v>
      </c>
      <c r="G184" s="206"/>
    </row>
    <row r="185" spans="1:7">
      <c r="A185" t="s">
        <v>746</v>
      </c>
      <c r="B185" s="93">
        <v>1</v>
      </c>
      <c r="C185" s="93" t="s">
        <v>230</v>
      </c>
      <c r="D185" s="304" t="s">
        <v>88</v>
      </c>
      <c r="E185" s="93">
        <v>47</v>
      </c>
      <c r="F185" s="206">
        <f t="shared" si="6"/>
        <v>0.69397781717798523</v>
      </c>
      <c r="G185" s="206"/>
    </row>
    <row r="186" spans="1:7">
      <c r="A186" t="s">
        <v>746</v>
      </c>
      <c r="B186" s="93">
        <v>2</v>
      </c>
      <c r="C186" s="93" t="s">
        <v>306</v>
      </c>
      <c r="D186" s="304" t="s">
        <v>123</v>
      </c>
      <c r="E186" s="93">
        <v>55</v>
      </c>
      <c r="F186" s="206">
        <f t="shared" si="6"/>
        <v>0.95033177771091248</v>
      </c>
      <c r="G186" s="206"/>
    </row>
    <row r="187" spans="1:7">
      <c r="A187" t="s">
        <v>746</v>
      </c>
      <c r="B187" s="93">
        <v>3</v>
      </c>
      <c r="C187" s="93" t="s">
        <v>230</v>
      </c>
      <c r="D187" s="304" t="s">
        <v>88</v>
      </c>
      <c r="E187" s="93">
        <v>40</v>
      </c>
      <c r="F187" s="206">
        <f t="shared" si="6"/>
        <v>0.50265482457436694</v>
      </c>
      <c r="G187" s="206"/>
    </row>
    <row r="188" spans="1:7">
      <c r="A188" t="s">
        <v>746</v>
      </c>
      <c r="B188" s="93">
        <v>4</v>
      </c>
      <c r="C188" s="93" t="s">
        <v>230</v>
      </c>
      <c r="D188" s="304" t="s">
        <v>88</v>
      </c>
      <c r="E188" s="93">
        <v>22</v>
      </c>
      <c r="F188" s="206">
        <f t="shared" si="6"/>
        <v>0.15205308443374599</v>
      </c>
      <c r="G188" s="206"/>
    </row>
    <row r="189" spans="1:7">
      <c r="A189" t="s">
        <v>746</v>
      </c>
      <c r="B189" s="93">
        <v>5</v>
      </c>
      <c r="C189" s="93" t="s">
        <v>230</v>
      </c>
      <c r="D189" s="304" t="s">
        <v>88</v>
      </c>
      <c r="E189" s="93">
        <v>44</v>
      </c>
      <c r="F189" s="206">
        <f t="shared" si="6"/>
        <v>0.60821233773498395</v>
      </c>
      <c r="G189" s="206"/>
    </row>
    <row r="190" spans="1:7">
      <c r="A190" t="s">
        <v>746</v>
      </c>
      <c r="B190" s="93">
        <v>6</v>
      </c>
      <c r="C190" s="93" t="s">
        <v>230</v>
      </c>
      <c r="D190" s="304" t="s">
        <v>88</v>
      </c>
      <c r="E190" s="93">
        <v>46</v>
      </c>
      <c r="F190" s="206">
        <f t="shared" si="6"/>
        <v>0.66476100549960027</v>
      </c>
      <c r="G190" s="206"/>
    </row>
    <row r="191" spans="1:7">
      <c r="A191" t="s">
        <v>746</v>
      </c>
      <c r="B191" s="93">
        <v>7</v>
      </c>
      <c r="C191" s="93" t="s">
        <v>230</v>
      </c>
      <c r="D191" s="304" t="s">
        <v>88</v>
      </c>
      <c r="E191" s="93">
        <v>56</v>
      </c>
      <c r="F191" s="206">
        <f t="shared" si="6"/>
        <v>0.98520345616575911</v>
      </c>
      <c r="G191" s="206"/>
    </row>
    <row r="192" spans="1:7">
      <c r="A192" t="s">
        <v>746</v>
      </c>
      <c r="B192" s="93">
        <v>8</v>
      </c>
      <c r="C192" s="93" t="s">
        <v>250</v>
      </c>
      <c r="D192" s="304" t="s">
        <v>94</v>
      </c>
      <c r="E192" s="93">
        <v>48</v>
      </c>
      <c r="F192" s="206">
        <f t="shared" si="6"/>
        <v>0.7238229473870883</v>
      </c>
      <c r="G192" s="206"/>
    </row>
    <row r="193" spans="1:7">
      <c r="A193" t="s">
        <v>746</v>
      </c>
      <c r="B193" s="93">
        <v>9</v>
      </c>
      <c r="C193" s="93" t="s">
        <v>253</v>
      </c>
      <c r="D193" s="304" t="s">
        <v>122</v>
      </c>
      <c r="E193" s="93">
        <v>20</v>
      </c>
      <c r="F193" s="206">
        <f t="shared" si="6"/>
        <v>0.12566370614359174</v>
      </c>
      <c r="G193" s="206"/>
    </row>
    <row r="194" spans="1:7">
      <c r="A194" t="s">
        <v>746</v>
      </c>
      <c r="B194" s="93">
        <v>10</v>
      </c>
      <c r="C194" s="93" t="s">
        <v>253</v>
      </c>
      <c r="D194" s="304" t="s">
        <v>122</v>
      </c>
      <c r="E194" s="93">
        <v>71</v>
      </c>
      <c r="F194" s="206">
        <f t="shared" si="6"/>
        <v>1.5836768566746147</v>
      </c>
      <c r="G194" s="206"/>
    </row>
    <row r="195" spans="1:7">
      <c r="A195" t="s">
        <v>746</v>
      </c>
      <c r="B195" s="93">
        <v>11</v>
      </c>
      <c r="C195" s="93" t="s">
        <v>250</v>
      </c>
      <c r="D195" s="304" t="s">
        <v>94</v>
      </c>
      <c r="E195" s="93">
        <v>32</v>
      </c>
      <c r="F195" s="206">
        <f t="shared" si="6"/>
        <v>0.32169908772759481</v>
      </c>
      <c r="G195" s="206"/>
    </row>
    <row r="196" spans="1:7">
      <c r="A196" t="s">
        <v>746</v>
      </c>
      <c r="B196" s="93">
        <v>12</v>
      </c>
      <c r="C196" s="93" t="s">
        <v>230</v>
      </c>
      <c r="D196" s="304" t="s">
        <v>88</v>
      </c>
      <c r="E196" s="93">
        <v>52</v>
      </c>
      <c r="F196" s="206">
        <f t="shared" ref="F196:F259" si="8">(PI()*(E196/200)^2)/0.025/10</f>
        <v>0.8494866535306802</v>
      </c>
      <c r="G196" s="206"/>
    </row>
    <row r="197" spans="1:7">
      <c r="A197" t="s">
        <v>746</v>
      </c>
      <c r="B197" s="93">
        <v>13</v>
      </c>
      <c r="C197" s="93" t="s">
        <v>230</v>
      </c>
      <c r="D197" s="304" t="s">
        <v>88</v>
      </c>
      <c r="E197" s="93">
        <v>55</v>
      </c>
      <c r="F197" s="206">
        <f t="shared" si="8"/>
        <v>0.95033177771091248</v>
      </c>
      <c r="G197" s="206"/>
    </row>
    <row r="198" spans="1:7">
      <c r="A198" t="s">
        <v>746</v>
      </c>
      <c r="B198" s="93">
        <v>14</v>
      </c>
      <c r="C198" s="93" t="s">
        <v>230</v>
      </c>
      <c r="D198" s="304" t="s">
        <v>88</v>
      </c>
      <c r="E198" s="93">
        <v>46</v>
      </c>
      <c r="F198" s="206">
        <f t="shared" si="8"/>
        <v>0.66476100549960027</v>
      </c>
      <c r="G198" s="206"/>
    </row>
    <row r="199" spans="1:7">
      <c r="A199" t="s">
        <v>746</v>
      </c>
      <c r="B199" s="93">
        <v>15</v>
      </c>
      <c r="C199" s="93" t="s">
        <v>230</v>
      </c>
      <c r="D199" s="304" t="s">
        <v>88</v>
      </c>
      <c r="E199" s="93">
        <v>26</v>
      </c>
      <c r="F199" s="206">
        <f t="shared" si="8"/>
        <v>0.21237166338267005</v>
      </c>
      <c r="G199" s="206"/>
    </row>
    <row r="200" spans="1:7">
      <c r="A200" t="s">
        <v>746</v>
      </c>
      <c r="B200" s="93">
        <v>16</v>
      </c>
      <c r="C200" s="93" t="s">
        <v>306</v>
      </c>
      <c r="D200" s="304" t="s">
        <v>123</v>
      </c>
      <c r="E200" s="93">
        <v>44</v>
      </c>
      <c r="F200" s="206">
        <f t="shared" si="8"/>
        <v>0.60821233773498395</v>
      </c>
      <c r="G200" s="206"/>
    </row>
    <row r="201" spans="1:7">
      <c r="A201" t="s">
        <v>746</v>
      </c>
      <c r="B201" s="93">
        <v>17</v>
      </c>
      <c r="C201" s="93" t="s">
        <v>230</v>
      </c>
      <c r="D201" s="304" t="s">
        <v>88</v>
      </c>
      <c r="E201" s="93">
        <v>47</v>
      </c>
      <c r="F201" s="206">
        <f t="shared" si="8"/>
        <v>0.69397781717798523</v>
      </c>
      <c r="G201" s="206"/>
    </row>
    <row r="202" spans="1:7">
      <c r="A202" t="s">
        <v>746</v>
      </c>
      <c r="B202" s="93">
        <v>18</v>
      </c>
      <c r="C202" s="93" t="s">
        <v>270</v>
      </c>
      <c r="D202" s="304" t="s">
        <v>96</v>
      </c>
      <c r="E202" s="93">
        <v>24</v>
      </c>
      <c r="F202" s="206">
        <f t="shared" si="8"/>
        <v>0.18095573684677208</v>
      </c>
      <c r="G202" s="206"/>
    </row>
    <row r="203" spans="1:7">
      <c r="A203" t="s">
        <v>746</v>
      </c>
      <c r="B203" s="93">
        <v>19</v>
      </c>
      <c r="C203" s="93" t="s">
        <v>250</v>
      </c>
      <c r="D203" s="304" t="s">
        <v>94</v>
      </c>
      <c r="E203" s="93">
        <v>23</v>
      </c>
      <c r="F203" s="206">
        <f t="shared" si="8"/>
        <v>0.16619025137490007</v>
      </c>
      <c r="G203" s="206"/>
    </row>
    <row r="204" spans="1:7">
      <c r="A204" t="s">
        <v>746</v>
      </c>
      <c r="B204" s="93">
        <v>20</v>
      </c>
      <c r="C204" s="93" t="s">
        <v>268</v>
      </c>
      <c r="D204" s="93" t="s">
        <v>171</v>
      </c>
      <c r="E204" s="93">
        <v>42</v>
      </c>
      <c r="F204" s="206">
        <f t="shared" si="8"/>
        <v>0.55417694409323937</v>
      </c>
      <c r="G204" s="206"/>
    </row>
    <row r="205" spans="1:7">
      <c r="A205" t="s">
        <v>747</v>
      </c>
      <c r="B205" s="93">
        <v>1</v>
      </c>
      <c r="C205" s="93" t="s">
        <v>270</v>
      </c>
      <c r="D205" s="304" t="s">
        <v>96</v>
      </c>
      <c r="E205" s="93">
        <v>61</v>
      </c>
      <c r="F205" s="206">
        <f t="shared" si="8"/>
        <v>1.168986626400762</v>
      </c>
      <c r="G205" s="206"/>
    </row>
    <row r="206" spans="1:7">
      <c r="A206" t="s">
        <v>747</v>
      </c>
      <c r="B206" s="93">
        <v>2</v>
      </c>
      <c r="C206" s="93" t="s">
        <v>230</v>
      </c>
      <c r="D206" s="304" t="s">
        <v>88</v>
      </c>
      <c r="E206" s="93">
        <v>20</v>
      </c>
      <c r="F206" s="206">
        <f t="shared" si="8"/>
        <v>0.12566370614359174</v>
      </c>
      <c r="G206" s="206"/>
    </row>
    <row r="207" spans="1:7">
      <c r="A207" t="s">
        <v>747</v>
      </c>
      <c r="B207" s="93">
        <v>3</v>
      </c>
      <c r="C207" s="93" t="s">
        <v>278</v>
      </c>
      <c r="D207" s="93" t="s">
        <v>156</v>
      </c>
      <c r="E207" s="93">
        <v>26</v>
      </c>
      <c r="F207" s="206">
        <f t="shared" si="8"/>
        <v>0.21237166338267005</v>
      </c>
      <c r="G207" s="206"/>
    </row>
    <row r="208" spans="1:7">
      <c r="A208" t="s">
        <v>747</v>
      </c>
      <c r="B208" s="93">
        <v>4</v>
      </c>
      <c r="C208" s="93" t="s">
        <v>265</v>
      </c>
      <c r="D208" s="93" t="s">
        <v>169</v>
      </c>
      <c r="E208" s="93">
        <v>48</v>
      </c>
      <c r="F208" s="206">
        <f t="shared" si="8"/>
        <v>0.7238229473870883</v>
      </c>
      <c r="G208" s="206"/>
    </row>
    <row r="209" spans="1:7">
      <c r="A209" t="s">
        <v>747</v>
      </c>
      <c r="B209" s="93">
        <v>5</v>
      </c>
      <c r="C209" s="93" t="s">
        <v>230</v>
      </c>
      <c r="D209" s="304" t="s">
        <v>88</v>
      </c>
      <c r="E209" s="93">
        <v>58</v>
      </c>
      <c r="F209" s="206">
        <f t="shared" si="8"/>
        <v>1.0568317686676063</v>
      </c>
      <c r="G209" s="206"/>
    </row>
    <row r="210" spans="1:7">
      <c r="A210" t="s">
        <v>747</v>
      </c>
      <c r="B210" s="93">
        <v>6</v>
      </c>
      <c r="C210" s="93" t="s">
        <v>230</v>
      </c>
      <c r="D210" s="304" t="s">
        <v>88</v>
      </c>
      <c r="E210" s="93">
        <v>57</v>
      </c>
      <c r="F210" s="206">
        <f t="shared" si="8"/>
        <v>1.0207034531513237</v>
      </c>
      <c r="G210" s="206"/>
    </row>
    <row r="211" spans="1:7">
      <c r="A211" t="s">
        <v>747</v>
      </c>
      <c r="B211" s="93">
        <v>7</v>
      </c>
      <c r="C211" s="93" t="s">
        <v>283</v>
      </c>
      <c r="D211" s="93" t="s">
        <v>200</v>
      </c>
      <c r="E211" s="93">
        <v>29</v>
      </c>
      <c r="F211" s="206">
        <f t="shared" si="8"/>
        <v>0.26420794216690158</v>
      </c>
      <c r="G211" s="206"/>
    </row>
    <row r="212" spans="1:7">
      <c r="A212" t="s">
        <v>747</v>
      </c>
      <c r="B212" s="93">
        <v>8</v>
      </c>
      <c r="C212" s="93" t="s">
        <v>230</v>
      </c>
      <c r="D212" s="304" t="s">
        <v>88</v>
      </c>
      <c r="E212" s="93">
        <v>49</v>
      </c>
      <c r="F212" s="206">
        <f t="shared" si="8"/>
        <v>0.75429639612690924</v>
      </c>
      <c r="G212" s="206"/>
    </row>
    <row r="213" spans="1:7">
      <c r="A213" t="s">
        <v>747</v>
      </c>
      <c r="B213" s="93">
        <v>9</v>
      </c>
      <c r="C213" s="93" t="s">
        <v>250</v>
      </c>
      <c r="D213" s="304" t="s">
        <v>94</v>
      </c>
      <c r="E213" s="93">
        <v>28</v>
      </c>
      <c r="F213" s="206">
        <f t="shared" si="8"/>
        <v>0.24630086404143978</v>
      </c>
      <c r="G213" s="206"/>
    </row>
    <row r="214" spans="1:7">
      <c r="A214" t="s">
        <v>747</v>
      </c>
      <c r="B214" s="93">
        <v>10</v>
      </c>
      <c r="C214" s="93" t="s">
        <v>230</v>
      </c>
      <c r="D214" s="304" t="s">
        <v>88</v>
      </c>
      <c r="E214" s="93">
        <v>55</v>
      </c>
      <c r="F214" s="206">
        <f t="shared" si="8"/>
        <v>0.95033177771091248</v>
      </c>
      <c r="G214" s="206"/>
    </row>
    <row r="215" spans="1:7">
      <c r="A215" t="s">
        <v>747</v>
      </c>
      <c r="B215" s="93">
        <v>11</v>
      </c>
      <c r="C215" s="93" t="s">
        <v>280</v>
      </c>
      <c r="D215" s="93" t="s">
        <v>189</v>
      </c>
      <c r="E215" s="93">
        <v>37</v>
      </c>
      <c r="F215" s="206">
        <f t="shared" si="8"/>
        <v>0.43008403427644265</v>
      </c>
      <c r="G215" s="206"/>
    </row>
    <row r="216" spans="1:7">
      <c r="A216" t="s">
        <v>747</v>
      </c>
      <c r="B216" s="93">
        <v>12</v>
      </c>
      <c r="C216" s="93" t="s">
        <v>245</v>
      </c>
      <c r="D216" s="304" t="s">
        <v>118</v>
      </c>
      <c r="E216" s="93">
        <v>23</v>
      </c>
      <c r="F216" s="206">
        <f t="shared" si="8"/>
        <v>0.16619025137490007</v>
      </c>
      <c r="G216" s="206"/>
    </row>
    <row r="217" spans="1:7">
      <c r="A217" t="s">
        <v>747</v>
      </c>
      <c r="B217" s="93">
        <v>13</v>
      </c>
      <c r="C217" s="93" t="s">
        <v>279</v>
      </c>
      <c r="D217" s="93" t="s">
        <v>201</v>
      </c>
      <c r="E217" s="93">
        <v>28</v>
      </c>
      <c r="F217" s="206">
        <f t="shared" si="8"/>
        <v>0.24630086404143978</v>
      </c>
      <c r="G217" s="206"/>
    </row>
    <row r="218" spans="1:7">
      <c r="A218" t="s">
        <v>747</v>
      </c>
      <c r="B218" s="93">
        <v>14</v>
      </c>
      <c r="C218" s="93" t="s">
        <v>261</v>
      </c>
      <c r="D218" s="93" t="s">
        <v>95</v>
      </c>
      <c r="E218" s="93">
        <v>26</v>
      </c>
      <c r="F218" s="206">
        <f t="shared" si="8"/>
        <v>0.21237166338267005</v>
      </c>
      <c r="G218" s="206"/>
    </row>
    <row r="219" spans="1:7">
      <c r="A219" t="s">
        <v>747</v>
      </c>
      <c r="B219" s="93">
        <v>15</v>
      </c>
      <c r="C219" s="93" t="s">
        <v>278</v>
      </c>
      <c r="D219" s="93" t="s">
        <v>202</v>
      </c>
      <c r="E219" s="93">
        <v>137</v>
      </c>
      <c r="F219" s="206">
        <f t="shared" si="8"/>
        <v>5.8964552515226831</v>
      </c>
      <c r="G219" s="206"/>
    </row>
    <row r="220" spans="1:7">
      <c r="A220" t="s">
        <v>747</v>
      </c>
      <c r="B220" s="93">
        <v>16</v>
      </c>
      <c r="C220" s="93" t="s">
        <v>236</v>
      </c>
      <c r="D220" s="304" t="s">
        <v>90</v>
      </c>
      <c r="E220" s="93">
        <v>84</v>
      </c>
      <c r="F220" s="206">
        <f t="shared" si="8"/>
        <v>2.2167077763729575</v>
      </c>
      <c r="G220" s="206"/>
    </row>
    <row r="221" spans="1:7">
      <c r="A221" t="s">
        <v>747</v>
      </c>
      <c r="B221" s="93">
        <v>17</v>
      </c>
      <c r="C221" s="93" t="s">
        <v>270</v>
      </c>
      <c r="D221" s="304" t="s">
        <v>96</v>
      </c>
      <c r="E221" s="93">
        <v>40</v>
      </c>
      <c r="F221" s="206">
        <f t="shared" si="8"/>
        <v>0.50265482457436694</v>
      </c>
      <c r="G221" s="206"/>
    </row>
    <row r="222" spans="1:7">
      <c r="A222" t="s">
        <v>747</v>
      </c>
      <c r="B222" s="93">
        <v>18</v>
      </c>
      <c r="C222" s="93" t="s">
        <v>270</v>
      </c>
      <c r="D222" s="304" t="s">
        <v>96</v>
      </c>
      <c r="E222" s="93">
        <v>58</v>
      </c>
      <c r="F222" s="206">
        <f t="shared" si="8"/>
        <v>1.0568317686676063</v>
      </c>
      <c r="G222" s="206"/>
    </row>
    <row r="223" spans="1:7">
      <c r="A223" t="s">
        <v>747</v>
      </c>
      <c r="B223" s="93">
        <v>19</v>
      </c>
      <c r="C223" s="93" t="s">
        <v>230</v>
      </c>
      <c r="D223" s="304" t="s">
        <v>88</v>
      </c>
      <c r="E223" s="93">
        <v>55</v>
      </c>
      <c r="F223" s="206">
        <f t="shared" si="8"/>
        <v>0.95033177771091248</v>
      </c>
      <c r="G223" s="206"/>
    </row>
    <row r="224" spans="1:7">
      <c r="A224" t="s">
        <v>747</v>
      </c>
      <c r="B224" s="93">
        <v>20</v>
      </c>
      <c r="C224" s="93" t="s">
        <v>229</v>
      </c>
      <c r="D224" s="93" t="s">
        <v>166</v>
      </c>
      <c r="E224" s="93">
        <v>38</v>
      </c>
      <c r="F224" s="206">
        <f t="shared" si="8"/>
        <v>0.45364597917836608</v>
      </c>
      <c r="G224" s="206"/>
    </row>
    <row r="225" spans="1:7">
      <c r="A225" t="s">
        <v>747</v>
      </c>
      <c r="B225" s="93">
        <v>21</v>
      </c>
      <c r="C225" s="93" t="s">
        <v>253</v>
      </c>
      <c r="D225" s="304" t="s">
        <v>122</v>
      </c>
      <c r="E225" s="93">
        <v>38</v>
      </c>
      <c r="F225" s="206">
        <f t="shared" si="8"/>
        <v>0.45364597917836608</v>
      </c>
      <c r="G225" s="206"/>
    </row>
    <row r="226" spans="1:7">
      <c r="A226" t="s">
        <v>747</v>
      </c>
      <c r="B226" s="93">
        <v>22</v>
      </c>
      <c r="C226" s="93" t="s">
        <v>230</v>
      </c>
      <c r="D226" s="304" t="s">
        <v>88</v>
      </c>
      <c r="E226" s="93">
        <v>20</v>
      </c>
      <c r="F226" s="206">
        <f t="shared" si="8"/>
        <v>0.12566370614359174</v>
      </c>
      <c r="G226" s="206"/>
    </row>
    <row r="227" spans="1:7">
      <c r="A227" t="s">
        <v>747</v>
      </c>
      <c r="B227" s="93">
        <v>23</v>
      </c>
      <c r="C227" s="93" t="s">
        <v>230</v>
      </c>
      <c r="D227" s="304" t="s">
        <v>88</v>
      </c>
      <c r="E227" s="93">
        <v>61</v>
      </c>
      <c r="F227" s="206">
        <f t="shared" si="8"/>
        <v>1.168986626400762</v>
      </c>
      <c r="G227" s="206"/>
    </row>
    <row r="228" spans="1:7">
      <c r="A228" t="s">
        <v>747</v>
      </c>
      <c r="B228" s="93">
        <v>24</v>
      </c>
      <c r="C228" s="93" t="s">
        <v>242</v>
      </c>
      <c r="D228" s="93" t="s">
        <v>98</v>
      </c>
      <c r="E228" s="93">
        <v>34</v>
      </c>
      <c r="F228" s="206">
        <f t="shared" si="8"/>
        <v>0.36316811075498012</v>
      </c>
      <c r="G228" s="206"/>
    </row>
    <row r="229" spans="1:7">
      <c r="A229" t="s">
        <v>748</v>
      </c>
      <c r="B229" s="93">
        <v>1</v>
      </c>
      <c r="C229" s="93" t="s">
        <v>236</v>
      </c>
      <c r="D229" s="304" t="s">
        <v>90</v>
      </c>
      <c r="E229" s="93">
        <v>58</v>
      </c>
      <c r="F229" s="206">
        <f t="shared" si="8"/>
        <v>1.0568317686676063</v>
      </c>
      <c r="G229" s="206"/>
    </row>
    <row r="230" spans="1:7">
      <c r="A230" t="s">
        <v>748</v>
      </c>
      <c r="B230" s="93">
        <v>2</v>
      </c>
      <c r="C230" s="93" t="s">
        <v>230</v>
      </c>
      <c r="D230" s="304" t="s">
        <v>88</v>
      </c>
      <c r="E230" s="93">
        <v>26</v>
      </c>
      <c r="F230" s="206">
        <f t="shared" si="8"/>
        <v>0.21237166338267005</v>
      </c>
      <c r="G230" s="206"/>
    </row>
    <row r="231" spans="1:7">
      <c r="A231" t="s">
        <v>748</v>
      </c>
      <c r="B231" s="93">
        <v>3</v>
      </c>
      <c r="C231" s="93" t="s">
        <v>236</v>
      </c>
      <c r="D231" s="304" t="s">
        <v>90</v>
      </c>
      <c r="E231" s="93">
        <v>65</v>
      </c>
      <c r="F231" s="206">
        <f t="shared" si="8"/>
        <v>1.3273228961416876</v>
      </c>
      <c r="G231" s="206"/>
    </row>
    <row r="232" spans="1:7">
      <c r="A232" t="s">
        <v>748</v>
      </c>
      <c r="B232" s="93">
        <v>4</v>
      </c>
      <c r="C232" s="93" t="s">
        <v>258</v>
      </c>
      <c r="D232" s="304" t="s">
        <v>119</v>
      </c>
      <c r="E232" s="93">
        <v>77</v>
      </c>
      <c r="F232" s="206">
        <f t="shared" si="8"/>
        <v>1.8626502843133881</v>
      </c>
      <c r="G232" s="206"/>
    </row>
    <row r="233" spans="1:7">
      <c r="A233" t="s">
        <v>748</v>
      </c>
      <c r="B233" s="93">
        <v>5</v>
      </c>
      <c r="C233" s="93" t="s">
        <v>236</v>
      </c>
      <c r="D233" s="304" t="s">
        <v>90</v>
      </c>
      <c r="E233" s="93">
        <v>56</v>
      </c>
      <c r="F233" s="206">
        <f t="shared" si="8"/>
        <v>0.98520345616575911</v>
      </c>
      <c r="G233" s="206"/>
    </row>
    <row r="234" spans="1:7">
      <c r="A234" t="s">
        <v>748</v>
      </c>
      <c r="B234" s="93">
        <v>6</v>
      </c>
      <c r="C234" s="93" t="s">
        <v>236</v>
      </c>
      <c r="D234" s="304" t="s">
        <v>90</v>
      </c>
      <c r="E234" s="93">
        <v>57</v>
      </c>
      <c r="F234" s="206">
        <f t="shared" si="8"/>
        <v>1.0207034531513237</v>
      </c>
      <c r="G234" s="206"/>
    </row>
    <row r="235" spans="1:7">
      <c r="A235" t="s">
        <v>748</v>
      </c>
      <c r="B235" s="93">
        <v>7</v>
      </c>
      <c r="C235" s="93" t="s">
        <v>250</v>
      </c>
      <c r="D235" s="304" t="s">
        <v>94</v>
      </c>
      <c r="E235" s="93">
        <v>25</v>
      </c>
      <c r="F235" s="206">
        <f t="shared" si="8"/>
        <v>0.19634954084936207</v>
      </c>
      <c r="G235" s="206"/>
    </row>
    <row r="236" spans="1:7">
      <c r="A236" t="s">
        <v>748</v>
      </c>
      <c r="B236" s="93">
        <v>8</v>
      </c>
      <c r="C236" s="93" t="s">
        <v>304</v>
      </c>
      <c r="D236" s="93" t="s">
        <v>206</v>
      </c>
      <c r="E236" s="93">
        <v>40</v>
      </c>
      <c r="F236" s="206">
        <f t="shared" si="8"/>
        <v>0.50265482457436694</v>
      </c>
      <c r="G236" s="206"/>
    </row>
    <row r="237" spans="1:7">
      <c r="A237" t="s">
        <v>748</v>
      </c>
      <c r="B237" s="93">
        <v>9</v>
      </c>
      <c r="C237" s="93" t="s">
        <v>268</v>
      </c>
      <c r="D237" s="93" t="s">
        <v>171</v>
      </c>
      <c r="E237" s="93">
        <v>20</v>
      </c>
      <c r="F237" s="206">
        <f t="shared" si="8"/>
        <v>0.12566370614359174</v>
      </c>
      <c r="G237" s="206"/>
    </row>
    <row r="238" spans="1:7">
      <c r="A238" t="s">
        <v>748</v>
      </c>
      <c r="B238" s="93">
        <v>10</v>
      </c>
      <c r="C238" s="93" t="s">
        <v>268</v>
      </c>
      <c r="D238" s="93" t="s">
        <v>171</v>
      </c>
      <c r="E238" s="93">
        <v>20</v>
      </c>
      <c r="F238" s="206">
        <f t="shared" si="8"/>
        <v>0.12566370614359174</v>
      </c>
      <c r="G238" s="206"/>
    </row>
    <row r="239" spans="1:7">
      <c r="A239" t="s">
        <v>748</v>
      </c>
      <c r="B239" s="93">
        <v>11</v>
      </c>
      <c r="C239" s="93" t="s">
        <v>236</v>
      </c>
      <c r="D239" s="304" t="s">
        <v>90</v>
      </c>
      <c r="E239" s="93">
        <v>45</v>
      </c>
      <c r="F239" s="206">
        <f t="shared" si="8"/>
        <v>0.63617251235193317</v>
      </c>
      <c r="G239" s="206"/>
    </row>
    <row r="240" spans="1:7">
      <c r="A240" t="s">
        <v>748</v>
      </c>
      <c r="B240" s="93">
        <v>12</v>
      </c>
      <c r="C240" s="93" t="s">
        <v>236</v>
      </c>
      <c r="D240" s="304" t="s">
        <v>90</v>
      </c>
      <c r="E240" s="93">
        <v>46</v>
      </c>
      <c r="F240" s="206">
        <f t="shared" si="8"/>
        <v>0.66476100549960027</v>
      </c>
      <c r="G240" s="206"/>
    </row>
    <row r="241" spans="1:7">
      <c r="A241" t="s">
        <v>748</v>
      </c>
      <c r="B241" s="93">
        <v>13</v>
      </c>
      <c r="C241" s="93" t="s">
        <v>242</v>
      </c>
      <c r="D241" s="93" t="s">
        <v>207</v>
      </c>
      <c r="E241" s="93">
        <v>22</v>
      </c>
      <c r="F241" s="206">
        <f t="shared" si="8"/>
        <v>0.15205308443374599</v>
      </c>
      <c r="G241" s="206"/>
    </row>
    <row r="242" spans="1:7">
      <c r="A242" t="s">
        <v>748</v>
      </c>
      <c r="B242" s="93">
        <v>14</v>
      </c>
      <c r="C242" s="93" t="s">
        <v>230</v>
      </c>
      <c r="D242" s="304" t="s">
        <v>88</v>
      </c>
      <c r="E242" s="93">
        <v>52</v>
      </c>
      <c r="F242" s="206">
        <f t="shared" si="8"/>
        <v>0.8494866535306802</v>
      </c>
      <c r="G242" s="206"/>
    </row>
    <row r="243" spans="1:7">
      <c r="A243" t="s">
        <v>748</v>
      </c>
      <c r="B243" s="93">
        <v>15</v>
      </c>
      <c r="C243" s="93" t="s">
        <v>230</v>
      </c>
      <c r="D243" s="304" t="s">
        <v>88</v>
      </c>
      <c r="E243" s="93">
        <v>38</v>
      </c>
      <c r="F243" s="206">
        <f t="shared" si="8"/>
        <v>0.45364597917836608</v>
      </c>
      <c r="G243" s="206"/>
    </row>
    <row r="244" spans="1:7">
      <c r="A244" t="s">
        <v>748</v>
      </c>
      <c r="B244" s="93">
        <v>16</v>
      </c>
      <c r="C244" s="93" t="s">
        <v>230</v>
      </c>
      <c r="D244" s="304" t="s">
        <v>88</v>
      </c>
      <c r="E244" s="93">
        <v>45</v>
      </c>
      <c r="F244" s="206">
        <f t="shared" si="8"/>
        <v>0.63617251235193317</v>
      </c>
      <c r="G244" s="206"/>
    </row>
    <row r="245" spans="1:7">
      <c r="A245" t="s">
        <v>748</v>
      </c>
      <c r="B245" s="93">
        <v>17</v>
      </c>
      <c r="C245" s="93" t="s">
        <v>230</v>
      </c>
      <c r="D245" s="304" t="s">
        <v>88</v>
      </c>
      <c r="E245" s="93">
        <v>34</v>
      </c>
      <c r="F245" s="206">
        <f t="shared" si="8"/>
        <v>0.36316811075498012</v>
      </c>
      <c r="G245" s="206"/>
    </row>
    <row r="246" spans="1:7">
      <c r="A246" t="s">
        <v>748</v>
      </c>
      <c r="B246" s="93">
        <v>18</v>
      </c>
      <c r="C246" s="93" t="s">
        <v>236</v>
      </c>
      <c r="D246" s="304" t="s">
        <v>90</v>
      </c>
      <c r="E246" s="93">
        <v>32</v>
      </c>
      <c r="F246" s="206">
        <f t="shared" si="8"/>
        <v>0.32169908772759481</v>
      </c>
      <c r="G246" s="206"/>
    </row>
    <row r="247" spans="1:7">
      <c r="A247" t="s">
        <v>748</v>
      </c>
      <c r="B247" s="93">
        <v>19</v>
      </c>
      <c r="C247" s="93" t="s">
        <v>230</v>
      </c>
      <c r="D247" s="304" t="s">
        <v>88</v>
      </c>
      <c r="E247" s="93">
        <v>35</v>
      </c>
      <c r="F247" s="206">
        <f t="shared" si="8"/>
        <v>0.38484510006474959</v>
      </c>
      <c r="G247" s="206"/>
    </row>
    <row r="248" spans="1:7">
      <c r="A248" t="s">
        <v>748</v>
      </c>
      <c r="B248" s="93">
        <v>20</v>
      </c>
      <c r="C248" s="93" t="s">
        <v>261</v>
      </c>
      <c r="D248" s="93" t="s">
        <v>95</v>
      </c>
      <c r="E248" s="93">
        <v>45</v>
      </c>
      <c r="F248" s="206">
        <f t="shared" si="8"/>
        <v>0.63617251235193317</v>
      </c>
      <c r="G248" s="206"/>
    </row>
    <row r="249" spans="1:7">
      <c r="A249" t="s">
        <v>748</v>
      </c>
      <c r="B249" s="93">
        <v>21</v>
      </c>
      <c r="C249" s="93" t="s">
        <v>261</v>
      </c>
      <c r="D249" s="93" t="s">
        <v>95</v>
      </c>
      <c r="E249" s="93">
        <v>41</v>
      </c>
      <c r="F249" s="206">
        <f t="shared" si="8"/>
        <v>0.52810172506844411</v>
      </c>
      <c r="G249" s="206"/>
    </row>
    <row r="250" spans="1:7">
      <c r="A250" t="s">
        <v>748</v>
      </c>
      <c r="B250" s="93">
        <v>22</v>
      </c>
      <c r="C250" s="93" t="s">
        <v>230</v>
      </c>
      <c r="D250" s="304" t="s">
        <v>88</v>
      </c>
      <c r="E250" s="93">
        <v>22</v>
      </c>
      <c r="F250" s="206">
        <f t="shared" si="8"/>
        <v>0.15205308443374599</v>
      </c>
      <c r="G250" s="206"/>
    </row>
    <row r="251" spans="1:7">
      <c r="A251" t="s">
        <v>748</v>
      </c>
      <c r="B251" s="93">
        <v>23</v>
      </c>
      <c r="C251" s="93" t="s">
        <v>276</v>
      </c>
      <c r="D251" s="93" t="s">
        <v>208</v>
      </c>
      <c r="E251" s="93">
        <v>21</v>
      </c>
      <c r="F251" s="206">
        <f t="shared" si="8"/>
        <v>0.13854423602330984</v>
      </c>
      <c r="G251" s="206"/>
    </row>
    <row r="252" spans="1:7">
      <c r="A252" t="s">
        <v>748</v>
      </c>
      <c r="B252" s="93">
        <v>24</v>
      </c>
      <c r="C252" s="93" t="s">
        <v>258</v>
      </c>
      <c r="D252" s="304" t="s">
        <v>119</v>
      </c>
      <c r="E252" s="93">
        <v>54</v>
      </c>
      <c r="F252" s="206">
        <f t="shared" si="8"/>
        <v>0.91608841778678374</v>
      </c>
      <c r="G252" s="206"/>
    </row>
    <row r="253" spans="1:7">
      <c r="A253" t="s">
        <v>748</v>
      </c>
      <c r="B253" s="93">
        <v>25</v>
      </c>
      <c r="C253" s="93" t="s">
        <v>297</v>
      </c>
      <c r="D253" s="93" t="s">
        <v>209</v>
      </c>
      <c r="E253" s="93">
        <v>25</v>
      </c>
      <c r="F253" s="206">
        <f t="shared" si="8"/>
        <v>0.19634954084936207</v>
      </c>
      <c r="G253" s="206"/>
    </row>
    <row r="254" spans="1:7">
      <c r="A254" t="s">
        <v>748</v>
      </c>
      <c r="B254" s="93">
        <v>26</v>
      </c>
      <c r="C254" s="93" t="s">
        <v>270</v>
      </c>
      <c r="D254" s="304" t="s">
        <v>96</v>
      </c>
      <c r="E254" s="93">
        <v>81</v>
      </c>
      <c r="F254" s="206">
        <f t="shared" si="8"/>
        <v>2.0611989400202635</v>
      </c>
      <c r="G254" s="206"/>
    </row>
    <row r="255" spans="1:7">
      <c r="A255" t="s">
        <v>748</v>
      </c>
      <c r="B255" s="93">
        <v>27</v>
      </c>
      <c r="C255" s="93" t="s">
        <v>265</v>
      </c>
      <c r="D255" s="93" t="s">
        <v>137</v>
      </c>
      <c r="E255" s="93">
        <v>33</v>
      </c>
      <c r="F255" s="206">
        <f t="shared" si="8"/>
        <v>0.34211943997592853</v>
      </c>
      <c r="G255" s="206"/>
    </row>
    <row r="256" spans="1:7">
      <c r="A256" t="s">
        <v>748</v>
      </c>
      <c r="B256" s="93">
        <v>28</v>
      </c>
      <c r="C256" s="93" t="s">
        <v>308</v>
      </c>
      <c r="D256" s="93" t="s">
        <v>210</v>
      </c>
      <c r="E256" s="93">
        <v>27.5</v>
      </c>
      <c r="F256" s="206">
        <f t="shared" si="8"/>
        <v>0.23758294442772812</v>
      </c>
      <c r="G256" s="206"/>
    </row>
    <row r="257" spans="1:7">
      <c r="A257" t="s">
        <v>748</v>
      </c>
      <c r="B257" s="93">
        <v>29</v>
      </c>
      <c r="C257" s="93" t="s">
        <v>230</v>
      </c>
      <c r="D257" s="304" t="s">
        <v>88</v>
      </c>
      <c r="E257" s="93">
        <v>53</v>
      </c>
      <c r="F257" s="206">
        <f t="shared" si="8"/>
        <v>0.88247337639337287</v>
      </c>
      <c r="G257" s="206"/>
    </row>
    <row r="258" spans="1:7">
      <c r="A258" t="s">
        <v>748</v>
      </c>
      <c r="B258" s="93">
        <v>30</v>
      </c>
      <c r="C258" s="93" t="s">
        <v>230</v>
      </c>
      <c r="D258" s="304" t="s">
        <v>88</v>
      </c>
      <c r="E258" s="93">
        <v>44</v>
      </c>
      <c r="F258" s="206">
        <f t="shared" si="8"/>
        <v>0.60821233773498395</v>
      </c>
      <c r="G258" s="206"/>
    </row>
    <row r="259" spans="1:7">
      <c r="A259" t="s">
        <v>748</v>
      </c>
      <c r="B259" s="93">
        <v>31</v>
      </c>
      <c r="C259" s="93" t="s">
        <v>233</v>
      </c>
      <c r="D259" s="304" t="s">
        <v>124</v>
      </c>
      <c r="E259" s="93">
        <v>36</v>
      </c>
      <c r="F259" s="206">
        <f t="shared" si="8"/>
        <v>0.4071504079052371</v>
      </c>
      <c r="G259" s="206"/>
    </row>
    <row r="260" spans="1:7">
      <c r="A260" t="s">
        <v>748</v>
      </c>
      <c r="B260" s="93">
        <v>32</v>
      </c>
      <c r="C260" s="93" t="s">
        <v>230</v>
      </c>
      <c r="D260" s="304" t="s">
        <v>88</v>
      </c>
      <c r="E260" s="93">
        <v>55</v>
      </c>
      <c r="F260" s="206">
        <f t="shared" ref="F260:F285" si="9">(PI()*(E260/200)^2)/0.025/10</f>
        <v>0.95033177771091248</v>
      </c>
      <c r="G260" s="206"/>
    </row>
    <row r="261" spans="1:7">
      <c r="A261" t="s">
        <v>749</v>
      </c>
      <c r="B261" s="93">
        <v>1</v>
      </c>
      <c r="C261" s="93" t="s">
        <v>295</v>
      </c>
      <c r="D261" s="93" t="s">
        <v>170</v>
      </c>
      <c r="E261" s="93">
        <v>44</v>
      </c>
      <c r="F261" s="206">
        <f t="shared" si="9"/>
        <v>0.60821233773498395</v>
      </c>
      <c r="G261" s="206"/>
    </row>
    <row r="262" spans="1:7">
      <c r="A262" t="s">
        <v>749</v>
      </c>
      <c r="B262" s="93">
        <v>2</v>
      </c>
      <c r="C262" s="93" t="s">
        <v>230</v>
      </c>
      <c r="D262" s="304" t="s">
        <v>88</v>
      </c>
      <c r="E262" s="93">
        <v>52</v>
      </c>
      <c r="F262" s="206">
        <f t="shared" si="9"/>
        <v>0.8494866535306802</v>
      </c>
      <c r="G262" s="206"/>
    </row>
    <row r="263" spans="1:7">
      <c r="A263" t="s">
        <v>749</v>
      </c>
      <c r="B263" s="93">
        <v>3</v>
      </c>
      <c r="C263" s="93" t="s">
        <v>236</v>
      </c>
      <c r="D263" s="304" t="s">
        <v>90</v>
      </c>
      <c r="E263" s="93">
        <v>90</v>
      </c>
      <c r="F263" s="206">
        <f t="shared" si="9"/>
        <v>2.5446900494077327</v>
      </c>
      <c r="G263" s="206"/>
    </row>
    <row r="264" spans="1:7">
      <c r="A264" t="s">
        <v>749</v>
      </c>
      <c r="B264" s="93">
        <v>4</v>
      </c>
      <c r="C264" s="93" t="s">
        <v>242</v>
      </c>
      <c r="D264" s="93" t="s">
        <v>98</v>
      </c>
      <c r="E264" s="93">
        <v>43</v>
      </c>
      <c r="F264" s="206">
        <f t="shared" si="9"/>
        <v>0.58088048164875272</v>
      </c>
      <c r="G264" s="206"/>
    </row>
    <row r="265" spans="1:7">
      <c r="A265" t="s">
        <v>749</v>
      </c>
      <c r="B265" s="93">
        <v>5</v>
      </c>
      <c r="C265" s="305" t="s">
        <v>310</v>
      </c>
      <c r="D265" s="93"/>
      <c r="E265" s="93">
        <v>36</v>
      </c>
      <c r="F265" s="206">
        <f t="shared" si="9"/>
        <v>0.4071504079052371</v>
      </c>
      <c r="G265" s="206"/>
    </row>
    <row r="266" spans="1:7">
      <c r="A266" t="s">
        <v>749</v>
      </c>
      <c r="B266" s="93">
        <v>6</v>
      </c>
      <c r="C266" s="93" t="s">
        <v>265</v>
      </c>
      <c r="D266" s="93" t="s">
        <v>169</v>
      </c>
      <c r="E266" s="93">
        <v>60</v>
      </c>
      <c r="F266" s="206">
        <f t="shared" si="9"/>
        <v>1.1309733552923256</v>
      </c>
      <c r="G266" s="206"/>
    </row>
    <row r="267" spans="1:7">
      <c r="A267" t="s">
        <v>749</v>
      </c>
      <c r="B267" s="93">
        <v>7</v>
      </c>
      <c r="C267" s="93" t="s">
        <v>293</v>
      </c>
      <c r="D267" s="93" t="s">
        <v>168</v>
      </c>
      <c r="E267" s="93">
        <v>31</v>
      </c>
      <c r="F267" s="206">
        <f t="shared" si="9"/>
        <v>0.30190705400997914</v>
      </c>
      <c r="G267" s="206"/>
    </row>
    <row r="268" spans="1:7">
      <c r="A268" t="s">
        <v>749</v>
      </c>
      <c r="B268" s="93">
        <v>8</v>
      </c>
      <c r="C268" s="93" t="s">
        <v>242</v>
      </c>
      <c r="D268" s="93" t="s">
        <v>98</v>
      </c>
      <c r="E268" s="93">
        <v>29</v>
      </c>
      <c r="F268" s="206">
        <f t="shared" si="9"/>
        <v>0.26420794216690158</v>
      </c>
      <c r="G268" s="206"/>
    </row>
    <row r="269" spans="1:7">
      <c r="A269" t="s">
        <v>749</v>
      </c>
      <c r="B269" s="93">
        <v>9</v>
      </c>
      <c r="C269" s="93" t="s">
        <v>230</v>
      </c>
      <c r="D269" s="304" t="s">
        <v>88</v>
      </c>
      <c r="E269" s="93">
        <v>58</v>
      </c>
      <c r="F269" s="206">
        <f t="shared" si="9"/>
        <v>1.0568317686676063</v>
      </c>
      <c r="G269" s="206"/>
    </row>
    <row r="270" spans="1:7">
      <c r="A270" t="s">
        <v>749</v>
      </c>
      <c r="B270" s="93">
        <v>10</v>
      </c>
      <c r="C270" s="93" t="s">
        <v>230</v>
      </c>
      <c r="D270" s="304" t="s">
        <v>88</v>
      </c>
      <c r="E270" s="93">
        <v>36</v>
      </c>
      <c r="F270" s="206">
        <f t="shared" si="9"/>
        <v>0.4071504079052371</v>
      </c>
      <c r="G270" s="206"/>
    </row>
    <row r="271" spans="1:7">
      <c r="A271" t="s">
        <v>749</v>
      </c>
      <c r="B271" s="93">
        <v>11</v>
      </c>
      <c r="C271" s="93" t="s">
        <v>307</v>
      </c>
      <c r="D271" s="93" t="s">
        <v>203</v>
      </c>
      <c r="E271" s="93">
        <v>30</v>
      </c>
      <c r="F271" s="206">
        <f t="shared" si="9"/>
        <v>0.28274333882308139</v>
      </c>
      <c r="G271" s="206"/>
    </row>
    <row r="272" spans="1:7">
      <c r="A272" t="s">
        <v>749</v>
      </c>
      <c r="B272" s="93">
        <v>12</v>
      </c>
      <c r="C272" s="93" t="s">
        <v>253</v>
      </c>
      <c r="D272" s="304" t="s">
        <v>122</v>
      </c>
      <c r="E272" s="93">
        <v>32</v>
      </c>
      <c r="F272" s="206">
        <f t="shared" si="9"/>
        <v>0.32169908772759481</v>
      </c>
      <c r="G272" s="206"/>
    </row>
    <row r="273" spans="1:7">
      <c r="A273" t="s">
        <v>749</v>
      </c>
      <c r="B273" s="93">
        <v>13</v>
      </c>
      <c r="C273" s="93" t="s">
        <v>250</v>
      </c>
      <c r="D273" s="304" t="s">
        <v>94</v>
      </c>
      <c r="E273" s="93">
        <v>37</v>
      </c>
      <c r="F273" s="206">
        <f t="shared" si="9"/>
        <v>0.43008403427644265</v>
      </c>
      <c r="G273" s="206"/>
    </row>
    <row r="274" spans="1:7">
      <c r="A274" t="s">
        <v>749</v>
      </c>
      <c r="B274" s="93">
        <v>14</v>
      </c>
      <c r="C274" s="93" t="s">
        <v>230</v>
      </c>
      <c r="D274" s="304" t="s">
        <v>88</v>
      </c>
      <c r="E274" s="93">
        <v>48</v>
      </c>
      <c r="F274" s="206">
        <f t="shared" si="9"/>
        <v>0.7238229473870883</v>
      </c>
      <c r="G274" s="206"/>
    </row>
    <row r="275" spans="1:7">
      <c r="A275" t="s">
        <v>749</v>
      </c>
      <c r="B275" s="93">
        <v>15</v>
      </c>
      <c r="C275" s="93" t="s">
        <v>258</v>
      </c>
      <c r="D275" s="304" t="s">
        <v>119</v>
      </c>
      <c r="E275" s="93">
        <v>61</v>
      </c>
      <c r="F275" s="206">
        <f t="shared" si="9"/>
        <v>1.168986626400762</v>
      </c>
      <c r="G275" s="206"/>
    </row>
    <row r="276" spans="1:7">
      <c r="A276" t="s">
        <v>749</v>
      </c>
      <c r="B276" s="93">
        <v>16</v>
      </c>
      <c r="C276" s="93" t="s">
        <v>293</v>
      </c>
      <c r="D276" s="93" t="s">
        <v>168</v>
      </c>
      <c r="E276" s="93">
        <v>38</v>
      </c>
      <c r="F276" s="206">
        <f t="shared" si="9"/>
        <v>0.45364597917836608</v>
      </c>
      <c r="G276" s="206"/>
    </row>
    <row r="277" spans="1:7">
      <c r="A277" t="s">
        <v>749</v>
      </c>
      <c r="B277" s="93">
        <v>17</v>
      </c>
      <c r="C277" s="93" t="s">
        <v>230</v>
      </c>
      <c r="D277" s="304" t="s">
        <v>88</v>
      </c>
      <c r="E277" s="93">
        <v>63</v>
      </c>
      <c r="F277" s="206">
        <f t="shared" si="9"/>
        <v>1.246898124209789</v>
      </c>
      <c r="G277" s="206"/>
    </row>
    <row r="278" spans="1:7">
      <c r="A278" t="s">
        <v>749</v>
      </c>
      <c r="B278" s="93">
        <v>18</v>
      </c>
      <c r="C278" s="93" t="s">
        <v>258</v>
      </c>
      <c r="D278" s="304" t="s">
        <v>119</v>
      </c>
      <c r="E278" s="93">
        <v>51</v>
      </c>
      <c r="F278" s="206">
        <f t="shared" si="9"/>
        <v>0.81712824919870519</v>
      </c>
      <c r="G278" s="206"/>
    </row>
    <row r="279" spans="1:7">
      <c r="A279" t="s">
        <v>749</v>
      </c>
      <c r="B279" s="93">
        <v>19</v>
      </c>
      <c r="C279" s="93" t="s">
        <v>230</v>
      </c>
      <c r="D279" s="304" t="s">
        <v>88</v>
      </c>
      <c r="E279" s="93">
        <v>40</v>
      </c>
      <c r="F279" s="206">
        <f t="shared" si="9"/>
        <v>0.50265482457436694</v>
      </c>
      <c r="G279" s="206"/>
    </row>
    <row r="280" spans="1:7">
      <c r="A280" t="s">
        <v>749</v>
      </c>
      <c r="B280" s="93">
        <v>20</v>
      </c>
      <c r="C280" s="93" t="s">
        <v>230</v>
      </c>
      <c r="D280" s="304" t="s">
        <v>88</v>
      </c>
      <c r="E280" s="93">
        <v>44</v>
      </c>
      <c r="F280" s="206">
        <f t="shared" si="9"/>
        <v>0.60821233773498395</v>
      </c>
      <c r="G280" s="206"/>
    </row>
    <row r="281" spans="1:7">
      <c r="A281" t="s">
        <v>749</v>
      </c>
      <c r="B281" s="93">
        <v>21</v>
      </c>
      <c r="C281" s="93" t="s">
        <v>303</v>
      </c>
      <c r="D281" s="93" t="s">
        <v>204</v>
      </c>
      <c r="E281" s="93">
        <v>76</v>
      </c>
      <c r="F281" s="206">
        <f t="shared" si="9"/>
        <v>1.8145839167134643</v>
      </c>
      <c r="G281" s="206"/>
    </row>
    <row r="282" spans="1:7">
      <c r="A282" t="s">
        <v>749</v>
      </c>
      <c r="B282" s="93">
        <v>22</v>
      </c>
      <c r="C282" s="93" t="s">
        <v>293</v>
      </c>
      <c r="D282" s="93" t="s">
        <v>168</v>
      </c>
      <c r="E282" s="93">
        <v>25</v>
      </c>
      <c r="F282" s="206">
        <f t="shared" si="9"/>
        <v>0.19634954084936207</v>
      </c>
      <c r="G282" s="206"/>
    </row>
    <row r="283" spans="1:7">
      <c r="A283" t="s">
        <v>749</v>
      </c>
      <c r="B283" s="93">
        <v>23</v>
      </c>
      <c r="C283" s="93" t="s">
        <v>257</v>
      </c>
      <c r="D283" s="93" t="s">
        <v>205</v>
      </c>
      <c r="E283" s="93">
        <v>43</v>
      </c>
      <c r="F283" s="206">
        <f t="shared" si="9"/>
        <v>0.58088048164875272</v>
      </c>
      <c r="G283" s="206"/>
    </row>
    <row r="284" spans="1:7">
      <c r="A284" t="s">
        <v>749</v>
      </c>
      <c r="B284" s="93">
        <v>24</v>
      </c>
      <c r="C284" s="93" t="s">
        <v>265</v>
      </c>
      <c r="D284" s="93" t="s">
        <v>169</v>
      </c>
      <c r="E284" s="93">
        <v>51</v>
      </c>
      <c r="F284" s="206">
        <f t="shared" si="9"/>
        <v>0.81712824919870519</v>
      </c>
      <c r="G284" s="206"/>
    </row>
    <row r="285" spans="1:7">
      <c r="A285" t="s">
        <v>749</v>
      </c>
      <c r="B285" s="93">
        <v>25</v>
      </c>
      <c r="C285" s="93" t="s">
        <v>295</v>
      </c>
      <c r="D285" s="93" t="s">
        <v>170</v>
      </c>
      <c r="E285" s="93">
        <v>28</v>
      </c>
      <c r="F285" s="206">
        <f t="shared" si="9"/>
        <v>0.24630086404143978</v>
      </c>
      <c r="G285" s="206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1048576"/>
  <sheetViews>
    <sheetView topLeftCell="C1" zoomScale="55" zoomScaleNormal="55" workbookViewId="0">
      <selection activeCell="K58" sqref="K58"/>
    </sheetView>
  </sheetViews>
  <sheetFormatPr defaultRowHeight="15" zeroHeight="1"/>
  <cols>
    <col min="2" max="2" width="24.140625" bestFit="1" customWidth="1"/>
    <col min="3" max="3" width="22" style="127" bestFit="1" customWidth="1"/>
    <col min="4" max="4" width="9.140625" style="167"/>
    <col min="5" max="5" width="17" style="167" bestFit="1" customWidth="1"/>
    <col min="7" max="7" width="14.28515625" bestFit="1" customWidth="1"/>
    <col min="8" max="9" width="24.42578125" customWidth="1"/>
    <col min="10" max="10" width="28.140625" bestFit="1" customWidth="1"/>
    <col min="11" max="11" width="26.85546875" bestFit="1" customWidth="1"/>
    <col min="12" max="12" width="12.85546875" customWidth="1"/>
    <col min="14" max="14" width="28.140625" bestFit="1" customWidth="1"/>
    <col min="15" max="15" width="25.28515625" style="116" bestFit="1" customWidth="1"/>
    <col min="19" max="19" width="26.85546875" bestFit="1" customWidth="1"/>
    <col min="20" max="20" width="25.85546875" style="127" bestFit="1" customWidth="1"/>
  </cols>
  <sheetData>
    <row r="1" spans="1:21">
      <c r="A1" s="145" t="s">
        <v>126</v>
      </c>
      <c r="B1" s="145" t="s">
        <v>127</v>
      </c>
      <c r="C1" s="153" t="s">
        <v>128</v>
      </c>
      <c r="D1" s="145" t="s">
        <v>129</v>
      </c>
      <c r="E1" s="129"/>
      <c r="G1" s="106" t="s">
        <v>130</v>
      </c>
      <c r="H1" s="98" t="s">
        <v>87</v>
      </c>
      <c r="I1" s="98" t="s">
        <v>64</v>
      </c>
      <c r="J1" s="98" t="s">
        <v>91</v>
      </c>
      <c r="L1" s="103"/>
      <c r="M1" s="104" t="s">
        <v>126</v>
      </c>
      <c r="N1" s="104" t="s">
        <v>132</v>
      </c>
      <c r="O1" s="146" t="s">
        <v>128</v>
      </c>
      <c r="P1" s="104" t="s">
        <v>129</v>
      </c>
      <c r="Q1" s="103"/>
      <c r="R1" s="125" t="s">
        <v>126</v>
      </c>
      <c r="S1" s="125" t="s">
        <v>133</v>
      </c>
      <c r="T1" s="151" t="s">
        <v>128</v>
      </c>
      <c r="U1" s="125" t="s">
        <v>129</v>
      </c>
    </row>
    <row r="2" spans="1:21">
      <c r="A2" s="138" t="s">
        <v>11</v>
      </c>
      <c r="B2" s="138" t="s">
        <v>87</v>
      </c>
      <c r="C2" s="147" t="s">
        <v>93</v>
      </c>
      <c r="D2" s="165">
        <v>21</v>
      </c>
      <c r="E2" s="181"/>
      <c r="G2" s="106" t="s">
        <v>212</v>
      </c>
      <c r="H2">
        <v>7</v>
      </c>
      <c r="I2">
        <v>1</v>
      </c>
      <c r="J2">
        <v>0</v>
      </c>
      <c r="M2" s="105" t="s">
        <v>32</v>
      </c>
      <c r="N2" s="105" t="s">
        <v>64</v>
      </c>
      <c r="O2" s="133" t="s">
        <v>125</v>
      </c>
      <c r="P2" s="134">
        <v>26</v>
      </c>
      <c r="R2" s="126" t="s">
        <v>38</v>
      </c>
      <c r="S2" s="126" t="s">
        <v>91</v>
      </c>
      <c r="T2" s="168" t="s">
        <v>88</v>
      </c>
      <c r="U2" s="149">
        <v>41</v>
      </c>
    </row>
    <row r="3" spans="1:21">
      <c r="A3" s="138" t="s">
        <v>11</v>
      </c>
      <c r="B3" s="138" t="s">
        <v>87</v>
      </c>
      <c r="C3" s="147" t="s">
        <v>86</v>
      </c>
      <c r="D3" s="165">
        <v>21</v>
      </c>
      <c r="E3" s="171"/>
      <c r="G3" s="106" t="s">
        <v>213</v>
      </c>
      <c r="H3">
        <v>19</v>
      </c>
      <c r="I3">
        <v>13</v>
      </c>
      <c r="J3">
        <v>8</v>
      </c>
      <c r="M3" s="105" t="s">
        <v>32</v>
      </c>
      <c r="N3" s="105" t="s">
        <v>64</v>
      </c>
      <c r="O3" s="133" t="s">
        <v>88</v>
      </c>
      <c r="P3" s="134">
        <v>22</v>
      </c>
      <c r="R3" s="126" t="s">
        <v>38</v>
      </c>
      <c r="S3" s="126" t="s">
        <v>91</v>
      </c>
      <c r="T3" s="169" t="s">
        <v>135</v>
      </c>
      <c r="U3" s="149">
        <v>27.2</v>
      </c>
    </row>
    <row r="4" spans="1:21">
      <c r="A4" s="138" t="s">
        <v>11</v>
      </c>
      <c r="B4" s="138" t="s">
        <v>87</v>
      </c>
      <c r="C4" s="147" t="s">
        <v>86</v>
      </c>
      <c r="D4" s="165">
        <v>22</v>
      </c>
      <c r="E4" s="171"/>
      <c r="G4" s="106" t="s">
        <v>214</v>
      </c>
      <c r="H4">
        <v>9</v>
      </c>
      <c r="I4">
        <v>9</v>
      </c>
      <c r="J4">
        <v>5</v>
      </c>
      <c r="M4" s="105" t="s">
        <v>32</v>
      </c>
      <c r="N4" s="105" t="s">
        <v>64</v>
      </c>
      <c r="O4" s="133" t="s">
        <v>88</v>
      </c>
      <c r="P4" s="134">
        <v>31.2</v>
      </c>
      <c r="R4" s="126" t="s">
        <v>38</v>
      </c>
      <c r="S4" s="126" t="s">
        <v>91</v>
      </c>
      <c r="T4" s="169" t="s">
        <v>137</v>
      </c>
      <c r="U4" s="149">
        <v>33.299999999999997</v>
      </c>
    </row>
    <row r="5" spans="1:21">
      <c r="A5" s="138" t="s">
        <v>11</v>
      </c>
      <c r="B5" s="138" t="s">
        <v>87</v>
      </c>
      <c r="C5" s="147" t="s">
        <v>95</v>
      </c>
      <c r="D5" s="165">
        <v>23</v>
      </c>
      <c r="E5" s="171"/>
      <c r="G5" s="98" t="s">
        <v>215</v>
      </c>
      <c r="H5" s="106">
        <v>73</v>
      </c>
      <c r="I5" s="106">
        <v>58</v>
      </c>
      <c r="J5" s="106">
        <v>55</v>
      </c>
      <c r="M5" s="105" t="s">
        <v>32</v>
      </c>
      <c r="N5" s="105" t="s">
        <v>64</v>
      </c>
      <c r="O5" s="133" t="s">
        <v>88</v>
      </c>
      <c r="P5" s="134">
        <v>42</v>
      </c>
      <c r="R5" s="126" t="s">
        <v>38</v>
      </c>
      <c r="S5" s="126" t="s">
        <v>91</v>
      </c>
      <c r="T5" s="169" t="s">
        <v>139</v>
      </c>
      <c r="U5" s="149">
        <v>20.5</v>
      </c>
    </row>
    <row r="6" spans="1:21">
      <c r="A6" s="138" t="s">
        <v>11</v>
      </c>
      <c r="B6" s="138" t="s">
        <v>87</v>
      </c>
      <c r="C6" s="147" t="s">
        <v>94</v>
      </c>
      <c r="D6" s="165">
        <v>24</v>
      </c>
      <c r="E6" s="171"/>
      <c r="G6" s="98" t="s">
        <v>134</v>
      </c>
      <c r="H6" s="106">
        <v>61</v>
      </c>
      <c r="I6" s="106">
        <v>34</v>
      </c>
      <c r="J6" s="106">
        <v>31</v>
      </c>
      <c r="M6" s="105" t="s">
        <v>32</v>
      </c>
      <c r="N6" s="105" t="s">
        <v>64</v>
      </c>
      <c r="O6" s="133" t="s">
        <v>88</v>
      </c>
      <c r="P6" s="134">
        <v>33.5</v>
      </c>
      <c r="R6" s="126" t="s">
        <v>38</v>
      </c>
      <c r="S6" s="126" t="s">
        <v>91</v>
      </c>
      <c r="T6" s="169" t="s">
        <v>141</v>
      </c>
      <c r="U6" s="149">
        <v>31.8</v>
      </c>
    </row>
    <row r="7" spans="1:21">
      <c r="A7" s="138" t="s">
        <v>11</v>
      </c>
      <c r="B7" s="138" t="s">
        <v>87</v>
      </c>
      <c r="C7" s="147" t="s">
        <v>101</v>
      </c>
      <c r="D7" s="165">
        <v>24</v>
      </c>
      <c r="E7" s="171"/>
      <c r="G7" s="98" t="s">
        <v>136</v>
      </c>
      <c r="H7" s="106">
        <v>61</v>
      </c>
      <c r="I7" s="106">
        <v>6</v>
      </c>
      <c r="J7" s="106">
        <v>32</v>
      </c>
      <c r="M7" s="105" t="s">
        <v>32</v>
      </c>
      <c r="N7" s="105" t="s">
        <v>64</v>
      </c>
      <c r="O7" s="133" t="s">
        <v>88</v>
      </c>
      <c r="P7" s="134">
        <v>24</v>
      </c>
      <c r="R7" s="126" t="s">
        <v>38</v>
      </c>
      <c r="S7" s="126" t="s">
        <v>91</v>
      </c>
      <c r="T7" s="169" t="s">
        <v>143</v>
      </c>
      <c r="U7" s="149">
        <v>25.8</v>
      </c>
    </row>
    <row r="8" spans="1:21">
      <c r="A8" s="138" t="s">
        <v>11</v>
      </c>
      <c r="B8" s="138" t="s">
        <v>87</v>
      </c>
      <c r="C8" s="147" t="s">
        <v>95</v>
      </c>
      <c r="D8" s="165">
        <v>26</v>
      </c>
      <c r="E8" s="171"/>
      <c r="G8" s="98" t="s">
        <v>138</v>
      </c>
      <c r="H8" s="106">
        <v>50</v>
      </c>
      <c r="I8" s="106">
        <v>0</v>
      </c>
      <c r="J8" s="106">
        <v>18</v>
      </c>
      <c r="M8" s="105" t="s">
        <v>32</v>
      </c>
      <c r="N8" s="105" t="s">
        <v>64</v>
      </c>
      <c r="O8" s="133" t="s">
        <v>88</v>
      </c>
      <c r="P8" s="134">
        <v>27.5</v>
      </c>
      <c r="R8" s="126" t="s">
        <v>38</v>
      </c>
      <c r="S8" s="126" t="s">
        <v>91</v>
      </c>
      <c r="T8" s="169" t="s">
        <v>145</v>
      </c>
      <c r="U8" s="149">
        <v>25</v>
      </c>
    </row>
    <row r="9" spans="1:21">
      <c r="A9" s="138" t="s">
        <v>11</v>
      </c>
      <c r="B9" s="138" t="s">
        <v>87</v>
      </c>
      <c r="C9" s="147" t="s">
        <v>92</v>
      </c>
      <c r="D9" s="165">
        <v>27</v>
      </c>
      <c r="E9" s="171"/>
      <c r="G9" s="98" t="s">
        <v>140</v>
      </c>
      <c r="H9" s="106">
        <v>21</v>
      </c>
      <c r="I9" s="106">
        <v>0</v>
      </c>
      <c r="J9" s="106">
        <v>6</v>
      </c>
      <c r="M9" s="105" t="s">
        <v>32</v>
      </c>
      <c r="N9" s="105" t="s">
        <v>64</v>
      </c>
      <c r="O9" s="133" t="s">
        <v>88</v>
      </c>
      <c r="P9" s="134">
        <v>29</v>
      </c>
      <c r="R9" s="126" t="s">
        <v>38</v>
      </c>
      <c r="S9" s="126" t="s">
        <v>91</v>
      </c>
      <c r="T9" s="169" t="s">
        <v>141</v>
      </c>
      <c r="U9" s="149">
        <v>46.8</v>
      </c>
    </row>
    <row r="10" spans="1:21">
      <c r="A10" s="138" t="s">
        <v>11</v>
      </c>
      <c r="B10" s="138" t="s">
        <v>87</v>
      </c>
      <c r="C10" s="147" t="s">
        <v>92</v>
      </c>
      <c r="D10" s="165">
        <v>28</v>
      </c>
      <c r="E10" s="171"/>
      <c r="G10" s="98" t="s">
        <v>142</v>
      </c>
      <c r="H10" s="106">
        <v>10</v>
      </c>
      <c r="I10" s="106">
        <v>0</v>
      </c>
      <c r="J10" s="106">
        <v>2</v>
      </c>
      <c r="M10" s="105" t="s">
        <v>32</v>
      </c>
      <c r="N10" s="105" t="s">
        <v>64</v>
      </c>
      <c r="O10" s="133" t="s">
        <v>88</v>
      </c>
      <c r="P10" s="134">
        <v>30.1</v>
      </c>
      <c r="R10" s="126" t="s">
        <v>38</v>
      </c>
      <c r="S10" s="126" t="s">
        <v>91</v>
      </c>
      <c r="T10" s="169" t="s">
        <v>148</v>
      </c>
      <c r="U10" s="149">
        <v>25.8</v>
      </c>
    </row>
    <row r="11" spans="1:21">
      <c r="A11" s="138" t="s">
        <v>11</v>
      </c>
      <c r="B11" s="138" t="s">
        <v>87</v>
      </c>
      <c r="C11" s="147" t="s">
        <v>98</v>
      </c>
      <c r="D11" s="165">
        <v>28</v>
      </c>
      <c r="E11" s="171"/>
      <c r="G11" s="98" t="s">
        <v>144</v>
      </c>
      <c r="H11" s="106">
        <v>6</v>
      </c>
      <c r="I11" s="106">
        <v>0</v>
      </c>
      <c r="J11" s="106">
        <v>2</v>
      </c>
      <c r="M11" s="105" t="s">
        <v>32</v>
      </c>
      <c r="N11" s="105" t="s">
        <v>64</v>
      </c>
      <c r="O11" s="133" t="s">
        <v>88</v>
      </c>
      <c r="P11" s="134">
        <v>23.5</v>
      </c>
      <c r="R11" s="126" t="s">
        <v>38</v>
      </c>
      <c r="S11" s="126" t="s">
        <v>91</v>
      </c>
      <c r="T11" s="169" t="s">
        <v>150</v>
      </c>
      <c r="U11" s="149">
        <v>46.8</v>
      </c>
    </row>
    <row r="12" spans="1:21">
      <c r="A12" s="138" t="s">
        <v>11</v>
      </c>
      <c r="B12" s="138" t="s">
        <v>87</v>
      </c>
      <c r="C12" s="147" t="s">
        <v>92</v>
      </c>
      <c r="D12" s="165">
        <v>31</v>
      </c>
      <c r="E12" s="171"/>
      <c r="G12" s="98" t="s">
        <v>146</v>
      </c>
      <c r="H12" s="106">
        <v>0</v>
      </c>
      <c r="I12" s="106">
        <v>0</v>
      </c>
      <c r="J12" s="106">
        <v>0</v>
      </c>
      <c r="M12" s="105" t="s">
        <v>32</v>
      </c>
      <c r="N12" s="105" t="s">
        <v>64</v>
      </c>
      <c r="O12" s="133" t="s">
        <v>88</v>
      </c>
      <c r="P12" s="134">
        <v>26.6</v>
      </c>
      <c r="R12" s="126" t="s">
        <v>38</v>
      </c>
      <c r="S12" s="126" t="s">
        <v>91</v>
      </c>
      <c r="T12" s="169" t="s">
        <v>141</v>
      </c>
      <c r="U12" s="149">
        <v>65.3</v>
      </c>
    </row>
    <row r="13" spans="1:21">
      <c r="A13" s="138" t="s">
        <v>11</v>
      </c>
      <c r="B13" s="138" t="s">
        <v>87</v>
      </c>
      <c r="C13" s="147" t="s">
        <v>92</v>
      </c>
      <c r="D13" s="165">
        <v>37</v>
      </c>
      <c r="E13" s="171"/>
      <c r="G13" s="98" t="s">
        <v>147</v>
      </c>
      <c r="H13" s="106">
        <v>0</v>
      </c>
      <c r="I13" s="106">
        <v>0</v>
      </c>
      <c r="J13" s="106">
        <v>0</v>
      </c>
      <c r="M13" s="105" t="s">
        <v>32</v>
      </c>
      <c r="N13" s="105" t="s">
        <v>64</v>
      </c>
      <c r="O13" s="133" t="s">
        <v>88</v>
      </c>
      <c r="P13" s="134">
        <v>20.100000000000001</v>
      </c>
      <c r="R13" s="126" t="s">
        <v>38</v>
      </c>
      <c r="S13" s="126" t="s">
        <v>91</v>
      </c>
      <c r="T13" s="169" t="s">
        <v>148</v>
      </c>
      <c r="U13" s="149">
        <v>30.8</v>
      </c>
    </row>
    <row r="14" spans="1:21">
      <c r="A14" s="138" t="s">
        <v>11</v>
      </c>
      <c r="B14" s="138" t="s">
        <v>87</v>
      </c>
      <c r="C14" s="147" t="s">
        <v>98</v>
      </c>
      <c r="D14" s="165">
        <v>39</v>
      </c>
      <c r="E14" s="171"/>
      <c r="G14" s="98" t="s">
        <v>149</v>
      </c>
      <c r="H14" s="106">
        <v>0</v>
      </c>
      <c r="I14" s="106">
        <v>0</v>
      </c>
      <c r="J14" s="106">
        <v>0</v>
      </c>
      <c r="M14" s="105" t="s">
        <v>32</v>
      </c>
      <c r="N14" s="105" t="s">
        <v>64</v>
      </c>
      <c r="O14" s="133" t="s">
        <v>88</v>
      </c>
      <c r="P14" s="134">
        <v>33.700000000000003</v>
      </c>
      <c r="R14" s="126" t="s">
        <v>38</v>
      </c>
      <c r="S14" s="126" t="s">
        <v>91</v>
      </c>
      <c r="T14" s="169" t="s">
        <v>141</v>
      </c>
      <c r="U14" s="149">
        <v>25</v>
      </c>
    </row>
    <row r="15" spans="1:21">
      <c r="A15" s="138" t="s">
        <v>11</v>
      </c>
      <c r="B15" s="138" t="s">
        <v>87</v>
      </c>
      <c r="C15" s="147" t="s">
        <v>98</v>
      </c>
      <c r="D15" s="165">
        <v>42</v>
      </c>
      <c r="E15" s="171"/>
      <c r="G15" s="98" t="s">
        <v>151</v>
      </c>
      <c r="H15" s="106">
        <v>0</v>
      </c>
      <c r="I15" s="106">
        <v>0</v>
      </c>
      <c r="J15" s="106">
        <v>0</v>
      </c>
      <c r="M15" s="105" t="s">
        <v>32</v>
      </c>
      <c r="N15" s="105" t="s">
        <v>64</v>
      </c>
      <c r="O15" s="133" t="s">
        <v>88</v>
      </c>
      <c r="P15" s="134">
        <v>26</v>
      </c>
      <c r="R15" s="126" t="s">
        <v>38</v>
      </c>
      <c r="S15" s="126" t="s">
        <v>91</v>
      </c>
      <c r="T15" s="168" t="s">
        <v>88</v>
      </c>
      <c r="U15" s="149">
        <v>20.8</v>
      </c>
    </row>
    <row r="16" spans="1:21">
      <c r="A16" s="138" t="s">
        <v>11</v>
      </c>
      <c r="B16" s="138" t="s">
        <v>87</v>
      </c>
      <c r="C16" s="147" t="s">
        <v>90</v>
      </c>
      <c r="D16" s="165">
        <v>46</v>
      </c>
      <c r="E16" s="171"/>
      <c r="G16" s="98" t="s">
        <v>152</v>
      </c>
      <c r="H16" s="106">
        <v>1</v>
      </c>
      <c r="I16" s="106">
        <v>0</v>
      </c>
      <c r="J16" s="106">
        <v>0</v>
      </c>
      <c r="M16" s="105" t="s">
        <v>32</v>
      </c>
      <c r="N16" s="105" t="s">
        <v>64</v>
      </c>
      <c r="O16" s="133" t="s">
        <v>88</v>
      </c>
      <c r="P16" s="134">
        <v>23.4</v>
      </c>
      <c r="R16" s="126" t="s">
        <v>38</v>
      </c>
      <c r="S16" s="126" t="s">
        <v>91</v>
      </c>
      <c r="T16" s="168" t="s">
        <v>88</v>
      </c>
      <c r="U16" s="149">
        <v>49</v>
      </c>
    </row>
    <row r="17" spans="1:21">
      <c r="A17" s="138" t="s">
        <v>11</v>
      </c>
      <c r="B17" s="138" t="s">
        <v>87</v>
      </c>
      <c r="C17" s="147" t="s">
        <v>93</v>
      </c>
      <c r="D17" s="165">
        <v>47</v>
      </c>
      <c r="E17" s="171"/>
      <c r="G17" s="80"/>
      <c r="M17" s="105" t="s">
        <v>32</v>
      </c>
      <c r="N17" s="105" t="s">
        <v>64</v>
      </c>
      <c r="O17" s="133" t="s">
        <v>88</v>
      </c>
      <c r="P17" s="134">
        <v>23.8</v>
      </c>
      <c r="R17" s="126" t="s">
        <v>38</v>
      </c>
      <c r="S17" s="126" t="s">
        <v>91</v>
      </c>
      <c r="T17" s="169" t="s">
        <v>141</v>
      </c>
      <c r="U17" s="149">
        <v>53</v>
      </c>
    </row>
    <row r="18" spans="1:21">
      <c r="A18" s="138" t="s">
        <v>11</v>
      </c>
      <c r="B18" s="138" t="s">
        <v>87</v>
      </c>
      <c r="C18" s="147" t="s">
        <v>88</v>
      </c>
      <c r="D18" s="165">
        <v>54</v>
      </c>
      <c r="E18" s="171"/>
      <c r="G18" s="80"/>
      <c r="M18" s="105" t="s">
        <v>32</v>
      </c>
      <c r="N18" s="105" t="s">
        <v>64</v>
      </c>
      <c r="O18" s="133" t="s">
        <v>88</v>
      </c>
      <c r="P18" s="134">
        <v>35.299999999999997</v>
      </c>
      <c r="R18" s="126" t="s">
        <v>38</v>
      </c>
      <c r="S18" s="126" t="s">
        <v>91</v>
      </c>
      <c r="T18" s="169" t="s">
        <v>137</v>
      </c>
      <c r="U18" s="149">
        <v>40.299999999999997</v>
      </c>
    </row>
    <row r="19" spans="1:21">
      <c r="A19" s="138" t="s">
        <v>11</v>
      </c>
      <c r="B19" s="138" t="s">
        <v>87</v>
      </c>
      <c r="C19" s="147" t="s">
        <v>96</v>
      </c>
      <c r="D19" s="165">
        <v>54</v>
      </c>
      <c r="E19" s="171"/>
      <c r="M19" s="105" t="s">
        <v>32</v>
      </c>
      <c r="N19" s="105" t="s">
        <v>64</v>
      </c>
      <c r="O19" s="133" t="s">
        <v>88</v>
      </c>
      <c r="P19" s="134">
        <v>26.2</v>
      </c>
      <c r="R19" s="126" t="s">
        <v>38</v>
      </c>
      <c r="S19" s="126" t="s">
        <v>91</v>
      </c>
      <c r="T19" s="169" t="s">
        <v>141</v>
      </c>
      <c r="U19" s="149">
        <v>31.5</v>
      </c>
    </row>
    <row r="20" spans="1:21">
      <c r="A20" s="138" t="s">
        <v>11</v>
      </c>
      <c r="B20" s="138" t="s">
        <v>87</v>
      </c>
      <c r="C20" s="147" t="s">
        <v>88</v>
      </c>
      <c r="D20" s="165">
        <v>54</v>
      </c>
      <c r="E20" s="171"/>
      <c r="M20" s="105" t="s">
        <v>32</v>
      </c>
      <c r="N20" s="105" t="s">
        <v>64</v>
      </c>
      <c r="O20" s="133" t="s">
        <v>88</v>
      </c>
      <c r="P20" s="134">
        <v>40</v>
      </c>
      <c r="R20" s="126" t="s">
        <v>38</v>
      </c>
      <c r="S20" s="126" t="s">
        <v>91</v>
      </c>
      <c r="T20" s="169" t="s">
        <v>141</v>
      </c>
      <c r="U20" s="149">
        <v>25.8</v>
      </c>
    </row>
    <row r="21" spans="1:21">
      <c r="A21" s="138" t="s">
        <v>11</v>
      </c>
      <c r="B21" s="138" t="s">
        <v>87</v>
      </c>
      <c r="C21" s="147" t="s">
        <v>90</v>
      </c>
      <c r="D21" s="165">
        <v>55</v>
      </c>
      <c r="E21" s="171"/>
      <c r="M21" s="105" t="s">
        <v>32</v>
      </c>
      <c r="N21" s="105" t="s">
        <v>64</v>
      </c>
      <c r="O21" s="133" t="s">
        <v>88</v>
      </c>
      <c r="P21" s="134">
        <v>22</v>
      </c>
      <c r="R21" s="126" t="s">
        <v>38</v>
      </c>
      <c r="S21" s="126" t="s">
        <v>91</v>
      </c>
      <c r="T21" s="169" t="s">
        <v>153</v>
      </c>
      <c r="U21" s="149">
        <v>25.3</v>
      </c>
    </row>
    <row r="22" spans="1:21">
      <c r="A22" s="138" t="s">
        <v>11</v>
      </c>
      <c r="B22" s="138" t="s">
        <v>87</v>
      </c>
      <c r="C22" s="147" t="s">
        <v>93</v>
      </c>
      <c r="D22" s="165">
        <v>57</v>
      </c>
      <c r="E22" s="171"/>
      <c r="M22" s="105" t="s">
        <v>32</v>
      </c>
      <c r="N22" s="105" t="s">
        <v>64</v>
      </c>
      <c r="O22" s="133" t="s">
        <v>88</v>
      </c>
      <c r="P22" s="134">
        <v>27.7</v>
      </c>
      <c r="R22" s="126" t="s">
        <v>38</v>
      </c>
      <c r="S22" s="126" t="s">
        <v>91</v>
      </c>
      <c r="T22" s="169" t="s">
        <v>150</v>
      </c>
      <c r="U22" s="149">
        <v>82.8</v>
      </c>
    </row>
    <row r="23" spans="1:21">
      <c r="A23" s="138" t="s">
        <v>11</v>
      </c>
      <c r="B23" s="138" t="s">
        <v>87</v>
      </c>
      <c r="C23" s="147" t="s">
        <v>93</v>
      </c>
      <c r="D23" s="165">
        <v>58</v>
      </c>
      <c r="E23" s="171"/>
      <c r="M23" s="105" t="s">
        <v>32</v>
      </c>
      <c r="N23" s="105" t="s">
        <v>64</v>
      </c>
      <c r="O23" s="133" t="s">
        <v>88</v>
      </c>
      <c r="P23" s="134">
        <v>33.200000000000003</v>
      </c>
      <c r="R23" s="126" t="s">
        <v>38</v>
      </c>
      <c r="S23" s="126" t="s">
        <v>91</v>
      </c>
      <c r="T23" s="169" t="s">
        <v>137</v>
      </c>
      <c r="U23" s="149">
        <v>54.5</v>
      </c>
    </row>
    <row r="24" spans="1:21">
      <c r="A24" s="138" t="s">
        <v>11</v>
      </c>
      <c r="B24" s="138" t="s">
        <v>87</v>
      </c>
      <c r="C24" s="147" t="s">
        <v>90</v>
      </c>
      <c r="D24" s="165">
        <v>59</v>
      </c>
      <c r="E24" s="171"/>
      <c r="M24" s="105" t="s">
        <v>32</v>
      </c>
      <c r="N24" s="105" t="s">
        <v>64</v>
      </c>
      <c r="O24" s="133" t="s">
        <v>88</v>
      </c>
      <c r="P24" s="134">
        <v>32</v>
      </c>
      <c r="R24" s="126" t="s">
        <v>38</v>
      </c>
      <c r="S24" s="126" t="s">
        <v>91</v>
      </c>
      <c r="T24" s="169" t="s">
        <v>154</v>
      </c>
      <c r="U24" s="149">
        <v>25</v>
      </c>
    </row>
    <row r="25" spans="1:21">
      <c r="A25" s="138" t="s">
        <v>11</v>
      </c>
      <c r="B25" s="138" t="s">
        <v>87</v>
      </c>
      <c r="C25" s="147" t="s">
        <v>88</v>
      </c>
      <c r="D25" s="165">
        <v>65</v>
      </c>
      <c r="E25" s="171"/>
      <c r="M25" s="105" t="s">
        <v>32</v>
      </c>
      <c r="N25" s="105" t="s">
        <v>64</v>
      </c>
      <c r="O25" s="133" t="s">
        <v>125</v>
      </c>
      <c r="P25" s="134">
        <v>29.4</v>
      </c>
      <c r="R25" s="126" t="s">
        <v>38</v>
      </c>
      <c r="S25" s="126" t="s">
        <v>91</v>
      </c>
      <c r="T25" s="169" t="s">
        <v>95</v>
      </c>
      <c r="U25" s="149">
        <v>58</v>
      </c>
    </row>
    <row r="26" spans="1:21">
      <c r="A26" s="138" t="s">
        <v>13</v>
      </c>
      <c r="B26" s="138" t="s">
        <v>87</v>
      </c>
      <c r="C26" s="147" t="s">
        <v>88</v>
      </c>
      <c r="D26" s="165">
        <v>20</v>
      </c>
      <c r="E26" s="171"/>
      <c r="M26" s="105" t="s">
        <v>32</v>
      </c>
      <c r="N26" s="105" t="s">
        <v>64</v>
      </c>
      <c r="O26" s="133" t="s">
        <v>88</v>
      </c>
      <c r="P26" s="134">
        <v>26.2</v>
      </c>
      <c r="R26" s="126" t="s">
        <v>39</v>
      </c>
      <c r="S26" s="126" t="s">
        <v>91</v>
      </c>
      <c r="T26" s="169" t="s">
        <v>90</v>
      </c>
      <c r="U26" s="149">
        <v>20</v>
      </c>
    </row>
    <row r="27" spans="1:21">
      <c r="A27" s="138" t="s">
        <v>13</v>
      </c>
      <c r="B27" s="138" t="s">
        <v>87</v>
      </c>
      <c r="C27" s="147" t="s">
        <v>88</v>
      </c>
      <c r="D27" s="165">
        <v>21</v>
      </c>
      <c r="E27" s="171"/>
      <c r="M27" s="105" t="s">
        <v>32</v>
      </c>
      <c r="N27" s="105" t="s">
        <v>64</v>
      </c>
      <c r="O27" s="133" t="s">
        <v>88</v>
      </c>
      <c r="P27" s="134">
        <v>22</v>
      </c>
      <c r="R27" s="126" t="s">
        <v>39</v>
      </c>
      <c r="S27" s="126" t="s">
        <v>91</v>
      </c>
      <c r="T27" s="170" t="s">
        <v>155</v>
      </c>
      <c r="U27" s="149">
        <v>24.2</v>
      </c>
    </row>
    <row r="28" spans="1:21">
      <c r="A28" s="138" t="s">
        <v>13</v>
      </c>
      <c r="B28" s="138" t="s">
        <v>87</v>
      </c>
      <c r="C28" s="147" t="s">
        <v>94</v>
      </c>
      <c r="D28" s="165">
        <v>22</v>
      </c>
      <c r="E28" s="171"/>
      <c r="M28" s="105" t="s">
        <v>32</v>
      </c>
      <c r="N28" s="105" t="s">
        <v>64</v>
      </c>
      <c r="O28" s="133" t="s">
        <v>88</v>
      </c>
      <c r="P28" s="134">
        <v>24.4</v>
      </c>
      <c r="R28" s="126" t="s">
        <v>39</v>
      </c>
      <c r="S28" s="126" t="s">
        <v>91</v>
      </c>
      <c r="T28" s="170" t="s">
        <v>155</v>
      </c>
      <c r="U28" s="149">
        <v>22.3</v>
      </c>
    </row>
    <row r="29" spans="1:21">
      <c r="A29" s="138" t="s">
        <v>13</v>
      </c>
      <c r="B29" s="138" t="s">
        <v>87</v>
      </c>
      <c r="C29" s="147" t="s">
        <v>88</v>
      </c>
      <c r="D29" s="165">
        <v>23</v>
      </c>
      <c r="E29" s="171"/>
      <c r="M29" s="105" t="s">
        <v>32</v>
      </c>
      <c r="N29" s="105" t="s">
        <v>64</v>
      </c>
      <c r="O29" s="133" t="s">
        <v>88</v>
      </c>
      <c r="P29" s="134">
        <v>26.5</v>
      </c>
      <c r="R29" s="126" t="s">
        <v>39</v>
      </c>
      <c r="S29" s="126" t="s">
        <v>91</v>
      </c>
      <c r="T29" s="168" t="s">
        <v>88</v>
      </c>
      <c r="U29" s="149">
        <v>27</v>
      </c>
    </row>
    <row r="30" spans="1:21">
      <c r="A30" s="138" t="s">
        <v>13</v>
      </c>
      <c r="B30" s="138" t="s">
        <v>87</v>
      </c>
      <c r="C30" s="147" t="s">
        <v>156</v>
      </c>
      <c r="D30" s="165">
        <v>29.5</v>
      </c>
      <c r="E30" s="171"/>
      <c r="M30" s="105" t="s">
        <v>33</v>
      </c>
      <c r="N30" s="105" t="s">
        <v>64</v>
      </c>
      <c r="O30" s="140" t="s">
        <v>88</v>
      </c>
      <c r="P30" s="149">
        <v>30.6</v>
      </c>
      <c r="R30" s="126" t="s">
        <v>39</v>
      </c>
      <c r="S30" s="126" t="s">
        <v>91</v>
      </c>
      <c r="T30" s="170" t="s">
        <v>157</v>
      </c>
      <c r="U30" s="149">
        <v>31</v>
      </c>
    </row>
    <row r="31" spans="1:21">
      <c r="A31" s="138" t="s">
        <v>13</v>
      </c>
      <c r="B31" s="138" t="s">
        <v>87</v>
      </c>
      <c r="C31" s="147" t="s">
        <v>158</v>
      </c>
      <c r="D31" s="165">
        <v>30.5</v>
      </c>
      <c r="E31" s="171"/>
      <c r="M31" s="105" t="s">
        <v>33</v>
      </c>
      <c r="N31" s="105" t="s">
        <v>64</v>
      </c>
      <c r="O31" s="140" t="s">
        <v>88</v>
      </c>
      <c r="P31" s="149">
        <v>25.1</v>
      </c>
      <c r="R31" s="126" t="s">
        <v>39</v>
      </c>
      <c r="S31" s="126" t="s">
        <v>91</v>
      </c>
      <c r="T31" s="169" t="s">
        <v>159</v>
      </c>
      <c r="U31" s="149">
        <v>29.5</v>
      </c>
    </row>
    <row r="32" spans="1:21">
      <c r="A32" s="138" t="s">
        <v>13</v>
      </c>
      <c r="B32" s="138" t="s">
        <v>87</v>
      </c>
      <c r="C32" s="147" t="s">
        <v>160</v>
      </c>
      <c r="D32" s="165">
        <v>31</v>
      </c>
      <c r="E32" s="171"/>
      <c r="M32" s="105" t="s">
        <v>33</v>
      </c>
      <c r="N32" s="105" t="s">
        <v>64</v>
      </c>
      <c r="O32" s="140" t="s">
        <v>88</v>
      </c>
      <c r="P32" s="149">
        <v>21.9</v>
      </c>
      <c r="R32" s="126" t="s">
        <v>39</v>
      </c>
      <c r="S32" s="126" t="s">
        <v>91</v>
      </c>
      <c r="T32" s="169" t="s">
        <v>90</v>
      </c>
      <c r="U32" s="149">
        <v>45</v>
      </c>
    </row>
    <row r="33" spans="1:21">
      <c r="A33" s="138" t="s">
        <v>13</v>
      </c>
      <c r="B33" s="138" t="s">
        <v>87</v>
      </c>
      <c r="C33" s="147" t="s">
        <v>96</v>
      </c>
      <c r="D33" s="165">
        <v>31.5</v>
      </c>
      <c r="E33" s="171"/>
      <c r="M33" s="105" t="s">
        <v>33</v>
      </c>
      <c r="N33" s="105" t="s">
        <v>64</v>
      </c>
      <c r="O33" s="140" t="s">
        <v>88</v>
      </c>
      <c r="P33" s="149">
        <v>20.2</v>
      </c>
      <c r="R33" s="126" t="s">
        <v>39</v>
      </c>
      <c r="S33" s="126" t="s">
        <v>91</v>
      </c>
      <c r="T33" s="169" t="s">
        <v>90</v>
      </c>
      <c r="U33" s="149">
        <v>48</v>
      </c>
    </row>
    <row r="34" spans="1:21">
      <c r="A34" s="138" t="s">
        <v>13</v>
      </c>
      <c r="B34" s="138" t="s">
        <v>87</v>
      </c>
      <c r="C34" s="147" t="s">
        <v>98</v>
      </c>
      <c r="D34" s="165">
        <v>32.5</v>
      </c>
      <c r="E34" s="171"/>
      <c r="M34" s="105" t="s">
        <v>33</v>
      </c>
      <c r="N34" s="105" t="s">
        <v>64</v>
      </c>
      <c r="O34" s="140" t="s">
        <v>125</v>
      </c>
      <c r="P34" s="149">
        <v>30.6</v>
      </c>
      <c r="R34" s="126" t="s">
        <v>39</v>
      </c>
      <c r="S34" s="126" t="s">
        <v>91</v>
      </c>
      <c r="T34" s="169" t="s">
        <v>159</v>
      </c>
      <c r="U34" s="149">
        <v>20</v>
      </c>
    </row>
    <row r="35" spans="1:21">
      <c r="A35" s="138" t="s">
        <v>13</v>
      </c>
      <c r="B35" s="138" t="s">
        <v>87</v>
      </c>
      <c r="C35" s="147" t="s">
        <v>137</v>
      </c>
      <c r="D35" s="165">
        <v>33</v>
      </c>
      <c r="E35" s="171"/>
      <c r="M35" s="105" t="s">
        <v>33</v>
      </c>
      <c r="N35" s="105" t="s">
        <v>64</v>
      </c>
      <c r="O35" s="140" t="s">
        <v>88</v>
      </c>
      <c r="P35" s="149">
        <v>26.2</v>
      </c>
      <c r="R35" s="126" t="s">
        <v>39</v>
      </c>
      <c r="S35" s="126" t="s">
        <v>91</v>
      </c>
      <c r="T35" s="170" t="s">
        <v>155</v>
      </c>
      <c r="U35" s="149">
        <v>33</v>
      </c>
    </row>
    <row r="36" spans="1:21">
      <c r="A36" s="138" t="s">
        <v>13</v>
      </c>
      <c r="B36" s="138" t="s">
        <v>87</v>
      </c>
      <c r="C36" s="147" t="s">
        <v>88</v>
      </c>
      <c r="D36" s="165">
        <v>34</v>
      </c>
      <c r="E36" s="171"/>
      <c r="M36" s="105" t="s">
        <v>33</v>
      </c>
      <c r="N36" s="105" t="s">
        <v>64</v>
      </c>
      <c r="O36" s="140" t="s">
        <v>88</v>
      </c>
      <c r="P36" s="149">
        <v>34</v>
      </c>
      <c r="R36" s="126" t="s">
        <v>39</v>
      </c>
      <c r="S36" s="126" t="s">
        <v>91</v>
      </c>
      <c r="T36" s="169" t="s">
        <v>90</v>
      </c>
      <c r="U36" s="149">
        <v>34</v>
      </c>
    </row>
    <row r="37" spans="1:21">
      <c r="A37" s="138" t="s">
        <v>13</v>
      </c>
      <c r="B37" s="138" t="s">
        <v>87</v>
      </c>
      <c r="C37" s="147" t="s">
        <v>161</v>
      </c>
      <c r="D37" s="165">
        <v>35</v>
      </c>
      <c r="E37" s="171"/>
      <c r="M37" s="105" t="s">
        <v>33</v>
      </c>
      <c r="N37" s="105" t="s">
        <v>64</v>
      </c>
      <c r="O37" s="140" t="s">
        <v>88</v>
      </c>
      <c r="P37" s="149">
        <v>28</v>
      </c>
      <c r="R37" s="126" t="s">
        <v>39</v>
      </c>
      <c r="S37" s="126" t="s">
        <v>91</v>
      </c>
      <c r="T37" s="169" t="s">
        <v>162</v>
      </c>
      <c r="U37" s="149">
        <v>46.8</v>
      </c>
    </row>
    <row r="38" spans="1:21">
      <c r="A38" s="138" t="s">
        <v>13</v>
      </c>
      <c r="B38" s="138" t="s">
        <v>87</v>
      </c>
      <c r="C38" s="147" t="s">
        <v>158</v>
      </c>
      <c r="D38" s="165">
        <v>37</v>
      </c>
      <c r="E38" s="171"/>
      <c r="M38" s="105" t="s">
        <v>33</v>
      </c>
      <c r="N38" s="105" t="s">
        <v>64</v>
      </c>
      <c r="O38" s="140" t="s">
        <v>88</v>
      </c>
      <c r="P38" s="149">
        <v>30.5</v>
      </c>
      <c r="R38" s="126" t="s">
        <v>39</v>
      </c>
      <c r="S38" s="126" t="s">
        <v>91</v>
      </c>
      <c r="T38" s="169" t="s">
        <v>124</v>
      </c>
      <c r="U38" s="149">
        <v>40</v>
      </c>
    </row>
    <row r="39" spans="1:21">
      <c r="A39" s="138" t="s">
        <v>13</v>
      </c>
      <c r="B39" s="138" t="s">
        <v>87</v>
      </c>
      <c r="C39" s="147" t="s">
        <v>98</v>
      </c>
      <c r="D39" s="165">
        <v>37.5</v>
      </c>
      <c r="E39" s="171"/>
      <c r="M39" s="105" t="s">
        <v>33</v>
      </c>
      <c r="N39" s="105" t="s">
        <v>64</v>
      </c>
      <c r="O39" s="140" t="s">
        <v>125</v>
      </c>
      <c r="P39" s="149">
        <v>23.5</v>
      </c>
      <c r="R39" s="126" t="s">
        <v>39</v>
      </c>
      <c r="S39" s="126" t="s">
        <v>91</v>
      </c>
      <c r="T39" s="169" t="s">
        <v>90</v>
      </c>
      <c r="U39" s="149">
        <v>49</v>
      </c>
    </row>
    <row r="40" spans="1:21">
      <c r="A40" s="138" t="s">
        <v>13</v>
      </c>
      <c r="B40" s="138" t="s">
        <v>87</v>
      </c>
      <c r="C40" s="147" t="s">
        <v>163</v>
      </c>
      <c r="D40" s="165">
        <v>40.5</v>
      </c>
      <c r="E40" s="171"/>
      <c r="M40" s="105" t="s">
        <v>33</v>
      </c>
      <c r="N40" s="105" t="s">
        <v>64</v>
      </c>
      <c r="O40" s="140" t="s">
        <v>88</v>
      </c>
      <c r="P40" s="149">
        <v>24</v>
      </c>
      <c r="R40" s="126" t="s">
        <v>39</v>
      </c>
      <c r="S40" s="126" t="s">
        <v>91</v>
      </c>
      <c r="T40" s="169" t="s">
        <v>124</v>
      </c>
      <c r="U40" s="149">
        <v>29</v>
      </c>
    </row>
    <row r="41" spans="1:21">
      <c r="A41" s="138" t="s">
        <v>13</v>
      </c>
      <c r="B41" s="138" t="s">
        <v>87</v>
      </c>
      <c r="C41" s="147" t="s">
        <v>158</v>
      </c>
      <c r="D41" s="165">
        <v>41</v>
      </c>
      <c r="E41" s="171"/>
      <c r="M41" s="105" t="s">
        <v>33</v>
      </c>
      <c r="N41" s="105" t="s">
        <v>64</v>
      </c>
      <c r="O41" s="140" t="s">
        <v>125</v>
      </c>
      <c r="P41" s="149">
        <v>34</v>
      </c>
      <c r="R41" s="126" t="s">
        <v>39</v>
      </c>
      <c r="S41" s="126" t="s">
        <v>91</v>
      </c>
      <c r="T41" s="169" t="s">
        <v>124</v>
      </c>
      <c r="U41" s="149">
        <v>28</v>
      </c>
    </row>
    <row r="42" spans="1:21">
      <c r="A42" s="138" t="s">
        <v>13</v>
      </c>
      <c r="B42" s="138" t="s">
        <v>87</v>
      </c>
      <c r="C42" s="147" t="s">
        <v>164</v>
      </c>
      <c r="D42" s="165">
        <v>42</v>
      </c>
      <c r="E42" s="171"/>
      <c r="M42" s="105" t="s">
        <v>33</v>
      </c>
      <c r="N42" s="105" t="s">
        <v>64</v>
      </c>
      <c r="O42" s="140" t="s">
        <v>88</v>
      </c>
      <c r="P42" s="149">
        <v>20.9</v>
      </c>
      <c r="R42" s="126" t="s">
        <v>39</v>
      </c>
      <c r="S42" s="126" t="s">
        <v>91</v>
      </c>
      <c r="T42" s="169" t="s">
        <v>137</v>
      </c>
      <c r="U42" s="149">
        <v>46</v>
      </c>
    </row>
    <row r="43" spans="1:21">
      <c r="A43" s="138" t="s">
        <v>13</v>
      </c>
      <c r="B43" s="138" t="s">
        <v>87</v>
      </c>
      <c r="C43" s="147" t="s">
        <v>88</v>
      </c>
      <c r="D43" s="165">
        <v>43</v>
      </c>
      <c r="E43" s="175"/>
      <c r="M43" s="105" t="s">
        <v>33</v>
      </c>
      <c r="N43" s="105" t="s">
        <v>64</v>
      </c>
      <c r="O43" s="140" t="s">
        <v>88</v>
      </c>
      <c r="P43" s="149">
        <v>21.2</v>
      </c>
      <c r="R43" s="126" t="s">
        <v>39</v>
      </c>
      <c r="S43" s="126" t="s">
        <v>91</v>
      </c>
      <c r="T43" s="170" t="s">
        <v>165</v>
      </c>
      <c r="U43" s="149">
        <v>26</v>
      </c>
    </row>
    <row r="44" spans="1:21">
      <c r="A44" s="138" t="s">
        <v>13</v>
      </c>
      <c r="B44" s="138" t="s">
        <v>87</v>
      </c>
      <c r="C44" s="147" t="s">
        <v>90</v>
      </c>
      <c r="D44" s="165">
        <v>45</v>
      </c>
      <c r="E44" s="162"/>
      <c r="M44" s="105" t="s">
        <v>33</v>
      </c>
      <c r="N44" s="105" t="s">
        <v>64</v>
      </c>
      <c r="O44" s="140" t="s">
        <v>88</v>
      </c>
      <c r="P44" s="149">
        <v>34</v>
      </c>
      <c r="R44" s="126" t="s">
        <v>39</v>
      </c>
      <c r="S44" s="126" t="s">
        <v>91</v>
      </c>
      <c r="T44" s="169" t="s">
        <v>139</v>
      </c>
      <c r="U44" s="149">
        <v>35</v>
      </c>
    </row>
    <row r="45" spans="1:21">
      <c r="A45" s="138" t="s">
        <v>13</v>
      </c>
      <c r="B45" s="138" t="s">
        <v>87</v>
      </c>
      <c r="C45" s="147" t="s">
        <v>88</v>
      </c>
      <c r="D45" s="165">
        <v>48</v>
      </c>
      <c r="E45" s="171"/>
      <c r="F45" s="131"/>
      <c r="M45" s="105" t="s">
        <v>33</v>
      </c>
      <c r="N45" s="105" t="s">
        <v>64</v>
      </c>
      <c r="O45" s="140" t="s">
        <v>88</v>
      </c>
      <c r="P45" s="149">
        <v>39.700000000000003</v>
      </c>
      <c r="R45" s="126" t="s">
        <v>39</v>
      </c>
      <c r="S45" s="126" t="s">
        <v>91</v>
      </c>
      <c r="T45" s="169" t="s">
        <v>124</v>
      </c>
      <c r="U45" s="149">
        <v>49</v>
      </c>
    </row>
    <row r="46" spans="1:21">
      <c r="A46" s="138" t="s">
        <v>13</v>
      </c>
      <c r="B46" s="138" t="s">
        <v>87</v>
      </c>
      <c r="C46" s="147" t="s">
        <v>98</v>
      </c>
      <c r="D46" s="165">
        <v>48</v>
      </c>
      <c r="E46" s="171"/>
      <c r="F46" s="131"/>
      <c r="M46" s="105" t="s">
        <v>33</v>
      </c>
      <c r="N46" s="105" t="s">
        <v>64</v>
      </c>
      <c r="O46" s="140" t="s">
        <v>125</v>
      </c>
      <c r="P46" s="149">
        <v>20.8</v>
      </c>
      <c r="R46" s="126" t="s">
        <v>39</v>
      </c>
      <c r="S46" s="126" t="s">
        <v>91</v>
      </c>
      <c r="T46" s="168" t="s">
        <v>88</v>
      </c>
      <c r="U46" s="149">
        <v>47</v>
      </c>
    </row>
    <row r="47" spans="1:21">
      <c r="A47" s="138" t="s">
        <v>13</v>
      </c>
      <c r="B47" s="138" t="s">
        <v>87</v>
      </c>
      <c r="C47" s="147" t="s">
        <v>88</v>
      </c>
      <c r="D47" s="165">
        <v>53</v>
      </c>
      <c r="E47" s="171"/>
      <c r="F47" s="131"/>
      <c r="H47" s="204"/>
      <c r="I47" s="204"/>
      <c r="J47" s="203"/>
      <c r="K47" s="173"/>
      <c r="M47" s="105" t="s">
        <v>33</v>
      </c>
      <c r="N47" s="105" t="s">
        <v>64</v>
      </c>
      <c r="O47" s="140" t="s">
        <v>88</v>
      </c>
      <c r="P47" s="149">
        <v>28.2</v>
      </c>
      <c r="R47" s="126" t="s">
        <v>39</v>
      </c>
      <c r="S47" s="126" t="s">
        <v>91</v>
      </c>
      <c r="T47" s="169" t="s">
        <v>120</v>
      </c>
      <c r="U47" s="149">
        <v>35</v>
      </c>
    </row>
    <row r="48" spans="1:21">
      <c r="A48" s="138" t="s">
        <v>13</v>
      </c>
      <c r="B48" s="138" t="s">
        <v>87</v>
      </c>
      <c r="C48" s="147" t="s">
        <v>88</v>
      </c>
      <c r="D48" s="165">
        <v>54</v>
      </c>
      <c r="E48" s="171"/>
      <c r="H48" s="205"/>
      <c r="I48" s="205"/>
      <c r="J48" s="92"/>
      <c r="M48" s="105" t="s">
        <v>33</v>
      </c>
      <c r="N48" s="105" t="s">
        <v>64</v>
      </c>
      <c r="O48" s="140" t="s">
        <v>88</v>
      </c>
      <c r="P48" s="149">
        <v>22.2</v>
      </c>
      <c r="R48" s="126" t="s">
        <v>39</v>
      </c>
      <c r="S48" s="126" t="s">
        <v>91</v>
      </c>
      <c r="T48" s="169" t="s">
        <v>90</v>
      </c>
      <c r="U48" s="149">
        <v>50</v>
      </c>
    </row>
    <row r="49" spans="1:21">
      <c r="A49" s="138" t="s">
        <v>13</v>
      </c>
      <c r="B49" s="138" t="s">
        <v>87</v>
      </c>
      <c r="C49" s="147" t="s">
        <v>88</v>
      </c>
      <c r="D49" s="165">
        <v>54.5</v>
      </c>
      <c r="E49" s="171"/>
      <c r="G49" s="205"/>
      <c r="H49" s="205"/>
      <c r="I49" s="205"/>
      <c r="J49" s="92"/>
      <c r="M49" s="105" t="s">
        <v>33</v>
      </c>
      <c r="N49" s="105" t="s">
        <v>64</v>
      </c>
      <c r="O49" s="140" t="s">
        <v>88</v>
      </c>
      <c r="P49" s="149">
        <v>24.2</v>
      </c>
      <c r="R49" s="126" t="s">
        <v>39</v>
      </c>
      <c r="S49" s="126" t="s">
        <v>91</v>
      </c>
      <c r="T49" s="168" t="s">
        <v>88</v>
      </c>
      <c r="U49" s="149">
        <v>33</v>
      </c>
    </row>
    <row r="50" spans="1:21">
      <c r="A50" s="138" t="s">
        <v>13</v>
      </c>
      <c r="B50" s="138" t="s">
        <v>87</v>
      </c>
      <c r="C50" s="147" t="s">
        <v>88</v>
      </c>
      <c r="D50" s="165">
        <v>55</v>
      </c>
      <c r="E50" s="171"/>
      <c r="G50" s="205"/>
      <c r="H50" s="205"/>
      <c r="I50" s="205"/>
      <c r="J50" s="92"/>
      <c r="M50" s="105" t="s">
        <v>33</v>
      </c>
      <c r="N50" s="105" t="s">
        <v>64</v>
      </c>
      <c r="O50" s="140" t="s">
        <v>125</v>
      </c>
      <c r="P50" s="149">
        <v>20.8</v>
      </c>
      <c r="R50" s="126" t="s">
        <v>39</v>
      </c>
      <c r="S50" s="126" t="s">
        <v>91</v>
      </c>
      <c r="T50" s="169" t="s">
        <v>124</v>
      </c>
      <c r="U50" s="149">
        <v>37</v>
      </c>
    </row>
    <row r="51" spans="1:21">
      <c r="A51" s="138" t="s">
        <v>13</v>
      </c>
      <c r="B51" s="138" t="s">
        <v>87</v>
      </c>
      <c r="C51" s="147" t="s">
        <v>88</v>
      </c>
      <c r="D51" s="165">
        <v>57</v>
      </c>
      <c r="E51" s="171"/>
      <c r="G51" s="79"/>
      <c r="H51" s="79"/>
      <c r="I51" s="79"/>
      <c r="J51" s="79"/>
      <c r="M51" s="105" t="s">
        <v>33</v>
      </c>
      <c r="N51" s="105" t="s">
        <v>64</v>
      </c>
      <c r="O51" s="140" t="s">
        <v>88</v>
      </c>
      <c r="P51" s="149">
        <v>24</v>
      </c>
      <c r="R51" s="126" t="s">
        <v>39</v>
      </c>
      <c r="S51" s="126" t="s">
        <v>91</v>
      </c>
      <c r="T51" s="169" t="s">
        <v>166</v>
      </c>
      <c r="U51" s="149">
        <v>30</v>
      </c>
    </row>
    <row r="52" spans="1:21">
      <c r="A52" s="138" t="s">
        <v>13</v>
      </c>
      <c r="B52" s="138" t="s">
        <v>87</v>
      </c>
      <c r="C52" s="147" t="s">
        <v>90</v>
      </c>
      <c r="D52" s="165">
        <v>60</v>
      </c>
      <c r="E52" s="171"/>
      <c r="G52" s="79"/>
      <c r="H52" s="79"/>
      <c r="I52" s="79"/>
      <c r="J52" s="79"/>
      <c r="M52" s="105" t="s">
        <v>33</v>
      </c>
      <c r="N52" s="105" t="s">
        <v>64</v>
      </c>
      <c r="O52" s="140" t="s">
        <v>88</v>
      </c>
      <c r="P52" s="149">
        <v>21.3</v>
      </c>
      <c r="R52" s="126" t="s">
        <v>40</v>
      </c>
      <c r="S52" s="126" t="s">
        <v>91</v>
      </c>
      <c r="T52" s="169" t="s">
        <v>124</v>
      </c>
      <c r="U52" s="149">
        <v>49.6</v>
      </c>
    </row>
    <row r="53" spans="1:21">
      <c r="A53" s="138" t="s">
        <v>13</v>
      </c>
      <c r="B53" s="138" t="s">
        <v>87</v>
      </c>
      <c r="C53" s="147" t="s">
        <v>88</v>
      </c>
      <c r="D53" s="165">
        <v>64.5</v>
      </c>
      <c r="E53" s="171"/>
      <c r="G53" s="204"/>
      <c r="H53" s="204"/>
      <c r="I53" s="204"/>
      <c r="J53" s="203"/>
      <c r="K53" s="174"/>
      <c r="M53" s="105" t="s">
        <v>34</v>
      </c>
      <c r="N53" s="105" t="s">
        <v>64</v>
      </c>
      <c r="O53" s="140" t="s">
        <v>88</v>
      </c>
      <c r="P53" s="149">
        <v>24</v>
      </c>
      <c r="R53" s="126" t="s">
        <v>40</v>
      </c>
      <c r="S53" s="126" t="s">
        <v>91</v>
      </c>
      <c r="T53" s="168" t="s">
        <v>88</v>
      </c>
      <c r="U53" s="149">
        <v>30</v>
      </c>
    </row>
    <row r="54" spans="1:21">
      <c r="A54" s="138" t="s">
        <v>13</v>
      </c>
      <c r="B54" s="138" t="s">
        <v>87</v>
      </c>
      <c r="C54" s="147" t="s">
        <v>94</v>
      </c>
      <c r="D54" s="165">
        <v>72</v>
      </c>
      <c r="E54" s="171"/>
      <c r="G54" s="205"/>
      <c r="H54" s="205"/>
      <c r="I54" s="205"/>
      <c r="J54" s="92"/>
      <c r="M54" s="105" t="s">
        <v>34</v>
      </c>
      <c r="N54" s="105" t="s">
        <v>64</v>
      </c>
      <c r="O54" s="140" t="s">
        <v>88</v>
      </c>
      <c r="P54" s="149">
        <v>20</v>
      </c>
      <c r="R54" s="126" t="s">
        <v>40</v>
      </c>
      <c r="S54" s="126" t="s">
        <v>91</v>
      </c>
      <c r="T54" s="169" t="s">
        <v>124</v>
      </c>
      <c r="U54" s="149">
        <v>41.5</v>
      </c>
    </row>
    <row r="55" spans="1:21">
      <c r="A55" s="138" t="s">
        <v>13</v>
      </c>
      <c r="B55" s="138" t="s">
        <v>87</v>
      </c>
      <c r="C55" s="147" t="s">
        <v>137</v>
      </c>
      <c r="D55" s="165">
        <v>73</v>
      </c>
      <c r="E55" s="171"/>
      <c r="G55" s="205"/>
      <c r="H55" s="205"/>
      <c r="I55" s="205"/>
      <c r="J55" s="92"/>
      <c r="M55" s="105" t="s">
        <v>34</v>
      </c>
      <c r="N55" s="105" t="s">
        <v>64</v>
      </c>
      <c r="O55" s="140" t="s">
        <v>88</v>
      </c>
      <c r="P55" s="149">
        <v>23.2</v>
      </c>
      <c r="R55" s="126" t="s">
        <v>40</v>
      </c>
      <c r="S55" s="126" t="s">
        <v>91</v>
      </c>
      <c r="T55" s="168" t="s">
        <v>88</v>
      </c>
      <c r="U55" s="149">
        <v>44</v>
      </c>
    </row>
    <row r="56" spans="1:21">
      <c r="A56" s="138" t="s">
        <v>13</v>
      </c>
      <c r="B56" s="138" t="s">
        <v>87</v>
      </c>
      <c r="C56" s="147" t="s">
        <v>143</v>
      </c>
      <c r="D56" s="165">
        <v>79</v>
      </c>
      <c r="E56" s="171"/>
      <c r="G56" s="205"/>
      <c r="H56" s="205"/>
      <c r="I56" s="205"/>
      <c r="J56" s="92"/>
      <c r="M56" s="105" t="s">
        <v>34</v>
      </c>
      <c r="N56" s="105" t="s">
        <v>64</v>
      </c>
      <c r="O56" s="140" t="s">
        <v>88</v>
      </c>
      <c r="P56" s="149">
        <v>34</v>
      </c>
      <c r="R56" s="126" t="s">
        <v>40</v>
      </c>
      <c r="S56" s="126" t="s">
        <v>91</v>
      </c>
      <c r="T56" s="169" t="s">
        <v>167</v>
      </c>
      <c r="U56" s="149">
        <v>56.5</v>
      </c>
    </row>
    <row r="57" spans="1:21">
      <c r="A57" s="138" t="s">
        <v>13</v>
      </c>
      <c r="B57" s="138" t="s">
        <v>87</v>
      </c>
      <c r="C57" s="147" t="s">
        <v>90</v>
      </c>
      <c r="D57" s="165">
        <v>88.5</v>
      </c>
      <c r="E57" s="171"/>
      <c r="M57" s="105" t="s">
        <v>34</v>
      </c>
      <c r="N57" s="105" t="s">
        <v>64</v>
      </c>
      <c r="O57" s="140" t="s">
        <v>88</v>
      </c>
      <c r="P57" s="149">
        <v>26</v>
      </c>
      <c r="R57" s="126" t="s">
        <v>40</v>
      </c>
      <c r="S57" s="126" t="s">
        <v>91</v>
      </c>
      <c r="T57" s="168" t="s">
        <v>88</v>
      </c>
      <c r="U57" s="149">
        <v>62.5</v>
      </c>
    </row>
    <row r="58" spans="1:21">
      <c r="A58" s="138" t="s">
        <v>13</v>
      </c>
      <c r="B58" s="138" t="s">
        <v>87</v>
      </c>
      <c r="C58" s="147" t="s">
        <v>161</v>
      </c>
      <c r="D58" s="165">
        <v>90</v>
      </c>
      <c r="E58" s="171"/>
      <c r="M58" s="105" t="s">
        <v>34</v>
      </c>
      <c r="N58" s="105" t="s">
        <v>64</v>
      </c>
      <c r="O58" s="140" t="s">
        <v>88</v>
      </c>
      <c r="P58" s="149">
        <v>25.3</v>
      </c>
      <c r="R58" s="126" t="s">
        <v>40</v>
      </c>
      <c r="S58" s="126" t="s">
        <v>91</v>
      </c>
      <c r="T58" s="169" t="s">
        <v>124</v>
      </c>
      <c r="U58" s="149">
        <v>51.5</v>
      </c>
    </row>
    <row r="59" spans="1:21">
      <c r="A59" s="138" t="s">
        <v>15</v>
      </c>
      <c r="B59" s="138" t="s">
        <v>87</v>
      </c>
      <c r="C59" s="154" t="s">
        <v>90</v>
      </c>
      <c r="D59" s="165">
        <v>21</v>
      </c>
      <c r="E59" s="171"/>
      <c r="M59" s="105" t="s">
        <v>34</v>
      </c>
      <c r="N59" s="105" t="s">
        <v>64</v>
      </c>
      <c r="O59" s="140" t="s">
        <v>88</v>
      </c>
      <c r="P59" s="149">
        <v>45</v>
      </c>
      <c r="R59" s="126" t="s">
        <v>40</v>
      </c>
      <c r="S59" s="126" t="s">
        <v>91</v>
      </c>
      <c r="T59" s="168" t="s">
        <v>88</v>
      </c>
      <c r="U59" s="149">
        <v>22.5</v>
      </c>
    </row>
    <row r="60" spans="1:21">
      <c r="A60" s="138" t="s">
        <v>15</v>
      </c>
      <c r="B60" s="138" t="s">
        <v>87</v>
      </c>
      <c r="C60" s="154" t="s">
        <v>93</v>
      </c>
      <c r="D60" s="165">
        <v>22</v>
      </c>
      <c r="E60" s="171"/>
      <c r="M60" s="105" t="s">
        <v>34</v>
      </c>
      <c r="N60" s="105" t="s">
        <v>64</v>
      </c>
      <c r="O60" s="140" t="s">
        <v>88</v>
      </c>
      <c r="P60" s="149">
        <v>43.1</v>
      </c>
      <c r="R60" s="126" t="s">
        <v>40</v>
      </c>
      <c r="S60" s="126" t="s">
        <v>91</v>
      </c>
      <c r="T60" s="169" t="s">
        <v>124</v>
      </c>
      <c r="U60" s="149">
        <v>49.7</v>
      </c>
    </row>
    <row r="61" spans="1:21">
      <c r="A61" s="138" t="s">
        <v>15</v>
      </c>
      <c r="B61" s="138" t="s">
        <v>87</v>
      </c>
      <c r="C61" s="154" t="s">
        <v>88</v>
      </c>
      <c r="D61" s="165">
        <v>23</v>
      </c>
      <c r="E61" s="171"/>
      <c r="M61" s="105" t="s">
        <v>34</v>
      </c>
      <c r="N61" s="105" t="s">
        <v>64</v>
      </c>
      <c r="O61" s="140" t="s">
        <v>88</v>
      </c>
      <c r="P61" s="149">
        <v>45.2</v>
      </c>
      <c r="R61" s="126" t="s">
        <v>40</v>
      </c>
      <c r="S61" s="126" t="s">
        <v>91</v>
      </c>
      <c r="T61" s="169" t="s">
        <v>124</v>
      </c>
      <c r="U61" s="149">
        <v>69</v>
      </c>
    </row>
    <row r="62" spans="1:21">
      <c r="A62" s="138" t="s">
        <v>15</v>
      </c>
      <c r="B62" s="138" t="s">
        <v>87</v>
      </c>
      <c r="C62" s="154" t="s">
        <v>90</v>
      </c>
      <c r="D62" s="165">
        <v>25</v>
      </c>
      <c r="E62" s="171"/>
      <c r="M62" s="105" t="s">
        <v>34</v>
      </c>
      <c r="N62" s="105" t="s">
        <v>64</v>
      </c>
      <c r="O62" s="140" t="s">
        <v>88</v>
      </c>
      <c r="P62" s="149">
        <v>39.4</v>
      </c>
      <c r="R62" s="126" t="s">
        <v>40</v>
      </c>
      <c r="S62" s="126" t="s">
        <v>91</v>
      </c>
      <c r="T62" s="169" t="s">
        <v>137</v>
      </c>
      <c r="U62" s="149">
        <v>48</v>
      </c>
    </row>
    <row r="63" spans="1:21">
      <c r="A63" s="138" t="s">
        <v>15</v>
      </c>
      <c r="B63" s="138" t="s">
        <v>87</v>
      </c>
      <c r="C63" s="154" t="s">
        <v>86</v>
      </c>
      <c r="D63" s="165">
        <v>30</v>
      </c>
      <c r="E63" s="171"/>
      <c r="M63" s="105" t="s">
        <v>34</v>
      </c>
      <c r="N63" s="105" t="s">
        <v>64</v>
      </c>
      <c r="O63" s="140" t="s">
        <v>88</v>
      </c>
      <c r="P63" s="149">
        <v>44.5</v>
      </c>
      <c r="R63" s="126" t="s">
        <v>40</v>
      </c>
      <c r="S63" s="126" t="s">
        <v>91</v>
      </c>
      <c r="T63" s="169" t="s">
        <v>137</v>
      </c>
      <c r="U63" s="149">
        <v>42.6</v>
      </c>
    </row>
    <row r="64" spans="1:21">
      <c r="A64" s="138" t="s">
        <v>15</v>
      </c>
      <c r="B64" s="138" t="s">
        <v>87</v>
      </c>
      <c r="C64" s="154" t="s">
        <v>90</v>
      </c>
      <c r="D64" s="165">
        <v>30</v>
      </c>
      <c r="E64" s="171"/>
      <c r="M64" s="105" t="s">
        <v>34</v>
      </c>
      <c r="N64" s="105" t="s">
        <v>64</v>
      </c>
      <c r="O64" s="140" t="s">
        <v>88</v>
      </c>
      <c r="P64" s="149">
        <v>20.2</v>
      </c>
      <c r="R64" s="126" t="s">
        <v>40</v>
      </c>
      <c r="S64" s="126" t="s">
        <v>91</v>
      </c>
      <c r="T64" s="168" t="s">
        <v>88</v>
      </c>
      <c r="U64" s="149">
        <v>39.700000000000003</v>
      </c>
    </row>
    <row r="65" spans="1:21">
      <c r="A65" s="138" t="s">
        <v>15</v>
      </c>
      <c r="B65" s="138" t="s">
        <v>87</v>
      </c>
      <c r="C65" s="154" t="s">
        <v>88</v>
      </c>
      <c r="D65" s="165">
        <v>30</v>
      </c>
      <c r="E65" s="171"/>
      <c r="M65" s="105" t="s">
        <v>34</v>
      </c>
      <c r="N65" s="105" t="s">
        <v>64</v>
      </c>
      <c r="O65" s="140" t="s">
        <v>88</v>
      </c>
      <c r="P65" s="149">
        <v>24.1</v>
      </c>
      <c r="R65" s="126" t="s">
        <v>40</v>
      </c>
      <c r="S65" s="126" t="s">
        <v>91</v>
      </c>
      <c r="T65" s="169" t="s">
        <v>166</v>
      </c>
      <c r="U65" s="149">
        <v>22.1</v>
      </c>
    </row>
    <row r="66" spans="1:21">
      <c r="A66" s="138" t="s">
        <v>15</v>
      </c>
      <c r="B66" s="138" t="s">
        <v>87</v>
      </c>
      <c r="C66" s="154" t="s">
        <v>168</v>
      </c>
      <c r="D66" s="165">
        <v>32</v>
      </c>
      <c r="E66" s="171"/>
      <c r="M66" s="105" t="s">
        <v>34</v>
      </c>
      <c r="N66" s="105" t="s">
        <v>64</v>
      </c>
      <c r="O66" s="140" t="s">
        <v>88</v>
      </c>
      <c r="P66" s="149">
        <v>29.7</v>
      </c>
      <c r="R66" s="126" t="s">
        <v>40</v>
      </c>
      <c r="S66" s="126" t="s">
        <v>91</v>
      </c>
      <c r="T66" s="168" t="s">
        <v>88</v>
      </c>
      <c r="U66" s="149">
        <v>58.7</v>
      </c>
    </row>
    <row r="67" spans="1:21">
      <c r="A67" s="138" t="s">
        <v>15</v>
      </c>
      <c r="B67" s="138" t="s">
        <v>87</v>
      </c>
      <c r="C67" s="154" t="s">
        <v>90</v>
      </c>
      <c r="D67" s="165">
        <v>33</v>
      </c>
      <c r="E67" s="171"/>
      <c r="M67" s="105" t="s">
        <v>34</v>
      </c>
      <c r="N67" s="105" t="s">
        <v>64</v>
      </c>
      <c r="O67" s="152" t="s">
        <v>169</v>
      </c>
      <c r="P67" s="149">
        <v>31.1</v>
      </c>
      <c r="R67" s="126" t="s">
        <v>40</v>
      </c>
      <c r="S67" s="126" t="s">
        <v>91</v>
      </c>
      <c r="T67" s="169" t="s">
        <v>168</v>
      </c>
      <c r="U67" s="149">
        <v>26.6</v>
      </c>
    </row>
    <row r="68" spans="1:21">
      <c r="A68" s="138" t="s">
        <v>15</v>
      </c>
      <c r="B68" s="138" t="s">
        <v>87</v>
      </c>
      <c r="C68" s="154" t="s">
        <v>86</v>
      </c>
      <c r="D68" s="165">
        <v>35</v>
      </c>
      <c r="E68" s="171"/>
      <c r="M68" s="105" t="s">
        <v>34</v>
      </c>
      <c r="N68" s="105" t="s">
        <v>64</v>
      </c>
      <c r="O68" s="140" t="s">
        <v>88</v>
      </c>
      <c r="P68" s="149">
        <v>28.3</v>
      </c>
      <c r="R68" s="126" t="s">
        <v>40</v>
      </c>
      <c r="S68" s="126" t="s">
        <v>91</v>
      </c>
      <c r="T68" s="168" t="s">
        <v>88</v>
      </c>
      <c r="U68" s="149">
        <v>54</v>
      </c>
    </row>
    <row r="69" spans="1:21">
      <c r="A69" s="138" t="s">
        <v>15</v>
      </c>
      <c r="B69" s="138" t="s">
        <v>87</v>
      </c>
      <c r="C69" s="154" t="s">
        <v>119</v>
      </c>
      <c r="D69" s="165">
        <v>36</v>
      </c>
      <c r="E69" s="171"/>
      <c r="M69" s="105" t="s">
        <v>34</v>
      </c>
      <c r="N69" s="105" t="s">
        <v>64</v>
      </c>
      <c r="O69" s="140" t="s">
        <v>88</v>
      </c>
      <c r="P69" s="149">
        <v>25.8</v>
      </c>
      <c r="R69" s="126" t="s">
        <v>40</v>
      </c>
      <c r="S69" s="126" t="s">
        <v>91</v>
      </c>
      <c r="T69" s="169" t="s">
        <v>124</v>
      </c>
      <c r="U69" s="149">
        <v>55.3</v>
      </c>
    </row>
    <row r="70" spans="1:21">
      <c r="A70" s="138" t="s">
        <v>15</v>
      </c>
      <c r="B70" s="138" t="s">
        <v>87</v>
      </c>
      <c r="C70" s="154" t="s">
        <v>96</v>
      </c>
      <c r="D70" s="165">
        <v>38</v>
      </c>
      <c r="E70" s="171"/>
      <c r="M70" s="105" t="s">
        <v>34</v>
      </c>
      <c r="N70" s="105" t="s">
        <v>64</v>
      </c>
      <c r="O70" s="140" t="s">
        <v>88</v>
      </c>
      <c r="P70" s="149">
        <v>35.299999999999997</v>
      </c>
      <c r="R70" s="126" t="s">
        <v>40</v>
      </c>
      <c r="S70" s="126" t="s">
        <v>91</v>
      </c>
      <c r="T70" s="169" t="s">
        <v>170</v>
      </c>
      <c r="U70" s="149">
        <v>22.5</v>
      </c>
    </row>
    <row r="71" spans="1:21">
      <c r="A71" s="138" t="s">
        <v>15</v>
      </c>
      <c r="B71" s="138" t="s">
        <v>87</v>
      </c>
      <c r="C71" s="150" t="s">
        <v>171</v>
      </c>
      <c r="D71" s="165">
        <v>38</v>
      </c>
      <c r="E71" s="171"/>
      <c r="M71" s="105" t="s">
        <v>35</v>
      </c>
      <c r="N71" s="105" t="s">
        <v>64</v>
      </c>
      <c r="O71" s="140" t="s">
        <v>88</v>
      </c>
      <c r="P71" s="149">
        <v>42.7</v>
      </c>
      <c r="R71" s="126" t="s">
        <v>40</v>
      </c>
      <c r="S71" s="126" t="s">
        <v>91</v>
      </c>
      <c r="T71" s="168" t="s">
        <v>88</v>
      </c>
      <c r="U71" s="149">
        <v>30.8</v>
      </c>
    </row>
    <row r="72" spans="1:21">
      <c r="A72" s="138" t="s">
        <v>15</v>
      </c>
      <c r="B72" s="138" t="s">
        <v>87</v>
      </c>
      <c r="C72" s="154" t="s">
        <v>157</v>
      </c>
      <c r="D72" s="165">
        <v>39</v>
      </c>
      <c r="E72" s="171"/>
      <c r="M72" s="105" t="s">
        <v>35</v>
      </c>
      <c r="N72" s="105" t="s">
        <v>64</v>
      </c>
      <c r="O72" s="140" t="s">
        <v>88</v>
      </c>
      <c r="P72" s="149">
        <v>32.6</v>
      </c>
      <c r="R72" s="126" t="s">
        <v>40</v>
      </c>
      <c r="S72" s="126" t="s">
        <v>91</v>
      </c>
      <c r="T72" s="168" t="s">
        <v>88</v>
      </c>
      <c r="U72" s="149">
        <v>38.4</v>
      </c>
    </row>
    <row r="73" spans="1:21">
      <c r="A73" s="138" t="s">
        <v>15</v>
      </c>
      <c r="B73" s="138" t="s">
        <v>87</v>
      </c>
      <c r="C73" s="154" t="s">
        <v>88</v>
      </c>
      <c r="D73" s="165">
        <v>39</v>
      </c>
      <c r="E73" s="171"/>
      <c r="M73" s="105" t="s">
        <v>35</v>
      </c>
      <c r="N73" s="105" t="s">
        <v>64</v>
      </c>
      <c r="O73" s="140" t="s">
        <v>88</v>
      </c>
      <c r="P73" s="149">
        <v>30.7</v>
      </c>
      <c r="R73" s="126" t="s">
        <v>40</v>
      </c>
      <c r="S73" s="126" t="s">
        <v>91</v>
      </c>
      <c r="T73" s="169" t="s">
        <v>124</v>
      </c>
      <c r="U73" s="149">
        <v>46.5</v>
      </c>
    </row>
    <row r="74" spans="1:21">
      <c r="A74" s="138" t="s">
        <v>15</v>
      </c>
      <c r="B74" s="138" t="s">
        <v>87</v>
      </c>
      <c r="C74" s="154" t="s">
        <v>172</v>
      </c>
      <c r="D74" s="165">
        <v>41</v>
      </c>
      <c r="E74" s="171"/>
      <c r="M74" s="105" t="s">
        <v>35</v>
      </c>
      <c r="N74" s="105" t="s">
        <v>64</v>
      </c>
      <c r="O74" s="140" t="s">
        <v>88</v>
      </c>
      <c r="P74" s="149">
        <v>39.799999999999997</v>
      </c>
      <c r="R74" s="126" t="s">
        <v>40</v>
      </c>
      <c r="S74" s="126" t="s">
        <v>91</v>
      </c>
      <c r="T74" s="168" t="s">
        <v>88</v>
      </c>
      <c r="U74" s="149">
        <v>33</v>
      </c>
    </row>
    <row r="75" spans="1:21">
      <c r="A75" s="138" t="s">
        <v>15</v>
      </c>
      <c r="B75" s="138" t="s">
        <v>87</v>
      </c>
      <c r="C75" s="154" t="s">
        <v>86</v>
      </c>
      <c r="D75" s="165">
        <v>42</v>
      </c>
      <c r="E75" s="171"/>
      <c r="M75" s="105" t="s">
        <v>35</v>
      </c>
      <c r="N75" s="105" t="s">
        <v>64</v>
      </c>
      <c r="O75" s="140" t="s">
        <v>88</v>
      </c>
      <c r="P75" s="149">
        <v>38.5</v>
      </c>
      <c r="R75" s="126" t="s">
        <v>40</v>
      </c>
      <c r="S75" s="126" t="s">
        <v>91</v>
      </c>
      <c r="T75" s="170" t="s">
        <v>173</v>
      </c>
      <c r="U75" s="149">
        <v>30</v>
      </c>
    </row>
    <row r="76" spans="1:21">
      <c r="A76" s="138" t="s">
        <v>15</v>
      </c>
      <c r="B76" s="138" t="s">
        <v>87</v>
      </c>
      <c r="C76" s="154" t="s">
        <v>98</v>
      </c>
      <c r="D76" s="165">
        <v>45</v>
      </c>
      <c r="E76" s="171"/>
      <c r="M76" s="105" t="s">
        <v>35</v>
      </c>
      <c r="N76" s="105" t="s">
        <v>64</v>
      </c>
      <c r="O76" s="140" t="s">
        <v>88</v>
      </c>
      <c r="P76" s="149">
        <v>27.2</v>
      </c>
      <c r="R76" s="126" t="s">
        <v>40</v>
      </c>
      <c r="S76" s="126" t="s">
        <v>91</v>
      </c>
      <c r="T76" s="168" t="s">
        <v>88</v>
      </c>
      <c r="U76" s="149">
        <v>30</v>
      </c>
    </row>
    <row r="77" spans="1:21">
      <c r="A77" s="138" t="s">
        <v>15</v>
      </c>
      <c r="B77" s="138" t="s">
        <v>87</v>
      </c>
      <c r="C77" s="154" t="s">
        <v>90</v>
      </c>
      <c r="D77" s="165">
        <v>48</v>
      </c>
      <c r="E77" s="171"/>
      <c r="M77" s="105" t="s">
        <v>35</v>
      </c>
      <c r="N77" s="105" t="s">
        <v>64</v>
      </c>
      <c r="O77" s="140" t="s">
        <v>125</v>
      </c>
      <c r="P77" s="149">
        <v>27.3</v>
      </c>
      <c r="R77" s="126" t="s">
        <v>40</v>
      </c>
      <c r="S77" s="126" t="s">
        <v>91</v>
      </c>
      <c r="T77" s="170" t="s">
        <v>174</v>
      </c>
      <c r="U77" s="149">
        <v>20</v>
      </c>
    </row>
    <row r="78" spans="1:21">
      <c r="A78" s="138" t="s">
        <v>15</v>
      </c>
      <c r="B78" s="138" t="s">
        <v>87</v>
      </c>
      <c r="C78" s="154" t="s">
        <v>88</v>
      </c>
      <c r="D78" s="165">
        <v>48</v>
      </c>
      <c r="E78" s="171"/>
      <c r="M78" s="105" t="s">
        <v>35</v>
      </c>
      <c r="N78" s="105" t="s">
        <v>64</v>
      </c>
      <c r="O78" s="140" t="s">
        <v>88</v>
      </c>
      <c r="P78" s="149">
        <v>37.200000000000003</v>
      </c>
      <c r="R78" s="126" t="s">
        <v>40</v>
      </c>
      <c r="S78" s="126" t="s">
        <v>91</v>
      </c>
      <c r="T78" s="170" t="s">
        <v>174</v>
      </c>
      <c r="U78" s="149">
        <v>51.5</v>
      </c>
    </row>
    <row r="79" spans="1:21">
      <c r="A79" s="138" t="s">
        <v>15</v>
      </c>
      <c r="B79" s="138" t="s">
        <v>87</v>
      </c>
      <c r="C79" s="154" t="s">
        <v>171</v>
      </c>
      <c r="D79" s="165">
        <v>49</v>
      </c>
      <c r="E79" s="171"/>
      <c r="M79" s="105" t="s">
        <v>35</v>
      </c>
      <c r="N79" s="105" t="s">
        <v>64</v>
      </c>
      <c r="O79" s="140" t="s">
        <v>125</v>
      </c>
      <c r="P79" s="149">
        <v>26.6</v>
      </c>
      <c r="R79" s="126" t="s">
        <v>40</v>
      </c>
      <c r="S79" s="126" t="s">
        <v>91</v>
      </c>
      <c r="T79" s="169" t="s">
        <v>175</v>
      </c>
      <c r="U79" s="149">
        <v>24</v>
      </c>
    </row>
    <row r="80" spans="1:21">
      <c r="A80" s="138" t="s">
        <v>15</v>
      </c>
      <c r="B80" s="138" t="s">
        <v>87</v>
      </c>
      <c r="C80" s="154" t="s">
        <v>94</v>
      </c>
      <c r="D80" s="165">
        <v>50</v>
      </c>
      <c r="E80" s="171"/>
      <c r="M80" s="105" t="s">
        <v>35</v>
      </c>
      <c r="N80" s="105" t="s">
        <v>64</v>
      </c>
      <c r="O80" s="140" t="s">
        <v>88</v>
      </c>
      <c r="P80" s="149">
        <v>33.9</v>
      </c>
      <c r="R80" s="126" t="s">
        <v>40</v>
      </c>
      <c r="S80" s="126" t="s">
        <v>91</v>
      </c>
      <c r="T80" s="169" t="s">
        <v>176</v>
      </c>
      <c r="U80" s="149">
        <v>23.6</v>
      </c>
    </row>
    <row r="81" spans="1:21">
      <c r="A81" s="138" t="s">
        <v>15</v>
      </c>
      <c r="B81" s="138" t="s">
        <v>87</v>
      </c>
      <c r="C81" s="154" t="s">
        <v>94</v>
      </c>
      <c r="D81" s="165">
        <v>51</v>
      </c>
      <c r="E81" s="171"/>
      <c r="M81" s="105" t="s">
        <v>35</v>
      </c>
      <c r="N81" s="105" t="s">
        <v>64</v>
      </c>
      <c r="O81" s="140" t="s">
        <v>125</v>
      </c>
      <c r="P81" s="149">
        <v>32.700000000000003</v>
      </c>
      <c r="R81" s="126" t="s">
        <v>40</v>
      </c>
      <c r="S81" s="126" t="s">
        <v>91</v>
      </c>
      <c r="T81" s="169" t="s">
        <v>120</v>
      </c>
      <c r="U81" s="149">
        <v>51.3</v>
      </c>
    </row>
    <row r="82" spans="1:21">
      <c r="A82" s="138" t="s">
        <v>15</v>
      </c>
      <c r="B82" s="138" t="s">
        <v>87</v>
      </c>
      <c r="C82" s="154" t="s">
        <v>169</v>
      </c>
      <c r="D82" s="165">
        <v>52</v>
      </c>
      <c r="E82" s="171"/>
      <c r="M82" s="105" t="s">
        <v>35</v>
      </c>
      <c r="N82" s="105" t="s">
        <v>64</v>
      </c>
      <c r="O82" s="140" t="s">
        <v>88</v>
      </c>
      <c r="P82" s="149">
        <v>38.799999999999997</v>
      </c>
      <c r="R82" s="126" t="s">
        <v>40</v>
      </c>
      <c r="S82" s="126" t="s">
        <v>91</v>
      </c>
      <c r="T82" s="169" t="s">
        <v>177</v>
      </c>
      <c r="U82" s="149">
        <v>29</v>
      </c>
    </row>
    <row r="83" spans="1:21">
      <c r="A83" s="138" t="s">
        <v>15</v>
      </c>
      <c r="B83" s="138" t="s">
        <v>87</v>
      </c>
      <c r="C83" s="154" t="s">
        <v>88</v>
      </c>
      <c r="D83" s="165">
        <v>59</v>
      </c>
      <c r="E83" s="171"/>
      <c r="M83" s="105" t="s">
        <v>35</v>
      </c>
      <c r="N83" s="105" t="s">
        <v>64</v>
      </c>
      <c r="O83" s="140" t="s">
        <v>88</v>
      </c>
      <c r="P83" s="149">
        <v>23.1</v>
      </c>
      <c r="R83" s="126" t="s">
        <v>40</v>
      </c>
      <c r="S83" s="126" t="s">
        <v>91</v>
      </c>
      <c r="T83" s="169" t="s">
        <v>154</v>
      </c>
      <c r="U83" s="149">
        <v>25</v>
      </c>
    </row>
    <row r="84" spans="1:21">
      <c r="A84" s="138" t="s">
        <v>15</v>
      </c>
      <c r="B84" s="138" t="s">
        <v>87</v>
      </c>
      <c r="C84" s="154" t="s">
        <v>90</v>
      </c>
      <c r="D84" s="165">
        <v>60</v>
      </c>
      <c r="E84" s="171"/>
      <c r="M84" s="105" t="s">
        <v>35</v>
      </c>
      <c r="N84" s="105" t="s">
        <v>64</v>
      </c>
      <c r="O84" s="152" t="s">
        <v>141</v>
      </c>
      <c r="P84" s="149">
        <v>31.3</v>
      </c>
      <c r="R84" s="126" t="s">
        <v>40</v>
      </c>
      <c r="S84" s="126" t="s">
        <v>91</v>
      </c>
      <c r="T84" s="169" t="s">
        <v>166</v>
      </c>
      <c r="U84" s="149">
        <v>21.3</v>
      </c>
    </row>
    <row r="85" spans="1:21">
      <c r="A85" s="138" t="s">
        <v>15</v>
      </c>
      <c r="B85" s="138" t="s">
        <v>87</v>
      </c>
      <c r="C85" s="154" t="s">
        <v>88</v>
      </c>
      <c r="D85" s="165">
        <v>60</v>
      </c>
      <c r="E85" s="171"/>
      <c r="M85" s="105" t="s">
        <v>35</v>
      </c>
      <c r="N85" s="105" t="s">
        <v>64</v>
      </c>
      <c r="O85" s="152" t="s">
        <v>141</v>
      </c>
      <c r="P85" s="149">
        <v>38.200000000000003</v>
      </c>
      <c r="R85" s="126" t="s">
        <v>42</v>
      </c>
      <c r="S85" s="126" t="s">
        <v>91</v>
      </c>
      <c r="T85" s="170" t="s">
        <v>178</v>
      </c>
      <c r="U85" s="149">
        <v>57.4</v>
      </c>
    </row>
    <row r="86" spans="1:21">
      <c r="A86" s="138" t="s">
        <v>15</v>
      </c>
      <c r="B86" s="138" t="s">
        <v>87</v>
      </c>
      <c r="C86" s="154" t="s">
        <v>90</v>
      </c>
      <c r="D86" s="165">
        <v>61</v>
      </c>
      <c r="E86" s="171"/>
      <c r="M86" s="105" t="s">
        <v>35</v>
      </c>
      <c r="N86" s="105" t="s">
        <v>64</v>
      </c>
      <c r="O86" s="152" t="s">
        <v>141</v>
      </c>
      <c r="P86" s="149">
        <v>20</v>
      </c>
      <c r="R86" s="126" t="s">
        <v>42</v>
      </c>
      <c r="S86" s="126" t="s">
        <v>91</v>
      </c>
      <c r="T86" s="170" t="s">
        <v>179</v>
      </c>
      <c r="U86" s="149">
        <v>85.5</v>
      </c>
    </row>
    <row r="87" spans="1:21">
      <c r="A87" s="138" t="s">
        <v>15</v>
      </c>
      <c r="B87" s="138" t="s">
        <v>87</v>
      </c>
      <c r="C87" s="154" t="s">
        <v>90</v>
      </c>
      <c r="D87" s="165">
        <v>62</v>
      </c>
      <c r="E87" s="171"/>
      <c r="M87" s="105" t="s">
        <v>35</v>
      </c>
      <c r="N87" s="105" t="s">
        <v>64</v>
      </c>
      <c r="O87" s="152" t="s">
        <v>141</v>
      </c>
      <c r="P87" s="149">
        <v>34.299999999999997</v>
      </c>
      <c r="R87" s="126" t="s">
        <v>42</v>
      </c>
      <c r="S87" s="126" t="s">
        <v>91</v>
      </c>
      <c r="T87" s="170" t="s">
        <v>180</v>
      </c>
      <c r="U87" s="149">
        <v>28.5</v>
      </c>
    </row>
    <row r="88" spans="1:21">
      <c r="A88" s="138" t="s">
        <v>15</v>
      </c>
      <c r="B88" s="138" t="s">
        <v>87</v>
      </c>
      <c r="C88" s="154" t="s">
        <v>120</v>
      </c>
      <c r="D88" s="165">
        <v>64</v>
      </c>
      <c r="E88" s="171"/>
      <c r="M88" s="105" t="s">
        <v>35</v>
      </c>
      <c r="N88" s="105" t="s">
        <v>64</v>
      </c>
      <c r="O88" s="152" t="s">
        <v>141</v>
      </c>
      <c r="P88" s="149">
        <v>29.6</v>
      </c>
      <c r="R88" s="126" t="s">
        <v>42</v>
      </c>
      <c r="S88" s="126" t="s">
        <v>91</v>
      </c>
      <c r="T88" s="170" t="s">
        <v>181</v>
      </c>
      <c r="U88" s="149">
        <v>23</v>
      </c>
    </row>
    <row r="89" spans="1:21">
      <c r="A89" s="138" t="s">
        <v>15</v>
      </c>
      <c r="B89" s="138" t="s">
        <v>87</v>
      </c>
      <c r="C89" s="154" t="s">
        <v>88</v>
      </c>
      <c r="D89" s="165">
        <v>64</v>
      </c>
      <c r="E89" s="171"/>
      <c r="M89" s="105" t="s">
        <v>35</v>
      </c>
      <c r="N89" s="105" t="s">
        <v>64</v>
      </c>
      <c r="O89" s="152" t="s">
        <v>141</v>
      </c>
      <c r="P89" s="149">
        <v>32.799999999999997</v>
      </c>
      <c r="R89" s="126" t="s">
        <v>42</v>
      </c>
      <c r="S89" s="126" t="s">
        <v>91</v>
      </c>
      <c r="T89" s="168" t="s">
        <v>88</v>
      </c>
      <c r="U89" s="149">
        <v>45.3</v>
      </c>
    </row>
    <row r="90" spans="1:21">
      <c r="A90" s="138" t="s">
        <v>15</v>
      </c>
      <c r="B90" s="138" t="s">
        <v>87</v>
      </c>
      <c r="C90" s="154" t="s">
        <v>90</v>
      </c>
      <c r="D90" s="165">
        <v>71</v>
      </c>
      <c r="E90" s="171"/>
      <c r="M90" s="105" t="s">
        <v>35</v>
      </c>
      <c r="N90" s="105" t="s">
        <v>64</v>
      </c>
      <c r="O90" s="152" t="s">
        <v>141</v>
      </c>
      <c r="P90" s="149">
        <v>26.5</v>
      </c>
      <c r="R90" s="126" t="s">
        <v>42</v>
      </c>
      <c r="S90" s="126" t="s">
        <v>91</v>
      </c>
      <c r="T90" s="170" t="s">
        <v>90</v>
      </c>
      <c r="U90" s="149">
        <v>45.2</v>
      </c>
    </row>
    <row r="91" spans="1:21">
      <c r="A91" s="138" t="s">
        <v>16</v>
      </c>
      <c r="B91" s="138" t="s">
        <v>87</v>
      </c>
      <c r="C91" s="154" t="s">
        <v>88</v>
      </c>
      <c r="D91" s="166">
        <v>58</v>
      </c>
      <c r="E91" s="172"/>
      <c r="M91" s="105" t="s">
        <v>35</v>
      </c>
      <c r="N91" s="105" t="s">
        <v>64</v>
      </c>
      <c r="O91" s="152" t="s">
        <v>141</v>
      </c>
      <c r="P91" s="149">
        <v>21.9</v>
      </c>
      <c r="R91" s="126" t="s">
        <v>42</v>
      </c>
      <c r="S91" s="126" t="s">
        <v>91</v>
      </c>
      <c r="T91" s="169" t="s">
        <v>124</v>
      </c>
      <c r="U91" s="149">
        <v>60.6</v>
      </c>
    </row>
    <row r="92" spans="1:21">
      <c r="A92" s="138" t="s">
        <v>16</v>
      </c>
      <c r="B92" s="138" t="s">
        <v>87</v>
      </c>
      <c r="C92" s="154" t="s">
        <v>88</v>
      </c>
      <c r="D92" s="166">
        <v>68</v>
      </c>
      <c r="E92" s="172"/>
      <c r="M92" s="105" t="s">
        <v>35</v>
      </c>
      <c r="N92" s="105" t="s">
        <v>64</v>
      </c>
      <c r="O92" s="152" t="s">
        <v>141</v>
      </c>
      <c r="P92" s="149">
        <v>28.3</v>
      </c>
      <c r="R92" s="126" t="s">
        <v>42</v>
      </c>
      <c r="S92" s="126" t="s">
        <v>91</v>
      </c>
      <c r="T92" s="170" t="s">
        <v>90</v>
      </c>
      <c r="U92" s="149">
        <v>35.4</v>
      </c>
    </row>
    <row r="93" spans="1:21">
      <c r="A93" s="138" t="s">
        <v>16</v>
      </c>
      <c r="B93" s="138" t="s">
        <v>87</v>
      </c>
      <c r="C93" s="150" t="s">
        <v>171</v>
      </c>
      <c r="D93" s="166">
        <v>47</v>
      </c>
      <c r="E93" s="172"/>
      <c r="M93" s="105" t="s">
        <v>35</v>
      </c>
      <c r="N93" s="105" t="s">
        <v>64</v>
      </c>
      <c r="O93" s="152" t="s">
        <v>141</v>
      </c>
      <c r="P93" s="149">
        <v>34.200000000000003</v>
      </c>
      <c r="R93" s="126" t="s">
        <v>42</v>
      </c>
      <c r="S93" s="126" t="s">
        <v>91</v>
      </c>
      <c r="T93" s="170" t="s">
        <v>95</v>
      </c>
      <c r="U93" s="149">
        <v>21</v>
      </c>
    </row>
    <row r="94" spans="1:21">
      <c r="A94" s="138" t="s">
        <v>16</v>
      </c>
      <c r="B94" s="138" t="s">
        <v>87</v>
      </c>
      <c r="C94" s="154" t="s">
        <v>88</v>
      </c>
      <c r="D94" s="166">
        <v>53</v>
      </c>
      <c r="E94" s="172"/>
      <c r="M94" s="105" t="s">
        <v>35</v>
      </c>
      <c r="N94" s="105" t="s">
        <v>64</v>
      </c>
      <c r="O94" s="152" t="s">
        <v>141</v>
      </c>
      <c r="P94" s="149">
        <v>22.1</v>
      </c>
      <c r="R94" s="126" t="s">
        <v>42</v>
      </c>
      <c r="S94" s="126" t="s">
        <v>91</v>
      </c>
      <c r="T94" s="170" t="s">
        <v>95</v>
      </c>
      <c r="U94" s="149">
        <v>25</v>
      </c>
    </row>
    <row r="95" spans="1:21">
      <c r="A95" s="138" t="s">
        <v>16</v>
      </c>
      <c r="B95" s="138" t="s">
        <v>87</v>
      </c>
      <c r="C95" s="154" t="s">
        <v>160</v>
      </c>
      <c r="D95" s="166">
        <v>36</v>
      </c>
      <c r="E95" s="172"/>
      <c r="M95" s="105" t="s">
        <v>35</v>
      </c>
      <c r="N95" s="105" t="s">
        <v>64</v>
      </c>
      <c r="O95" s="140" t="s">
        <v>88</v>
      </c>
      <c r="P95" s="149">
        <v>26.7</v>
      </c>
      <c r="R95" s="126" t="s">
        <v>42</v>
      </c>
      <c r="S95" s="126" t="s">
        <v>91</v>
      </c>
      <c r="T95" s="170" t="s">
        <v>182</v>
      </c>
      <c r="U95" s="149">
        <v>23.6</v>
      </c>
    </row>
    <row r="96" spans="1:21">
      <c r="A96" s="138" t="s">
        <v>16</v>
      </c>
      <c r="B96" s="138" t="s">
        <v>87</v>
      </c>
      <c r="C96" s="154" t="s">
        <v>94</v>
      </c>
      <c r="D96" s="166">
        <v>27</v>
      </c>
      <c r="E96" s="172"/>
      <c r="M96" s="105" t="s">
        <v>35</v>
      </c>
      <c r="N96" s="105" t="s">
        <v>64</v>
      </c>
      <c r="O96" s="140" t="s">
        <v>88</v>
      </c>
      <c r="P96" s="149">
        <v>35.5</v>
      </c>
      <c r="R96" s="126" t="s">
        <v>42</v>
      </c>
      <c r="S96" s="126" t="s">
        <v>91</v>
      </c>
      <c r="T96" s="170" t="s">
        <v>182</v>
      </c>
      <c r="U96" s="149">
        <v>28.7</v>
      </c>
    </row>
    <row r="97" spans="1:21">
      <c r="A97" s="138" t="s">
        <v>16</v>
      </c>
      <c r="B97" s="138" t="s">
        <v>87</v>
      </c>
      <c r="C97" s="154" t="s">
        <v>88</v>
      </c>
      <c r="D97" s="166">
        <v>63</v>
      </c>
      <c r="E97" s="172"/>
      <c r="M97" s="105" t="s">
        <v>35</v>
      </c>
      <c r="N97" s="105" t="s">
        <v>64</v>
      </c>
      <c r="O97" s="140" t="s">
        <v>88</v>
      </c>
      <c r="P97" s="149">
        <v>20.100000000000001</v>
      </c>
      <c r="R97" s="126" t="s">
        <v>42</v>
      </c>
      <c r="S97" s="126" t="s">
        <v>91</v>
      </c>
      <c r="T97" s="170" t="s">
        <v>183</v>
      </c>
      <c r="U97" s="149">
        <v>30.2</v>
      </c>
    </row>
    <row r="98" spans="1:21">
      <c r="A98" s="138" t="s">
        <v>16</v>
      </c>
      <c r="B98" s="138" t="s">
        <v>87</v>
      </c>
      <c r="C98" s="154" t="s">
        <v>121</v>
      </c>
      <c r="D98" s="166">
        <v>30</v>
      </c>
      <c r="E98" s="172"/>
      <c r="M98" s="105" t="s">
        <v>35</v>
      </c>
      <c r="N98" s="105" t="s">
        <v>64</v>
      </c>
      <c r="O98" s="140" t="s">
        <v>88</v>
      </c>
      <c r="P98" s="149">
        <v>26.9</v>
      </c>
      <c r="R98" s="126" t="s">
        <v>42</v>
      </c>
      <c r="S98" s="126" t="s">
        <v>91</v>
      </c>
      <c r="T98" s="169" t="s">
        <v>124</v>
      </c>
      <c r="U98" s="149">
        <v>22</v>
      </c>
    </row>
    <row r="99" spans="1:21">
      <c r="A99" s="138" t="s">
        <v>16</v>
      </c>
      <c r="B99" s="138" t="s">
        <v>87</v>
      </c>
      <c r="C99" s="154" t="s">
        <v>88</v>
      </c>
      <c r="D99" s="166">
        <v>64</v>
      </c>
      <c r="E99" s="172"/>
      <c r="M99" s="105" t="s">
        <v>35</v>
      </c>
      <c r="N99" s="105" t="s">
        <v>64</v>
      </c>
      <c r="O99" s="140" t="s">
        <v>88</v>
      </c>
      <c r="P99" s="7">
        <v>33.799999999999997</v>
      </c>
      <c r="R99" s="126" t="s">
        <v>42</v>
      </c>
      <c r="S99" s="126" t="s">
        <v>91</v>
      </c>
      <c r="T99" s="170" t="s">
        <v>182</v>
      </c>
      <c r="U99" s="149">
        <v>32</v>
      </c>
    </row>
    <row r="100" spans="1:21">
      <c r="A100" s="138" t="s">
        <v>16</v>
      </c>
      <c r="B100" s="138" t="s">
        <v>87</v>
      </c>
      <c r="C100" s="147" t="s">
        <v>158</v>
      </c>
      <c r="D100" s="166">
        <v>37</v>
      </c>
      <c r="E100" s="172"/>
      <c r="R100" s="126" t="s">
        <v>42</v>
      </c>
      <c r="S100" s="126" t="s">
        <v>91</v>
      </c>
      <c r="T100" s="168" t="s">
        <v>88</v>
      </c>
      <c r="U100" s="149">
        <v>36.4</v>
      </c>
    </row>
    <row r="101" spans="1:21">
      <c r="A101" s="138" t="s">
        <v>16</v>
      </c>
      <c r="B101" s="138" t="s">
        <v>87</v>
      </c>
      <c r="C101" s="154" t="s">
        <v>90</v>
      </c>
      <c r="D101" s="166">
        <v>58</v>
      </c>
      <c r="E101" s="172"/>
      <c r="R101" s="126" t="s">
        <v>42</v>
      </c>
      <c r="S101" s="126" t="s">
        <v>91</v>
      </c>
      <c r="T101" s="170" t="s">
        <v>150</v>
      </c>
      <c r="U101" s="149">
        <v>44</v>
      </c>
    </row>
    <row r="102" spans="1:21">
      <c r="A102" s="138" t="s">
        <v>16</v>
      </c>
      <c r="B102" s="138" t="s">
        <v>87</v>
      </c>
      <c r="C102" s="154" t="s">
        <v>88</v>
      </c>
      <c r="D102" s="166">
        <v>54</v>
      </c>
      <c r="E102" s="172"/>
      <c r="R102" s="126" t="s">
        <v>42</v>
      </c>
      <c r="S102" s="126" t="s">
        <v>91</v>
      </c>
      <c r="T102" s="168" t="s">
        <v>88</v>
      </c>
      <c r="U102" s="149">
        <v>25.5</v>
      </c>
    </row>
    <row r="103" spans="1:21">
      <c r="A103" s="138" t="s">
        <v>16</v>
      </c>
      <c r="B103" s="138" t="s">
        <v>87</v>
      </c>
      <c r="C103" s="154" t="s">
        <v>93</v>
      </c>
      <c r="D103" s="166">
        <v>45</v>
      </c>
      <c r="E103" s="172"/>
      <c r="R103" s="126" t="s">
        <v>42</v>
      </c>
      <c r="S103" s="126" t="s">
        <v>91</v>
      </c>
      <c r="T103" s="170" t="s">
        <v>137</v>
      </c>
      <c r="U103" s="149">
        <v>35.799999999999997</v>
      </c>
    </row>
    <row r="104" spans="1:21">
      <c r="A104" s="138" t="s">
        <v>16</v>
      </c>
      <c r="B104" s="138" t="s">
        <v>87</v>
      </c>
      <c r="C104" s="154" t="s">
        <v>169</v>
      </c>
      <c r="D104" s="166">
        <v>37</v>
      </c>
      <c r="E104" s="172"/>
      <c r="R104" s="126" t="s">
        <v>42</v>
      </c>
      <c r="S104" s="126" t="s">
        <v>91</v>
      </c>
      <c r="T104" s="168" t="s">
        <v>88</v>
      </c>
      <c r="U104" s="149">
        <v>22.9</v>
      </c>
    </row>
    <row r="105" spans="1:21">
      <c r="A105" s="138" t="s">
        <v>16</v>
      </c>
      <c r="B105" s="138" t="s">
        <v>87</v>
      </c>
      <c r="C105" s="154" t="s">
        <v>164</v>
      </c>
      <c r="D105" s="166">
        <v>45</v>
      </c>
      <c r="E105" s="172"/>
      <c r="R105" s="126" t="s">
        <v>42</v>
      </c>
      <c r="S105" s="126" t="s">
        <v>91</v>
      </c>
      <c r="T105" s="170" t="s">
        <v>181</v>
      </c>
      <c r="U105" s="149">
        <v>32.5</v>
      </c>
    </row>
    <row r="106" spans="1:21">
      <c r="A106" s="138" t="s">
        <v>16</v>
      </c>
      <c r="B106" s="138" t="s">
        <v>87</v>
      </c>
      <c r="C106" s="148" t="s">
        <v>119</v>
      </c>
      <c r="D106" s="166">
        <v>23</v>
      </c>
      <c r="E106" s="172"/>
      <c r="R106" s="126" t="s">
        <v>42</v>
      </c>
      <c r="S106" s="126" t="s">
        <v>91</v>
      </c>
      <c r="T106" s="168" t="s">
        <v>88</v>
      </c>
      <c r="U106" s="149">
        <v>61</v>
      </c>
    </row>
    <row r="107" spans="1:21">
      <c r="A107" s="138" t="s">
        <v>16</v>
      </c>
      <c r="B107" s="138" t="s">
        <v>87</v>
      </c>
      <c r="C107" s="148" t="s">
        <v>184</v>
      </c>
      <c r="D107" s="166">
        <v>20</v>
      </c>
      <c r="E107" s="172"/>
      <c r="R107" s="126" t="s">
        <v>42</v>
      </c>
      <c r="S107" s="126" t="s">
        <v>91</v>
      </c>
      <c r="T107" s="170"/>
      <c r="U107" s="149">
        <v>30</v>
      </c>
    </row>
    <row r="108" spans="1:21">
      <c r="A108" s="138" t="s">
        <v>16</v>
      </c>
      <c r="B108" s="138" t="s">
        <v>87</v>
      </c>
      <c r="C108" s="148" t="s">
        <v>137</v>
      </c>
      <c r="D108" s="166">
        <v>54</v>
      </c>
      <c r="E108" s="172"/>
      <c r="R108" s="126" t="s">
        <v>42</v>
      </c>
      <c r="S108" s="126" t="s">
        <v>91</v>
      </c>
      <c r="T108" s="170" t="s">
        <v>185</v>
      </c>
      <c r="U108" s="149">
        <v>31.7</v>
      </c>
    </row>
    <row r="109" spans="1:21">
      <c r="A109" s="138" t="s">
        <v>16</v>
      </c>
      <c r="B109" s="138" t="s">
        <v>87</v>
      </c>
      <c r="C109" s="148" t="s">
        <v>101</v>
      </c>
      <c r="D109" s="166">
        <v>37</v>
      </c>
      <c r="E109" s="172"/>
      <c r="R109" s="126" t="s">
        <v>42</v>
      </c>
      <c r="S109" s="126" t="s">
        <v>91</v>
      </c>
      <c r="T109" s="170" t="s">
        <v>181</v>
      </c>
      <c r="U109" s="149">
        <v>50.8</v>
      </c>
    </row>
    <row r="110" spans="1:21">
      <c r="A110" s="138" t="s">
        <v>16</v>
      </c>
      <c r="B110" s="138" t="s">
        <v>87</v>
      </c>
      <c r="C110" s="148" t="s">
        <v>88</v>
      </c>
      <c r="D110" s="166">
        <v>70</v>
      </c>
      <c r="E110" s="172"/>
      <c r="R110" s="126" t="s">
        <v>42</v>
      </c>
      <c r="S110" s="126" t="s">
        <v>91</v>
      </c>
      <c r="T110" s="168" t="s">
        <v>88</v>
      </c>
      <c r="U110" s="149">
        <v>42.9</v>
      </c>
    </row>
    <row r="111" spans="1:21">
      <c r="A111" s="138" t="s">
        <v>16</v>
      </c>
      <c r="B111" s="138" t="s">
        <v>87</v>
      </c>
      <c r="C111" s="148" t="s">
        <v>88</v>
      </c>
      <c r="D111" s="166">
        <v>32</v>
      </c>
      <c r="E111" s="172"/>
      <c r="R111" s="126" t="s">
        <v>42</v>
      </c>
      <c r="S111" s="126" t="s">
        <v>91</v>
      </c>
      <c r="T111" s="170" t="s">
        <v>181</v>
      </c>
      <c r="U111" s="149">
        <v>40.9</v>
      </c>
    </row>
    <row r="112" spans="1:21">
      <c r="A112" s="138" t="s">
        <v>16</v>
      </c>
      <c r="B112" s="138" t="s">
        <v>87</v>
      </c>
      <c r="C112" s="148" t="s">
        <v>88</v>
      </c>
      <c r="D112" s="166">
        <v>63</v>
      </c>
      <c r="E112" s="172"/>
      <c r="R112" s="126" t="s">
        <v>42</v>
      </c>
      <c r="S112" s="126" t="s">
        <v>91</v>
      </c>
      <c r="T112" s="168" t="s">
        <v>88</v>
      </c>
      <c r="U112" s="149">
        <v>27</v>
      </c>
    </row>
    <row r="113" spans="1:21">
      <c r="A113" s="138" t="s">
        <v>16</v>
      </c>
      <c r="B113" s="138" t="s">
        <v>87</v>
      </c>
      <c r="C113" s="148" t="s">
        <v>119</v>
      </c>
      <c r="D113" s="166">
        <v>23</v>
      </c>
      <c r="E113" s="172"/>
      <c r="R113" s="126" t="s">
        <v>42</v>
      </c>
      <c r="S113" s="126" t="s">
        <v>91</v>
      </c>
      <c r="T113" s="170" t="s">
        <v>186</v>
      </c>
      <c r="U113" s="149">
        <v>30.2</v>
      </c>
    </row>
    <row r="114" spans="1:21">
      <c r="A114" s="138" t="s">
        <v>16</v>
      </c>
      <c r="B114" s="138" t="s">
        <v>87</v>
      </c>
      <c r="C114" s="148" t="s">
        <v>119</v>
      </c>
      <c r="D114" s="166">
        <v>26</v>
      </c>
      <c r="E114" s="172"/>
      <c r="R114" s="126" t="s">
        <v>42</v>
      </c>
      <c r="S114" s="126" t="s">
        <v>91</v>
      </c>
      <c r="T114" s="170" t="s">
        <v>181</v>
      </c>
      <c r="U114" s="149">
        <v>46</v>
      </c>
    </row>
    <row r="115" spans="1:21">
      <c r="A115" s="138" t="s">
        <v>16</v>
      </c>
      <c r="B115" s="138" t="s">
        <v>87</v>
      </c>
      <c r="C115" s="148" t="s">
        <v>122</v>
      </c>
      <c r="D115" s="166">
        <v>42</v>
      </c>
      <c r="E115" s="172"/>
      <c r="R115" s="126" t="s">
        <v>42</v>
      </c>
      <c r="S115" s="126" t="s">
        <v>91</v>
      </c>
      <c r="T115" s="170" t="s">
        <v>181</v>
      </c>
      <c r="U115" s="149">
        <v>29</v>
      </c>
    </row>
    <row r="116" spans="1:21">
      <c r="A116" s="138" t="s">
        <v>16</v>
      </c>
      <c r="B116" s="138" t="s">
        <v>87</v>
      </c>
      <c r="C116" s="148" t="s">
        <v>163</v>
      </c>
      <c r="D116" s="166">
        <v>41</v>
      </c>
      <c r="E116" s="172"/>
      <c r="R116" s="126" t="s">
        <v>42</v>
      </c>
      <c r="S116" s="126" t="s">
        <v>91</v>
      </c>
      <c r="T116" s="170" t="s">
        <v>187</v>
      </c>
      <c r="U116" s="149">
        <v>30.6</v>
      </c>
    </row>
    <row r="117" spans="1:21">
      <c r="A117" s="138" t="s">
        <v>16</v>
      </c>
      <c r="B117" s="138" t="s">
        <v>87</v>
      </c>
      <c r="C117" s="148" t="s">
        <v>88</v>
      </c>
      <c r="D117" s="166">
        <v>63</v>
      </c>
      <c r="E117" s="172"/>
      <c r="R117" s="126" t="s">
        <v>42</v>
      </c>
      <c r="S117" s="126" t="s">
        <v>91</v>
      </c>
      <c r="T117" s="170" t="s">
        <v>188</v>
      </c>
      <c r="U117" s="149">
        <v>43.7</v>
      </c>
    </row>
    <row r="118" spans="1:21">
      <c r="A118" s="138" t="s">
        <v>16</v>
      </c>
      <c r="B118" s="138" t="s">
        <v>87</v>
      </c>
      <c r="C118" s="148" t="s">
        <v>88</v>
      </c>
      <c r="D118" s="166">
        <v>63</v>
      </c>
      <c r="E118" s="172"/>
      <c r="R118" s="126" t="s">
        <v>42</v>
      </c>
      <c r="S118" s="126" t="s">
        <v>91</v>
      </c>
      <c r="T118" s="169" t="s">
        <v>124</v>
      </c>
      <c r="U118" s="149">
        <v>74.5</v>
      </c>
    </row>
    <row r="119" spans="1:21">
      <c r="A119" s="138" t="s">
        <v>16</v>
      </c>
      <c r="B119" s="138" t="s">
        <v>87</v>
      </c>
      <c r="C119" s="148" t="s">
        <v>96</v>
      </c>
      <c r="D119" s="166">
        <v>67</v>
      </c>
      <c r="E119" s="172"/>
      <c r="R119" s="126" t="s">
        <v>42</v>
      </c>
      <c r="S119" s="126" t="s">
        <v>91</v>
      </c>
      <c r="T119" s="170" t="s">
        <v>189</v>
      </c>
      <c r="U119" s="149">
        <v>27.5</v>
      </c>
    </row>
    <row r="120" spans="1:21">
      <c r="A120" s="138" t="s">
        <v>16</v>
      </c>
      <c r="B120" s="138" t="s">
        <v>87</v>
      </c>
      <c r="C120" s="148" t="s">
        <v>122</v>
      </c>
      <c r="D120" s="166">
        <v>35</v>
      </c>
      <c r="E120" s="172"/>
      <c r="R120" s="126" t="s">
        <v>42</v>
      </c>
      <c r="S120" s="126" t="s">
        <v>91</v>
      </c>
      <c r="T120" s="170" t="s">
        <v>120</v>
      </c>
      <c r="U120" s="149">
        <v>40.200000000000003</v>
      </c>
    </row>
    <row r="121" spans="1:21">
      <c r="A121" s="138" t="s">
        <v>16</v>
      </c>
      <c r="B121" s="138" t="s">
        <v>87</v>
      </c>
      <c r="C121" s="148" t="s">
        <v>190</v>
      </c>
      <c r="D121" s="166">
        <v>27</v>
      </c>
      <c r="E121" s="172"/>
      <c r="R121" s="126" t="s">
        <v>42</v>
      </c>
      <c r="S121" s="126" t="s">
        <v>91</v>
      </c>
      <c r="T121" s="168" t="s">
        <v>88</v>
      </c>
      <c r="U121" s="149">
        <v>39.700000000000003</v>
      </c>
    </row>
    <row r="122" spans="1:21">
      <c r="A122" s="138" t="s">
        <v>16</v>
      </c>
      <c r="B122" s="138" t="s">
        <v>87</v>
      </c>
      <c r="C122" s="148" t="s">
        <v>172</v>
      </c>
      <c r="D122" s="166">
        <v>37</v>
      </c>
      <c r="E122" s="172"/>
      <c r="R122" s="126" t="s">
        <v>43</v>
      </c>
      <c r="S122" s="126" t="s">
        <v>91</v>
      </c>
      <c r="T122" s="169" t="s">
        <v>166</v>
      </c>
      <c r="U122" s="149">
        <v>31.9</v>
      </c>
    </row>
    <row r="123" spans="1:21">
      <c r="A123" s="138" t="s">
        <v>16</v>
      </c>
      <c r="B123" s="138" t="s">
        <v>87</v>
      </c>
      <c r="C123" s="148" t="s">
        <v>184</v>
      </c>
      <c r="D123" s="166">
        <v>48</v>
      </c>
      <c r="E123" s="172"/>
      <c r="R123" s="126" t="s">
        <v>43</v>
      </c>
      <c r="S123" s="126" t="s">
        <v>91</v>
      </c>
      <c r="T123" s="168" t="s">
        <v>88</v>
      </c>
      <c r="U123" s="149">
        <v>72</v>
      </c>
    </row>
    <row r="124" spans="1:21">
      <c r="A124" s="138" t="s">
        <v>19</v>
      </c>
      <c r="B124" s="138" t="s">
        <v>87</v>
      </c>
      <c r="C124" s="148" t="s">
        <v>88</v>
      </c>
      <c r="D124" s="166">
        <v>46</v>
      </c>
      <c r="E124" s="172"/>
      <c r="R124" s="126" t="s">
        <v>43</v>
      </c>
      <c r="S124" s="126" t="s">
        <v>91</v>
      </c>
      <c r="T124" s="170" t="s">
        <v>191</v>
      </c>
      <c r="U124" s="149">
        <v>27.8</v>
      </c>
    </row>
    <row r="125" spans="1:21">
      <c r="A125" s="138" t="s">
        <v>19</v>
      </c>
      <c r="B125" s="138" t="s">
        <v>87</v>
      </c>
      <c r="C125" s="148" t="s">
        <v>88</v>
      </c>
      <c r="D125" s="166">
        <v>52</v>
      </c>
      <c r="E125" s="172"/>
      <c r="R125" s="126" t="s">
        <v>43</v>
      </c>
      <c r="S125" s="126" t="s">
        <v>91</v>
      </c>
      <c r="T125" s="169" t="s">
        <v>166</v>
      </c>
      <c r="U125" s="149">
        <v>57.7</v>
      </c>
    </row>
    <row r="126" spans="1:21">
      <c r="A126" s="138" t="s">
        <v>19</v>
      </c>
      <c r="B126" s="138" t="s">
        <v>87</v>
      </c>
      <c r="C126" s="148" t="s">
        <v>88</v>
      </c>
      <c r="D126" s="166">
        <v>36</v>
      </c>
      <c r="E126" s="172"/>
      <c r="R126" s="126" t="s">
        <v>43</v>
      </c>
      <c r="S126" s="126" t="s">
        <v>91</v>
      </c>
      <c r="T126" s="170" t="s">
        <v>192</v>
      </c>
      <c r="U126" s="149">
        <v>26.9</v>
      </c>
    </row>
    <row r="127" spans="1:21">
      <c r="A127" s="138" t="s">
        <v>19</v>
      </c>
      <c r="B127" s="138" t="s">
        <v>87</v>
      </c>
      <c r="C127" s="148" t="s">
        <v>88</v>
      </c>
      <c r="D127" s="166">
        <v>43</v>
      </c>
      <c r="E127" s="172"/>
      <c r="R127" s="126" t="s">
        <v>43</v>
      </c>
      <c r="S127" s="126" t="s">
        <v>91</v>
      </c>
      <c r="T127" s="170" t="s">
        <v>192</v>
      </c>
      <c r="U127" s="149">
        <v>56</v>
      </c>
    </row>
    <row r="128" spans="1:21">
      <c r="A128" s="138" t="s">
        <v>19</v>
      </c>
      <c r="B128" s="138" t="s">
        <v>87</v>
      </c>
      <c r="C128" s="148" t="s">
        <v>88</v>
      </c>
      <c r="D128" s="166">
        <v>48</v>
      </c>
      <c r="E128" s="172"/>
      <c r="R128" s="126" t="s">
        <v>43</v>
      </c>
      <c r="S128" s="126" t="s">
        <v>91</v>
      </c>
      <c r="T128" s="170" t="s">
        <v>181</v>
      </c>
      <c r="U128" s="149">
        <v>37.200000000000003</v>
      </c>
    </row>
    <row r="129" spans="1:21">
      <c r="A129" s="138" t="s">
        <v>19</v>
      </c>
      <c r="B129" s="138" t="s">
        <v>87</v>
      </c>
      <c r="C129" s="148" t="s">
        <v>98</v>
      </c>
      <c r="D129" s="166">
        <v>29</v>
      </c>
      <c r="E129" s="172"/>
      <c r="R129" s="126" t="s">
        <v>43</v>
      </c>
      <c r="S129" s="126" t="s">
        <v>91</v>
      </c>
      <c r="T129" s="170" t="s">
        <v>193</v>
      </c>
      <c r="U129" s="149">
        <v>49.2</v>
      </c>
    </row>
    <row r="130" spans="1:21">
      <c r="A130" s="138" t="s">
        <v>19</v>
      </c>
      <c r="B130" s="138" t="s">
        <v>87</v>
      </c>
      <c r="C130" s="148" t="s">
        <v>98</v>
      </c>
      <c r="D130" s="166">
        <v>26</v>
      </c>
      <c r="E130" s="172"/>
      <c r="R130" s="126" t="s">
        <v>43</v>
      </c>
      <c r="S130" s="126" t="s">
        <v>91</v>
      </c>
      <c r="T130" s="170" t="s">
        <v>181</v>
      </c>
      <c r="U130" s="149">
        <v>28.5</v>
      </c>
    </row>
    <row r="131" spans="1:21">
      <c r="A131" s="138" t="s">
        <v>19</v>
      </c>
      <c r="B131" s="138" t="s">
        <v>87</v>
      </c>
      <c r="C131" s="148" t="s">
        <v>88</v>
      </c>
      <c r="D131" s="166">
        <v>48</v>
      </c>
      <c r="E131" s="172"/>
      <c r="R131" s="126" t="s">
        <v>43</v>
      </c>
      <c r="S131" s="126" t="s">
        <v>91</v>
      </c>
      <c r="T131" s="170" t="s">
        <v>181</v>
      </c>
      <c r="U131" s="149">
        <v>51.4</v>
      </c>
    </row>
    <row r="132" spans="1:21">
      <c r="A132" s="138" t="s">
        <v>19</v>
      </c>
      <c r="B132" s="138" t="s">
        <v>87</v>
      </c>
      <c r="C132" s="148" t="s">
        <v>93</v>
      </c>
      <c r="D132" s="166">
        <v>26</v>
      </c>
      <c r="E132" s="172"/>
      <c r="R132" s="126" t="s">
        <v>43</v>
      </c>
      <c r="S132" s="126" t="s">
        <v>91</v>
      </c>
      <c r="T132" s="170" t="s">
        <v>182</v>
      </c>
      <c r="U132" s="149">
        <v>37.700000000000003</v>
      </c>
    </row>
    <row r="133" spans="1:21">
      <c r="A133" s="138" t="s">
        <v>19</v>
      </c>
      <c r="B133" s="138" t="s">
        <v>87</v>
      </c>
      <c r="C133" s="164" t="s">
        <v>194</v>
      </c>
      <c r="D133" s="166">
        <v>25</v>
      </c>
      <c r="E133" s="172"/>
      <c r="R133" s="126" t="s">
        <v>43</v>
      </c>
      <c r="S133" s="126" t="s">
        <v>91</v>
      </c>
      <c r="T133" s="168" t="s">
        <v>88</v>
      </c>
      <c r="U133" s="149">
        <v>28.5</v>
      </c>
    </row>
    <row r="134" spans="1:21">
      <c r="A134" s="138" t="s">
        <v>19</v>
      </c>
      <c r="B134" s="138" t="s">
        <v>87</v>
      </c>
      <c r="C134" s="148" t="s">
        <v>94</v>
      </c>
      <c r="D134" s="166">
        <v>30</v>
      </c>
      <c r="E134" s="172"/>
      <c r="R134" s="126" t="s">
        <v>43</v>
      </c>
      <c r="S134" s="126" t="s">
        <v>91</v>
      </c>
      <c r="T134" s="170" t="s">
        <v>195</v>
      </c>
      <c r="U134" s="149">
        <v>52.2</v>
      </c>
    </row>
    <row r="135" spans="1:21">
      <c r="A135" s="138" t="s">
        <v>19</v>
      </c>
      <c r="B135" s="138" t="s">
        <v>87</v>
      </c>
      <c r="C135" s="148" t="s">
        <v>88</v>
      </c>
      <c r="D135" s="166">
        <v>61</v>
      </c>
      <c r="E135" s="172"/>
      <c r="R135" s="126" t="s">
        <v>43</v>
      </c>
      <c r="S135" s="126" t="s">
        <v>91</v>
      </c>
      <c r="T135" s="170" t="s">
        <v>98</v>
      </c>
      <c r="U135" s="149">
        <v>20.9</v>
      </c>
    </row>
    <row r="136" spans="1:21">
      <c r="A136" s="138" t="s">
        <v>19</v>
      </c>
      <c r="B136" s="138" t="s">
        <v>87</v>
      </c>
      <c r="C136" s="148" t="s">
        <v>88</v>
      </c>
      <c r="D136" s="166">
        <v>32</v>
      </c>
      <c r="E136" s="172"/>
      <c r="R136" s="126" t="s">
        <v>43</v>
      </c>
      <c r="S136" s="126" t="s">
        <v>91</v>
      </c>
      <c r="T136" s="170" t="s">
        <v>181</v>
      </c>
      <c r="U136" s="149">
        <v>21.5</v>
      </c>
    </row>
    <row r="137" spans="1:21">
      <c r="A137" s="138" t="s">
        <v>19</v>
      </c>
      <c r="B137" s="138" t="s">
        <v>87</v>
      </c>
      <c r="C137" s="148" t="s">
        <v>88</v>
      </c>
      <c r="D137" s="166">
        <v>46</v>
      </c>
      <c r="E137" s="172"/>
      <c r="R137" s="126" t="s">
        <v>43</v>
      </c>
      <c r="S137" s="126" t="s">
        <v>91</v>
      </c>
      <c r="T137" s="168" t="s">
        <v>88</v>
      </c>
      <c r="U137" s="149">
        <v>61.7</v>
      </c>
    </row>
    <row r="138" spans="1:21">
      <c r="A138" s="138" t="s">
        <v>19</v>
      </c>
      <c r="B138" s="138" t="s">
        <v>87</v>
      </c>
      <c r="C138" s="148" t="s">
        <v>98</v>
      </c>
      <c r="D138" s="166">
        <v>30</v>
      </c>
      <c r="E138" s="172"/>
      <c r="R138" s="126" t="s">
        <v>43</v>
      </c>
      <c r="S138" s="126" t="s">
        <v>91</v>
      </c>
      <c r="T138" s="170" t="s">
        <v>196</v>
      </c>
      <c r="U138" s="149">
        <v>20.5</v>
      </c>
    </row>
    <row r="139" spans="1:21">
      <c r="A139" s="138" t="s">
        <v>19</v>
      </c>
      <c r="B139" s="138" t="s">
        <v>87</v>
      </c>
      <c r="C139" s="148" t="s">
        <v>90</v>
      </c>
      <c r="D139" s="166">
        <v>47</v>
      </c>
      <c r="E139" s="172"/>
      <c r="R139" s="126" t="s">
        <v>43</v>
      </c>
      <c r="S139" s="126" t="s">
        <v>91</v>
      </c>
      <c r="T139" s="169" t="s">
        <v>166</v>
      </c>
      <c r="U139" s="149">
        <v>22.7</v>
      </c>
    </row>
    <row r="140" spans="1:21">
      <c r="A140" s="138" t="s">
        <v>19</v>
      </c>
      <c r="B140" s="138" t="s">
        <v>87</v>
      </c>
      <c r="C140" s="148" t="s">
        <v>98</v>
      </c>
      <c r="D140" s="166">
        <v>28</v>
      </c>
      <c r="E140" s="172"/>
      <c r="R140" s="126" t="s">
        <v>43</v>
      </c>
      <c r="S140" s="126" t="s">
        <v>91</v>
      </c>
      <c r="T140" s="170" t="s">
        <v>197</v>
      </c>
      <c r="U140" s="149">
        <v>37.1</v>
      </c>
    </row>
    <row r="141" spans="1:21">
      <c r="A141" s="138" t="s">
        <v>19</v>
      </c>
      <c r="B141" s="138" t="s">
        <v>87</v>
      </c>
      <c r="C141" s="148" t="s">
        <v>90</v>
      </c>
      <c r="D141" s="166">
        <v>39</v>
      </c>
      <c r="E141" s="172"/>
      <c r="R141" s="126" t="s">
        <v>43</v>
      </c>
      <c r="S141" s="126" t="s">
        <v>91</v>
      </c>
      <c r="T141" s="170" t="s">
        <v>187</v>
      </c>
      <c r="U141" s="149">
        <v>55.5</v>
      </c>
    </row>
    <row r="142" spans="1:21">
      <c r="A142" s="138" t="s">
        <v>19</v>
      </c>
      <c r="B142" s="138" t="s">
        <v>87</v>
      </c>
      <c r="C142" s="148" t="s">
        <v>88</v>
      </c>
      <c r="D142" s="166">
        <v>55</v>
      </c>
      <c r="E142" s="172"/>
      <c r="R142" s="126" t="s">
        <v>43</v>
      </c>
      <c r="S142" s="126" t="s">
        <v>91</v>
      </c>
      <c r="T142" s="170" t="s">
        <v>187</v>
      </c>
      <c r="U142" s="149">
        <v>40.200000000000003</v>
      </c>
    </row>
    <row r="143" spans="1:21">
      <c r="A143" s="138" t="s">
        <v>19</v>
      </c>
      <c r="B143" s="138" t="s">
        <v>87</v>
      </c>
      <c r="C143" s="148" t="s">
        <v>88</v>
      </c>
      <c r="D143" s="166">
        <v>42</v>
      </c>
      <c r="E143" s="172"/>
      <c r="R143" s="126" t="s">
        <v>43</v>
      </c>
      <c r="S143" s="126" t="s">
        <v>91</v>
      </c>
      <c r="T143" s="168" t="s">
        <v>88</v>
      </c>
      <c r="U143" s="149">
        <v>37.700000000000003</v>
      </c>
    </row>
    <row r="144" spans="1:21">
      <c r="A144" s="138" t="s">
        <v>19</v>
      </c>
      <c r="B144" s="138" t="s">
        <v>87</v>
      </c>
      <c r="C144" s="148" t="s">
        <v>93</v>
      </c>
      <c r="D144" s="166">
        <v>55</v>
      </c>
      <c r="E144" s="172"/>
      <c r="R144" s="126" t="s">
        <v>43</v>
      </c>
      <c r="S144" s="126" t="s">
        <v>91</v>
      </c>
      <c r="T144" s="170" t="s">
        <v>119</v>
      </c>
      <c r="U144" s="149">
        <v>46.2</v>
      </c>
    </row>
    <row r="145" spans="1:21">
      <c r="A145" s="138" t="s">
        <v>19</v>
      </c>
      <c r="B145" s="138" t="s">
        <v>87</v>
      </c>
      <c r="C145" s="148" t="s">
        <v>88</v>
      </c>
      <c r="D145" s="166">
        <v>44</v>
      </c>
      <c r="E145" s="172"/>
      <c r="R145" s="126" t="s">
        <v>43</v>
      </c>
      <c r="S145" s="126" t="s">
        <v>91</v>
      </c>
      <c r="T145" s="168" t="s">
        <v>88</v>
      </c>
      <c r="U145" s="149">
        <v>45.8</v>
      </c>
    </row>
    <row r="146" spans="1:21">
      <c r="A146" s="138" t="s">
        <v>19</v>
      </c>
      <c r="B146" s="138" t="s">
        <v>87</v>
      </c>
      <c r="C146" s="148" t="s">
        <v>122</v>
      </c>
      <c r="D146" s="166">
        <v>44</v>
      </c>
      <c r="E146" s="172"/>
      <c r="R146" s="126" t="s">
        <v>43</v>
      </c>
      <c r="S146" s="126" t="s">
        <v>91</v>
      </c>
      <c r="T146" s="170" t="s">
        <v>181</v>
      </c>
      <c r="U146" s="149">
        <v>59.2</v>
      </c>
    </row>
    <row r="147" spans="1:21">
      <c r="A147" s="138" t="s">
        <v>19</v>
      </c>
      <c r="B147" s="138" t="s">
        <v>87</v>
      </c>
      <c r="C147" s="148" t="s">
        <v>88</v>
      </c>
      <c r="D147" s="166">
        <v>41</v>
      </c>
      <c r="E147" s="172"/>
      <c r="R147" s="126" t="s">
        <v>43</v>
      </c>
      <c r="S147" s="126" t="s">
        <v>91</v>
      </c>
      <c r="T147" s="169" t="s">
        <v>95</v>
      </c>
      <c r="U147" s="149">
        <v>22.8</v>
      </c>
    </row>
    <row r="148" spans="1:21">
      <c r="A148" s="138" t="s">
        <v>21</v>
      </c>
      <c r="B148" s="138" t="s">
        <v>87</v>
      </c>
      <c r="C148" s="148" t="s">
        <v>198</v>
      </c>
      <c r="D148" s="166">
        <v>39</v>
      </c>
      <c r="E148" s="172"/>
    </row>
    <row r="149" spans="1:21">
      <c r="A149" s="138" t="s">
        <v>21</v>
      </c>
      <c r="B149" s="138" t="s">
        <v>87</v>
      </c>
      <c r="C149" s="148" t="s">
        <v>94</v>
      </c>
      <c r="D149" s="166">
        <v>29</v>
      </c>
      <c r="E149" s="172"/>
    </row>
    <row r="150" spans="1:21">
      <c r="A150" s="138" t="s">
        <v>21</v>
      </c>
      <c r="B150" s="138" t="s">
        <v>87</v>
      </c>
      <c r="C150" s="148" t="s">
        <v>120</v>
      </c>
      <c r="D150" s="166">
        <v>56</v>
      </c>
      <c r="E150" s="172"/>
    </row>
    <row r="151" spans="1:21">
      <c r="A151" s="138" t="s">
        <v>21</v>
      </c>
      <c r="B151" s="138" t="s">
        <v>87</v>
      </c>
      <c r="C151" s="148" t="s">
        <v>88</v>
      </c>
      <c r="D151" s="166">
        <v>77</v>
      </c>
      <c r="E151" s="172"/>
    </row>
    <row r="152" spans="1:21">
      <c r="A152" s="138" t="s">
        <v>21</v>
      </c>
      <c r="B152" s="138" t="s">
        <v>87</v>
      </c>
      <c r="C152" s="148" t="s">
        <v>98</v>
      </c>
      <c r="D152" s="166">
        <v>34</v>
      </c>
      <c r="E152" s="172"/>
    </row>
    <row r="153" spans="1:21">
      <c r="A153" s="138" t="s">
        <v>21</v>
      </c>
      <c r="B153" s="138" t="s">
        <v>87</v>
      </c>
      <c r="C153" s="148" t="s">
        <v>119</v>
      </c>
      <c r="D153" s="166">
        <v>45</v>
      </c>
      <c r="E153" s="172"/>
    </row>
    <row r="154" spans="1:21">
      <c r="A154" s="138" t="s">
        <v>21</v>
      </c>
      <c r="B154" s="138" t="s">
        <v>87</v>
      </c>
      <c r="C154" s="148" t="s">
        <v>199</v>
      </c>
      <c r="D154" s="166">
        <v>23</v>
      </c>
      <c r="E154" s="172"/>
    </row>
    <row r="155" spans="1:21">
      <c r="A155" s="138" t="s">
        <v>21</v>
      </c>
      <c r="B155" s="138" t="s">
        <v>87</v>
      </c>
      <c r="C155" s="148" t="s">
        <v>199</v>
      </c>
      <c r="D155" s="166">
        <v>30</v>
      </c>
      <c r="E155" s="172"/>
    </row>
    <row r="156" spans="1:21">
      <c r="A156" s="138" t="s">
        <v>21</v>
      </c>
      <c r="B156" s="138" t="s">
        <v>87</v>
      </c>
      <c r="C156" s="148" t="s">
        <v>93</v>
      </c>
      <c r="D156" s="166">
        <v>47</v>
      </c>
      <c r="E156" s="172"/>
    </row>
    <row r="157" spans="1:21">
      <c r="A157" s="138" t="s">
        <v>21</v>
      </c>
      <c r="B157" s="138" t="s">
        <v>87</v>
      </c>
      <c r="C157" s="148" t="s">
        <v>98</v>
      </c>
      <c r="D157" s="166">
        <v>39</v>
      </c>
      <c r="E157" s="172"/>
    </row>
    <row r="158" spans="1:21">
      <c r="A158" s="138" t="s">
        <v>21</v>
      </c>
      <c r="B158" s="138" t="s">
        <v>87</v>
      </c>
      <c r="C158" s="148" t="s">
        <v>122</v>
      </c>
      <c r="D158" s="166">
        <v>37</v>
      </c>
      <c r="E158" s="172"/>
    </row>
    <row r="159" spans="1:21">
      <c r="A159" s="138" t="s">
        <v>21</v>
      </c>
      <c r="B159" s="138" t="s">
        <v>87</v>
      </c>
      <c r="C159" s="148" t="s">
        <v>119</v>
      </c>
      <c r="D159" s="166">
        <v>26</v>
      </c>
      <c r="E159" s="172"/>
    </row>
    <row r="160" spans="1:21">
      <c r="A160" s="138" t="s">
        <v>21</v>
      </c>
      <c r="B160" s="138" t="s">
        <v>87</v>
      </c>
      <c r="C160" s="148" t="s">
        <v>137</v>
      </c>
      <c r="D160" s="166">
        <v>49</v>
      </c>
      <c r="E160" s="172"/>
    </row>
    <row r="161" spans="1:5">
      <c r="A161" s="138" t="s">
        <v>21</v>
      </c>
      <c r="B161" s="138" t="s">
        <v>87</v>
      </c>
      <c r="C161" s="164" t="s">
        <v>198</v>
      </c>
      <c r="D161" s="166">
        <v>45</v>
      </c>
      <c r="E161" s="172"/>
    </row>
    <row r="162" spans="1:5">
      <c r="A162" s="138" t="s">
        <v>21</v>
      </c>
      <c r="B162" s="138" t="s">
        <v>87</v>
      </c>
      <c r="C162" s="148" t="s">
        <v>198</v>
      </c>
      <c r="D162" s="166">
        <v>49</v>
      </c>
      <c r="E162" s="172"/>
    </row>
    <row r="163" spans="1:5">
      <c r="A163" s="138" t="s">
        <v>21</v>
      </c>
      <c r="B163" s="138" t="s">
        <v>87</v>
      </c>
      <c r="C163" s="164" t="s">
        <v>194</v>
      </c>
      <c r="D163" s="166">
        <v>50</v>
      </c>
      <c r="E163" s="172"/>
    </row>
    <row r="164" spans="1:5">
      <c r="A164" s="138" t="s">
        <v>21</v>
      </c>
      <c r="B164" s="138" t="s">
        <v>87</v>
      </c>
      <c r="C164" s="148" t="s">
        <v>168</v>
      </c>
      <c r="D164" s="166">
        <v>63</v>
      </c>
      <c r="E164" s="172"/>
    </row>
    <row r="165" spans="1:5">
      <c r="A165" s="138" t="s">
        <v>21</v>
      </c>
      <c r="B165" s="138" t="s">
        <v>87</v>
      </c>
      <c r="C165" s="148" t="s">
        <v>98</v>
      </c>
      <c r="D165" s="166">
        <v>21</v>
      </c>
      <c r="E165" s="172"/>
    </row>
    <row r="166" spans="1:5">
      <c r="A166" s="138" t="s">
        <v>21</v>
      </c>
      <c r="B166" s="138" t="s">
        <v>87</v>
      </c>
      <c r="C166" s="148" t="s">
        <v>122</v>
      </c>
      <c r="D166" s="166">
        <v>25</v>
      </c>
      <c r="E166" s="172"/>
    </row>
    <row r="167" spans="1:5">
      <c r="A167" s="138" t="s">
        <v>21</v>
      </c>
      <c r="B167" s="138" t="s">
        <v>87</v>
      </c>
      <c r="C167" s="148" t="s">
        <v>93</v>
      </c>
      <c r="D167" s="166">
        <v>59</v>
      </c>
      <c r="E167" s="172"/>
    </row>
    <row r="168" spans="1:5">
      <c r="A168" s="138" t="s">
        <v>21</v>
      </c>
      <c r="B168" s="138" t="s">
        <v>87</v>
      </c>
      <c r="C168" s="148" t="s">
        <v>163</v>
      </c>
      <c r="D168" s="166">
        <v>38</v>
      </c>
      <c r="E168" s="172"/>
    </row>
    <row r="169" spans="1:5">
      <c r="A169" s="138" t="s">
        <v>21</v>
      </c>
      <c r="B169" s="138" t="s">
        <v>87</v>
      </c>
      <c r="C169" s="148" t="s">
        <v>163</v>
      </c>
      <c r="D169" s="166">
        <v>39</v>
      </c>
      <c r="E169" s="172"/>
    </row>
    <row r="170" spans="1:5">
      <c r="A170" s="138" t="s">
        <v>21</v>
      </c>
      <c r="B170" s="138" t="s">
        <v>87</v>
      </c>
      <c r="C170" s="148" t="s">
        <v>184</v>
      </c>
      <c r="D170" s="166">
        <v>83</v>
      </c>
      <c r="E170" s="172"/>
    </row>
    <row r="171" spans="1:5">
      <c r="A171" s="138" t="s">
        <v>21</v>
      </c>
      <c r="B171" s="138" t="s">
        <v>87</v>
      </c>
      <c r="C171" s="148" t="s">
        <v>122</v>
      </c>
      <c r="D171" s="166">
        <v>32</v>
      </c>
      <c r="E171" s="172"/>
    </row>
    <row r="172" spans="1:5">
      <c r="A172" s="138" t="s">
        <v>21</v>
      </c>
      <c r="B172" s="138" t="s">
        <v>87</v>
      </c>
      <c r="C172" s="148" t="s">
        <v>199</v>
      </c>
      <c r="D172" s="166">
        <v>40</v>
      </c>
      <c r="E172" s="172"/>
    </row>
    <row r="173" spans="1:5">
      <c r="A173" s="138" t="s">
        <v>21</v>
      </c>
      <c r="B173" s="138" t="s">
        <v>87</v>
      </c>
      <c r="C173" s="148" t="s">
        <v>143</v>
      </c>
      <c r="D173" s="166">
        <v>29</v>
      </c>
      <c r="E173" s="172"/>
    </row>
    <row r="174" spans="1:5">
      <c r="A174" s="138" t="s">
        <v>21</v>
      </c>
      <c r="B174" s="138" t="s">
        <v>87</v>
      </c>
      <c r="C174" s="148" t="s">
        <v>122</v>
      </c>
      <c r="D174" s="166">
        <v>20</v>
      </c>
      <c r="E174" s="172"/>
    </row>
    <row r="175" spans="1:5">
      <c r="A175" s="138" t="s">
        <v>21</v>
      </c>
      <c r="B175" s="138" t="s">
        <v>87</v>
      </c>
      <c r="C175" s="148" t="s">
        <v>90</v>
      </c>
      <c r="D175" s="166">
        <v>72</v>
      </c>
      <c r="E175" s="172"/>
    </row>
    <row r="176" spans="1:5">
      <c r="A176" s="138" t="s">
        <v>21</v>
      </c>
      <c r="B176" s="138" t="s">
        <v>87</v>
      </c>
      <c r="C176" s="148" t="s">
        <v>98</v>
      </c>
      <c r="D176" s="166">
        <v>26</v>
      </c>
      <c r="E176" s="172"/>
    </row>
    <row r="177" spans="1:5">
      <c r="A177" s="138" t="s">
        <v>21</v>
      </c>
      <c r="B177" s="138" t="s">
        <v>87</v>
      </c>
      <c r="C177" s="148" t="s">
        <v>88</v>
      </c>
      <c r="D177" s="166">
        <v>54</v>
      </c>
      <c r="E177" s="172"/>
    </row>
    <row r="178" spans="1:5">
      <c r="A178" s="138" t="s">
        <v>21</v>
      </c>
      <c r="B178" s="138" t="s">
        <v>87</v>
      </c>
      <c r="C178" s="148" t="s">
        <v>93</v>
      </c>
      <c r="D178" s="166">
        <v>49</v>
      </c>
      <c r="E178" s="172"/>
    </row>
    <row r="179" spans="1:5">
      <c r="A179" s="138" t="s">
        <v>21</v>
      </c>
      <c r="B179" s="138" t="s">
        <v>87</v>
      </c>
      <c r="C179" s="148" t="s">
        <v>88</v>
      </c>
      <c r="D179" s="166">
        <v>75</v>
      </c>
      <c r="E179" s="172"/>
    </row>
    <row r="180" spans="1:5">
      <c r="A180" s="138" t="s">
        <v>21</v>
      </c>
      <c r="B180" s="138" t="s">
        <v>87</v>
      </c>
      <c r="C180" s="148" t="s">
        <v>157</v>
      </c>
      <c r="D180" s="166">
        <v>38</v>
      </c>
      <c r="E180" s="172"/>
    </row>
    <row r="181" spans="1:5">
      <c r="A181" s="138" t="s">
        <v>21</v>
      </c>
      <c r="B181" s="138" t="s">
        <v>87</v>
      </c>
      <c r="C181" s="148" t="s">
        <v>122</v>
      </c>
      <c r="D181" s="166">
        <v>25</v>
      </c>
      <c r="E181" s="172"/>
    </row>
    <row r="182" spans="1:5">
      <c r="A182" s="138" t="s">
        <v>21</v>
      </c>
      <c r="B182" s="138" t="s">
        <v>87</v>
      </c>
      <c r="C182" s="148" t="s">
        <v>98</v>
      </c>
      <c r="D182" s="166">
        <v>33</v>
      </c>
      <c r="E182" s="172"/>
    </row>
    <row r="183" spans="1:5">
      <c r="A183" s="138" t="s">
        <v>21</v>
      </c>
      <c r="B183" s="138" t="s">
        <v>87</v>
      </c>
      <c r="C183" s="148" t="s">
        <v>119</v>
      </c>
      <c r="D183" s="166">
        <v>20</v>
      </c>
      <c r="E183" s="172"/>
    </row>
    <row r="184" spans="1:5">
      <c r="A184" s="138" t="s">
        <v>23</v>
      </c>
      <c r="B184" s="138" t="s">
        <v>87</v>
      </c>
      <c r="C184" s="148" t="s">
        <v>88</v>
      </c>
      <c r="D184" s="166">
        <v>47</v>
      </c>
      <c r="E184" s="172"/>
    </row>
    <row r="185" spans="1:5">
      <c r="A185" s="138" t="s">
        <v>23</v>
      </c>
      <c r="B185" s="138" t="s">
        <v>87</v>
      </c>
      <c r="C185" s="148" t="s">
        <v>123</v>
      </c>
      <c r="D185" s="166">
        <v>55</v>
      </c>
      <c r="E185" s="172"/>
    </row>
    <row r="186" spans="1:5">
      <c r="A186" s="138" t="s">
        <v>23</v>
      </c>
      <c r="B186" s="138" t="s">
        <v>87</v>
      </c>
      <c r="C186" s="148" t="s">
        <v>88</v>
      </c>
      <c r="D186" s="166">
        <v>40</v>
      </c>
      <c r="E186" s="172"/>
    </row>
    <row r="187" spans="1:5">
      <c r="A187" s="138" t="s">
        <v>23</v>
      </c>
      <c r="B187" s="138" t="s">
        <v>87</v>
      </c>
      <c r="C187" s="148" t="s">
        <v>88</v>
      </c>
      <c r="D187" s="166">
        <v>22</v>
      </c>
      <c r="E187" s="172"/>
    </row>
    <row r="188" spans="1:5">
      <c r="A188" s="138" t="s">
        <v>23</v>
      </c>
      <c r="B188" s="138" t="s">
        <v>87</v>
      </c>
      <c r="C188" s="148" t="s">
        <v>88</v>
      </c>
      <c r="D188" s="166">
        <v>44</v>
      </c>
      <c r="E188" s="172"/>
    </row>
    <row r="189" spans="1:5">
      <c r="A189" s="138" t="s">
        <v>23</v>
      </c>
      <c r="B189" s="138" t="s">
        <v>87</v>
      </c>
      <c r="C189" s="148" t="s">
        <v>88</v>
      </c>
      <c r="D189" s="166">
        <v>46</v>
      </c>
      <c r="E189" s="172"/>
    </row>
    <row r="190" spans="1:5">
      <c r="A190" s="138" t="s">
        <v>23</v>
      </c>
      <c r="B190" s="138" t="s">
        <v>87</v>
      </c>
      <c r="C190" s="148" t="s">
        <v>88</v>
      </c>
      <c r="D190" s="166">
        <v>56</v>
      </c>
      <c r="E190" s="172"/>
    </row>
    <row r="191" spans="1:5">
      <c r="A191" s="138" t="s">
        <v>23</v>
      </c>
      <c r="B191" s="138" t="s">
        <v>87</v>
      </c>
      <c r="C191" s="148" t="s">
        <v>94</v>
      </c>
      <c r="D191" s="166">
        <v>48</v>
      </c>
      <c r="E191" s="172"/>
    </row>
    <row r="192" spans="1:5">
      <c r="A192" s="138" t="s">
        <v>23</v>
      </c>
      <c r="B192" s="138" t="s">
        <v>87</v>
      </c>
      <c r="C192" s="148" t="s">
        <v>122</v>
      </c>
      <c r="D192" s="166">
        <v>20</v>
      </c>
      <c r="E192" s="172"/>
    </row>
    <row r="193" spans="1:5">
      <c r="A193" s="138" t="s">
        <v>23</v>
      </c>
      <c r="B193" s="138" t="s">
        <v>87</v>
      </c>
      <c r="C193" s="148" t="s">
        <v>122</v>
      </c>
      <c r="D193" s="166">
        <v>71</v>
      </c>
      <c r="E193" s="172"/>
    </row>
    <row r="194" spans="1:5">
      <c r="A194" s="138" t="s">
        <v>23</v>
      </c>
      <c r="B194" s="138" t="s">
        <v>87</v>
      </c>
      <c r="C194" s="148" t="s">
        <v>94</v>
      </c>
      <c r="D194" s="166">
        <v>32</v>
      </c>
      <c r="E194" s="172"/>
    </row>
    <row r="195" spans="1:5">
      <c r="A195" s="138" t="s">
        <v>23</v>
      </c>
      <c r="B195" s="138" t="s">
        <v>87</v>
      </c>
      <c r="C195" s="148" t="s">
        <v>88</v>
      </c>
      <c r="D195" s="166">
        <v>52</v>
      </c>
      <c r="E195" s="172"/>
    </row>
    <row r="196" spans="1:5">
      <c r="A196" s="138" t="s">
        <v>23</v>
      </c>
      <c r="B196" s="138" t="s">
        <v>87</v>
      </c>
      <c r="C196" s="148" t="s">
        <v>88</v>
      </c>
      <c r="D196" s="166">
        <v>55</v>
      </c>
      <c r="E196" s="172"/>
    </row>
    <row r="197" spans="1:5">
      <c r="A197" s="138" t="s">
        <v>23</v>
      </c>
      <c r="B197" s="138" t="s">
        <v>87</v>
      </c>
      <c r="C197" s="148" t="s">
        <v>88</v>
      </c>
      <c r="D197" s="166">
        <v>46</v>
      </c>
      <c r="E197" s="172"/>
    </row>
    <row r="198" spans="1:5">
      <c r="A198" s="138" t="s">
        <v>23</v>
      </c>
      <c r="B198" s="138" t="s">
        <v>87</v>
      </c>
      <c r="C198" s="148" t="s">
        <v>88</v>
      </c>
      <c r="D198" s="166">
        <v>26</v>
      </c>
      <c r="E198" s="172"/>
    </row>
    <row r="199" spans="1:5">
      <c r="A199" s="138" t="s">
        <v>23</v>
      </c>
      <c r="B199" s="138" t="s">
        <v>87</v>
      </c>
      <c r="C199" s="148" t="s">
        <v>123</v>
      </c>
      <c r="D199" s="166">
        <v>44</v>
      </c>
      <c r="E199" s="172"/>
    </row>
    <row r="200" spans="1:5">
      <c r="A200" s="138" t="s">
        <v>23</v>
      </c>
      <c r="B200" s="138" t="s">
        <v>87</v>
      </c>
      <c r="C200" s="148" t="s">
        <v>88</v>
      </c>
      <c r="D200" s="166">
        <v>47</v>
      </c>
      <c r="E200" s="172"/>
    </row>
    <row r="201" spans="1:5">
      <c r="A201" s="138" t="s">
        <v>23</v>
      </c>
      <c r="B201" s="138" t="s">
        <v>87</v>
      </c>
      <c r="C201" s="148" t="s">
        <v>96</v>
      </c>
      <c r="D201" s="166">
        <v>24</v>
      </c>
      <c r="E201" s="172"/>
    </row>
    <row r="202" spans="1:5">
      <c r="A202" s="138" t="s">
        <v>23</v>
      </c>
      <c r="B202" s="138" t="s">
        <v>87</v>
      </c>
      <c r="C202" s="148" t="s">
        <v>94</v>
      </c>
      <c r="D202" s="166">
        <v>23</v>
      </c>
      <c r="E202" s="172"/>
    </row>
    <row r="203" spans="1:5">
      <c r="A203" s="138" t="s">
        <v>23</v>
      </c>
      <c r="B203" s="138" t="s">
        <v>87</v>
      </c>
      <c r="C203" s="148" t="s">
        <v>171</v>
      </c>
      <c r="D203" s="166">
        <v>42</v>
      </c>
      <c r="E203" s="172"/>
    </row>
    <row r="204" spans="1:5">
      <c r="A204" s="138" t="s">
        <v>24</v>
      </c>
      <c r="B204" s="138" t="s">
        <v>87</v>
      </c>
      <c r="C204" s="148" t="s">
        <v>96</v>
      </c>
      <c r="D204" s="166">
        <v>61</v>
      </c>
      <c r="E204" s="172"/>
    </row>
    <row r="205" spans="1:5">
      <c r="A205" s="138" t="s">
        <v>24</v>
      </c>
      <c r="B205" s="138" t="s">
        <v>87</v>
      </c>
      <c r="C205" s="148" t="s">
        <v>88</v>
      </c>
      <c r="D205" s="166">
        <v>20</v>
      </c>
      <c r="E205" s="172"/>
    </row>
    <row r="206" spans="1:5">
      <c r="A206" s="138" t="s">
        <v>24</v>
      </c>
      <c r="B206" s="138" t="s">
        <v>87</v>
      </c>
      <c r="C206" s="148" t="s">
        <v>156</v>
      </c>
      <c r="D206" s="166">
        <v>26</v>
      </c>
      <c r="E206" s="172"/>
    </row>
    <row r="207" spans="1:5">
      <c r="A207" s="138" t="s">
        <v>24</v>
      </c>
      <c r="B207" s="138" t="s">
        <v>87</v>
      </c>
      <c r="C207" s="148" t="s">
        <v>169</v>
      </c>
      <c r="D207" s="166">
        <v>48</v>
      </c>
      <c r="E207" s="172"/>
    </row>
    <row r="208" spans="1:5">
      <c r="A208" s="138" t="s">
        <v>24</v>
      </c>
      <c r="B208" s="138" t="s">
        <v>87</v>
      </c>
      <c r="C208" s="148" t="s">
        <v>88</v>
      </c>
      <c r="D208" s="166">
        <v>58</v>
      </c>
      <c r="E208" s="172"/>
    </row>
    <row r="209" spans="1:5">
      <c r="A209" s="138" t="s">
        <v>24</v>
      </c>
      <c r="B209" s="138" t="s">
        <v>87</v>
      </c>
      <c r="C209" s="148" t="s">
        <v>88</v>
      </c>
      <c r="D209" s="166">
        <v>57</v>
      </c>
      <c r="E209" s="172"/>
    </row>
    <row r="210" spans="1:5">
      <c r="A210" s="138" t="s">
        <v>24</v>
      </c>
      <c r="B210" s="138" t="s">
        <v>87</v>
      </c>
      <c r="C210" s="148" t="s">
        <v>200</v>
      </c>
      <c r="D210" s="166">
        <v>29</v>
      </c>
      <c r="E210" s="172"/>
    </row>
    <row r="211" spans="1:5">
      <c r="A211" s="138" t="s">
        <v>24</v>
      </c>
      <c r="B211" s="138" t="s">
        <v>87</v>
      </c>
      <c r="C211" s="148" t="s">
        <v>88</v>
      </c>
      <c r="D211" s="166">
        <v>49</v>
      </c>
      <c r="E211" s="172"/>
    </row>
    <row r="212" spans="1:5">
      <c r="A212" s="138" t="s">
        <v>24</v>
      </c>
      <c r="B212" s="138" t="s">
        <v>87</v>
      </c>
      <c r="C212" s="148" t="s">
        <v>94</v>
      </c>
      <c r="D212" s="166">
        <v>28</v>
      </c>
      <c r="E212" s="172"/>
    </row>
    <row r="213" spans="1:5">
      <c r="A213" s="138" t="s">
        <v>24</v>
      </c>
      <c r="B213" s="138" t="s">
        <v>87</v>
      </c>
      <c r="C213" s="148" t="s">
        <v>88</v>
      </c>
      <c r="D213" s="166">
        <v>55</v>
      </c>
      <c r="E213" s="172"/>
    </row>
    <row r="214" spans="1:5">
      <c r="A214" s="138" t="s">
        <v>24</v>
      </c>
      <c r="B214" s="138" t="s">
        <v>87</v>
      </c>
      <c r="C214" s="148" t="s">
        <v>189</v>
      </c>
      <c r="D214" s="166">
        <v>37</v>
      </c>
      <c r="E214" s="172"/>
    </row>
    <row r="215" spans="1:5">
      <c r="A215" s="138" t="s">
        <v>24</v>
      </c>
      <c r="B215" s="138" t="s">
        <v>87</v>
      </c>
      <c r="C215" s="147" t="s">
        <v>158</v>
      </c>
      <c r="D215" s="166">
        <v>23</v>
      </c>
      <c r="E215" s="172"/>
    </row>
    <row r="216" spans="1:5">
      <c r="A216" s="138" t="s">
        <v>24</v>
      </c>
      <c r="B216" s="138" t="s">
        <v>87</v>
      </c>
      <c r="C216" s="148" t="s">
        <v>201</v>
      </c>
      <c r="D216" s="166">
        <v>28</v>
      </c>
      <c r="E216" s="172"/>
    </row>
    <row r="217" spans="1:5">
      <c r="A217" s="138" t="s">
        <v>24</v>
      </c>
      <c r="B217" s="138" t="s">
        <v>87</v>
      </c>
      <c r="C217" s="148" t="s">
        <v>95</v>
      </c>
      <c r="D217" s="166">
        <v>26</v>
      </c>
      <c r="E217" s="172"/>
    </row>
    <row r="218" spans="1:5">
      <c r="A218" s="138" t="s">
        <v>24</v>
      </c>
      <c r="B218" s="138" t="s">
        <v>87</v>
      </c>
      <c r="C218" s="148" t="s">
        <v>202</v>
      </c>
      <c r="D218" s="166">
        <v>137</v>
      </c>
      <c r="E218" s="172"/>
    </row>
    <row r="219" spans="1:5">
      <c r="A219" s="138" t="s">
        <v>24</v>
      </c>
      <c r="B219" s="138" t="s">
        <v>87</v>
      </c>
      <c r="C219" s="148" t="s">
        <v>90</v>
      </c>
      <c r="D219" s="166">
        <v>84</v>
      </c>
      <c r="E219" s="172"/>
    </row>
    <row r="220" spans="1:5">
      <c r="A220" s="138" t="s">
        <v>24</v>
      </c>
      <c r="B220" s="138" t="s">
        <v>87</v>
      </c>
      <c r="C220" s="148" t="s">
        <v>96</v>
      </c>
      <c r="D220" s="166">
        <v>40</v>
      </c>
      <c r="E220" s="172"/>
    </row>
    <row r="221" spans="1:5">
      <c r="A221" s="138" t="s">
        <v>24</v>
      </c>
      <c r="B221" s="138" t="s">
        <v>87</v>
      </c>
      <c r="C221" s="148" t="s">
        <v>96</v>
      </c>
      <c r="D221" s="166">
        <v>58</v>
      </c>
      <c r="E221" s="172"/>
    </row>
    <row r="222" spans="1:5">
      <c r="A222" s="138" t="s">
        <v>24</v>
      </c>
      <c r="B222" s="138" t="s">
        <v>87</v>
      </c>
      <c r="C222" s="148" t="s">
        <v>88</v>
      </c>
      <c r="D222" s="166">
        <v>55</v>
      </c>
      <c r="E222" s="172"/>
    </row>
    <row r="223" spans="1:5">
      <c r="A223" s="138" t="s">
        <v>24</v>
      </c>
      <c r="B223" s="138" t="s">
        <v>87</v>
      </c>
      <c r="C223" s="148" t="s">
        <v>166</v>
      </c>
      <c r="D223" s="166">
        <v>38</v>
      </c>
      <c r="E223" s="172"/>
    </row>
    <row r="224" spans="1:5">
      <c r="A224" s="138" t="s">
        <v>24</v>
      </c>
      <c r="B224" s="138" t="s">
        <v>87</v>
      </c>
      <c r="C224" s="148" t="s">
        <v>122</v>
      </c>
      <c r="D224" s="166">
        <v>38</v>
      </c>
      <c r="E224" s="172"/>
    </row>
    <row r="225" spans="1:5">
      <c r="A225" s="138" t="s">
        <v>24</v>
      </c>
      <c r="B225" s="138" t="s">
        <v>87</v>
      </c>
      <c r="C225" s="148" t="s">
        <v>88</v>
      </c>
      <c r="D225" s="166">
        <v>20</v>
      </c>
      <c r="E225" s="172"/>
    </row>
    <row r="226" spans="1:5">
      <c r="A226" s="138" t="s">
        <v>24</v>
      </c>
      <c r="B226" s="138" t="s">
        <v>87</v>
      </c>
      <c r="C226" s="148" t="s">
        <v>88</v>
      </c>
      <c r="D226" s="166">
        <v>61</v>
      </c>
      <c r="E226" s="172"/>
    </row>
    <row r="227" spans="1:5">
      <c r="A227" s="138" t="s">
        <v>24</v>
      </c>
      <c r="B227" s="138" t="s">
        <v>87</v>
      </c>
      <c r="C227" s="148" t="s">
        <v>98</v>
      </c>
      <c r="D227" s="166">
        <v>34</v>
      </c>
      <c r="E227" s="172"/>
    </row>
    <row r="228" spans="1:5">
      <c r="A228" s="138" t="s">
        <v>26</v>
      </c>
      <c r="B228" s="138" t="s">
        <v>87</v>
      </c>
      <c r="C228" s="148" t="s">
        <v>170</v>
      </c>
      <c r="D228" s="166">
        <v>44</v>
      </c>
      <c r="E228" s="172"/>
    </row>
    <row r="229" spans="1:5">
      <c r="A229" s="138" t="s">
        <v>26</v>
      </c>
      <c r="B229" s="138" t="s">
        <v>87</v>
      </c>
      <c r="C229" s="148" t="s">
        <v>88</v>
      </c>
      <c r="D229" s="166">
        <v>52</v>
      </c>
      <c r="E229" s="172"/>
    </row>
    <row r="230" spans="1:5">
      <c r="A230" s="138" t="s">
        <v>26</v>
      </c>
      <c r="B230" s="138" t="s">
        <v>87</v>
      </c>
      <c r="C230" s="148" t="s">
        <v>90</v>
      </c>
      <c r="D230" s="166">
        <v>90</v>
      </c>
      <c r="E230" s="172"/>
    </row>
    <row r="231" spans="1:5">
      <c r="A231" s="138" t="s">
        <v>26</v>
      </c>
      <c r="B231" s="138" t="s">
        <v>87</v>
      </c>
      <c r="C231" s="148" t="s">
        <v>98</v>
      </c>
      <c r="D231" s="166">
        <v>43</v>
      </c>
      <c r="E231" s="172"/>
    </row>
    <row r="232" spans="1:5">
      <c r="A232" s="138" t="s">
        <v>26</v>
      </c>
      <c r="B232" s="138" t="s">
        <v>87</v>
      </c>
      <c r="C232" s="148" t="s">
        <v>184</v>
      </c>
      <c r="D232" s="166">
        <v>36</v>
      </c>
      <c r="E232" s="172"/>
    </row>
    <row r="233" spans="1:5">
      <c r="A233" s="138" t="s">
        <v>26</v>
      </c>
      <c r="B233" s="138" t="s">
        <v>87</v>
      </c>
      <c r="C233" s="148" t="s">
        <v>169</v>
      </c>
      <c r="D233" s="166">
        <v>60</v>
      </c>
      <c r="E233" s="172"/>
    </row>
    <row r="234" spans="1:5">
      <c r="A234" s="138" t="s">
        <v>26</v>
      </c>
      <c r="B234" s="138" t="s">
        <v>87</v>
      </c>
      <c r="C234" s="148" t="s">
        <v>168</v>
      </c>
      <c r="D234" s="166">
        <v>31</v>
      </c>
      <c r="E234" s="172"/>
    </row>
    <row r="235" spans="1:5">
      <c r="A235" s="138" t="s">
        <v>26</v>
      </c>
      <c r="B235" s="138" t="s">
        <v>87</v>
      </c>
      <c r="C235" s="148" t="s">
        <v>98</v>
      </c>
      <c r="D235" s="166">
        <v>29</v>
      </c>
      <c r="E235" s="172"/>
    </row>
    <row r="236" spans="1:5">
      <c r="A236" s="138" t="s">
        <v>26</v>
      </c>
      <c r="B236" s="138" t="s">
        <v>87</v>
      </c>
      <c r="C236" s="148" t="s">
        <v>88</v>
      </c>
      <c r="D236" s="166">
        <v>58</v>
      </c>
      <c r="E236" s="172"/>
    </row>
    <row r="237" spans="1:5">
      <c r="A237" s="138" t="s">
        <v>26</v>
      </c>
      <c r="B237" s="138" t="s">
        <v>87</v>
      </c>
      <c r="C237" s="148" t="s">
        <v>88</v>
      </c>
      <c r="D237" s="166">
        <v>36</v>
      </c>
      <c r="E237" s="172"/>
    </row>
    <row r="238" spans="1:5">
      <c r="A238" s="138" t="s">
        <v>26</v>
      </c>
      <c r="B238" s="138" t="s">
        <v>87</v>
      </c>
      <c r="C238" s="148" t="s">
        <v>203</v>
      </c>
      <c r="D238" s="166">
        <v>30</v>
      </c>
      <c r="E238" s="172"/>
    </row>
    <row r="239" spans="1:5">
      <c r="A239" s="138" t="s">
        <v>26</v>
      </c>
      <c r="B239" s="138" t="s">
        <v>87</v>
      </c>
      <c r="C239" s="148" t="s">
        <v>122</v>
      </c>
      <c r="D239" s="166">
        <v>32</v>
      </c>
      <c r="E239" s="172"/>
    </row>
    <row r="240" spans="1:5">
      <c r="A240" s="138" t="s">
        <v>26</v>
      </c>
      <c r="B240" s="138" t="s">
        <v>87</v>
      </c>
      <c r="C240" s="148" t="s">
        <v>94</v>
      </c>
      <c r="D240" s="166">
        <v>37</v>
      </c>
      <c r="E240" s="172"/>
    </row>
    <row r="241" spans="1:5">
      <c r="A241" s="138" t="s">
        <v>26</v>
      </c>
      <c r="B241" s="138" t="s">
        <v>87</v>
      </c>
      <c r="C241" s="148" t="s">
        <v>88</v>
      </c>
      <c r="D241" s="166">
        <v>48</v>
      </c>
      <c r="E241" s="172"/>
    </row>
    <row r="242" spans="1:5">
      <c r="A242" s="138" t="s">
        <v>26</v>
      </c>
      <c r="B242" s="138" t="s">
        <v>87</v>
      </c>
      <c r="C242" s="148" t="s">
        <v>119</v>
      </c>
      <c r="D242" s="166">
        <v>61</v>
      </c>
      <c r="E242" s="172"/>
    </row>
    <row r="243" spans="1:5">
      <c r="A243" s="138" t="s">
        <v>26</v>
      </c>
      <c r="B243" s="138" t="s">
        <v>87</v>
      </c>
      <c r="C243" s="148" t="s">
        <v>168</v>
      </c>
      <c r="D243" s="166">
        <v>38</v>
      </c>
      <c r="E243" s="172"/>
    </row>
    <row r="244" spans="1:5">
      <c r="A244" s="138" t="s">
        <v>26</v>
      </c>
      <c r="B244" s="138" t="s">
        <v>87</v>
      </c>
      <c r="C244" s="148" t="s">
        <v>88</v>
      </c>
      <c r="D244" s="166">
        <v>63</v>
      </c>
      <c r="E244" s="172"/>
    </row>
    <row r="245" spans="1:5">
      <c r="A245" s="138" t="s">
        <v>26</v>
      </c>
      <c r="B245" s="138" t="s">
        <v>87</v>
      </c>
      <c r="C245" s="148" t="s">
        <v>119</v>
      </c>
      <c r="D245" s="166">
        <v>51</v>
      </c>
      <c r="E245" s="172"/>
    </row>
    <row r="246" spans="1:5">
      <c r="A246" s="138" t="s">
        <v>26</v>
      </c>
      <c r="B246" s="138" t="s">
        <v>87</v>
      </c>
      <c r="C246" s="148" t="s">
        <v>88</v>
      </c>
      <c r="D246" s="166">
        <v>40</v>
      </c>
      <c r="E246" s="172"/>
    </row>
    <row r="247" spans="1:5">
      <c r="A247" s="138" t="s">
        <v>26</v>
      </c>
      <c r="B247" s="138" t="s">
        <v>87</v>
      </c>
      <c r="C247" s="148" t="s">
        <v>88</v>
      </c>
      <c r="D247" s="166">
        <v>44</v>
      </c>
      <c r="E247" s="172"/>
    </row>
    <row r="248" spans="1:5">
      <c r="A248" s="138" t="s">
        <v>26</v>
      </c>
      <c r="B248" s="138" t="s">
        <v>87</v>
      </c>
      <c r="C248" s="148" t="s">
        <v>204</v>
      </c>
      <c r="D248" s="166">
        <v>76</v>
      </c>
      <c r="E248" s="172"/>
    </row>
    <row r="249" spans="1:5">
      <c r="A249" s="138" t="s">
        <v>26</v>
      </c>
      <c r="B249" s="138" t="s">
        <v>87</v>
      </c>
      <c r="C249" s="148" t="s">
        <v>168</v>
      </c>
      <c r="D249" s="166">
        <v>25</v>
      </c>
      <c r="E249" s="172"/>
    </row>
    <row r="250" spans="1:5">
      <c r="A250" s="138" t="s">
        <v>26</v>
      </c>
      <c r="B250" s="138" t="s">
        <v>87</v>
      </c>
      <c r="C250" s="148" t="s">
        <v>205</v>
      </c>
      <c r="D250" s="166">
        <v>43</v>
      </c>
      <c r="E250" s="172"/>
    </row>
    <row r="251" spans="1:5">
      <c r="A251" s="138" t="s">
        <v>26</v>
      </c>
      <c r="B251" s="138" t="s">
        <v>87</v>
      </c>
      <c r="C251" s="148" t="s">
        <v>169</v>
      </c>
      <c r="D251" s="166">
        <v>51</v>
      </c>
      <c r="E251" s="172"/>
    </row>
    <row r="252" spans="1:5">
      <c r="A252" s="138" t="s">
        <v>26</v>
      </c>
      <c r="B252" s="138" t="s">
        <v>87</v>
      </c>
      <c r="C252" s="148" t="s">
        <v>170</v>
      </c>
      <c r="D252" s="166">
        <v>28</v>
      </c>
      <c r="E252" s="172"/>
    </row>
    <row r="253" spans="1:5">
      <c r="A253" s="138" t="s">
        <v>25</v>
      </c>
      <c r="B253" s="138" t="s">
        <v>87</v>
      </c>
      <c r="C253" s="148" t="s">
        <v>90</v>
      </c>
      <c r="D253" s="166">
        <v>58</v>
      </c>
      <c r="E253" s="172"/>
    </row>
    <row r="254" spans="1:5">
      <c r="A254" s="138" t="s">
        <v>25</v>
      </c>
      <c r="B254" s="138" t="s">
        <v>87</v>
      </c>
      <c r="C254" s="148" t="s">
        <v>88</v>
      </c>
      <c r="D254" s="166">
        <v>26</v>
      </c>
      <c r="E254" s="172"/>
    </row>
    <row r="255" spans="1:5">
      <c r="A255" s="138" t="s">
        <v>25</v>
      </c>
      <c r="B255" s="138" t="s">
        <v>87</v>
      </c>
      <c r="C255" s="148" t="s">
        <v>90</v>
      </c>
      <c r="D255" s="166">
        <v>65</v>
      </c>
      <c r="E255" s="172"/>
    </row>
    <row r="256" spans="1:5">
      <c r="A256" s="138" t="s">
        <v>25</v>
      </c>
      <c r="B256" s="138" t="s">
        <v>87</v>
      </c>
      <c r="C256" s="148" t="s">
        <v>119</v>
      </c>
      <c r="D256" s="166">
        <v>77</v>
      </c>
      <c r="E256" s="172"/>
    </row>
    <row r="257" spans="1:5">
      <c r="A257" s="138" t="s">
        <v>25</v>
      </c>
      <c r="B257" s="138" t="s">
        <v>87</v>
      </c>
      <c r="C257" s="148" t="s">
        <v>90</v>
      </c>
      <c r="D257" s="166">
        <v>56</v>
      </c>
      <c r="E257" s="172"/>
    </row>
    <row r="258" spans="1:5">
      <c r="A258" s="138" t="s">
        <v>25</v>
      </c>
      <c r="B258" s="138" t="s">
        <v>87</v>
      </c>
      <c r="C258" s="148" t="s">
        <v>90</v>
      </c>
      <c r="D258" s="166">
        <v>57</v>
      </c>
      <c r="E258" s="172"/>
    </row>
    <row r="259" spans="1:5">
      <c r="A259" s="138" t="s">
        <v>25</v>
      </c>
      <c r="B259" s="138" t="s">
        <v>87</v>
      </c>
      <c r="C259" s="148" t="s">
        <v>94</v>
      </c>
      <c r="D259" s="166">
        <v>25</v>
      </c>
      <c r="E259" s="172"/>
    </row>
    <row r="260" spans="1:5">
      <c r="A260" s="138" t="s">
        <v>25</v>
      </c>
      <c r="B260" s="138" t="s">
        <v>87</v>
      </c>
      <c r="C260" s="148" t="s">
        <v>206</v>
      </c>
      <c r="D260" s="166">
        <v>40</v>
      </c>
      <c r="E260" s="172"/>
    </row>
    <row r="261" spans="1:5">
      <c r="A261" s="138" t="s">
        <v>25</v>
      </c>
      <c r="B261" s="138" t="s">
        <v>87</v>
      </c>
      <c r="C261" s="148" t="s">
        <v>171</v>
      </c>
      <c r="D261" s="166">
        <v>20</v>
      </c>
      <c r="E261" s="172"/>
    </row>
    <row r="262" spans="1:5">
      <c r="A262" s="138" t="s">
        <v>25</v>
      </c>
      <c r="B262" s="138" t="s">
        <v>87</v>
      </c>
      <c r="C262" s="148" t="s">
        <v>171</v>
      </c>
      <c r="D262" s="166">
        <v>20</v>
      </c>
      <c r="E262" s="172"/>
    </row>
    <row r="263" spans="1:5">
      <c r="A263" s="138" t="s">
        <v>25</v>
      </c>
      <c r="B263" s="138" t="s">
        <v>87</v>
      </c>
      <c r="C263" s="148" t="s">
        <v>90</v>
      </c>
      <c r="D263" s="166">
        <v>45</v>
      </c>
      <c r="E263" s="172"/>
    </row>
    <row r="264" spans="1:5">
      <c r="A264" s="138" t="s">
        <v>25</v>
      </c>
      <c r="B264" s="138" t="s">
        <v>87</v>
      </c>
      <c r="C264" s="148" t="s">
        <v>90</v>
      </c>
      <c r="D264" s="166">
        <v>46</v>
      </c>
      <c r="E264" s="172"/>
    </row>
    <row r="265" spans="1:5">
      <c r="A265" s="138" t="s">
        <v>25</v>
      </c>
      <c r="B265" s="138" t="s">
        <v>87</v>
      </c>
      <c r="C265" s="148" t="s">
        <v>207</v>
      </c>
      <c r="D265" s="166">
        <v>22</v>
      </c>
      <c r="E265" s="172"/>
    </row>
    <row r="266" spans="1:5">
      <c r="A266" s="138" t="s">
        <v>25</v>
      </c>
      <c r="B266" s="138" t="s">
        <v>87</v>
      </c>
      <c r="C266" s="148" t="s">
        <v>88</v>
      </c>
      <c r="D266" s="166">
        <v>52</v>
      </c>
      <c r="E266" s="172"/>
    </row>
    <row r="267" spans="1:5">
      <c r="A267" s="138" t="s">
        <v>25</v>
      </c>
      <c r="B267" s="138" t="s">
        <v>87</v>
      </c>
      <c r="C267" s="148" t="s">
        <v>88</v>
      </c>
      <c r="D267" s="166">
        <v>38</v>
      </c>
      <c r="E267" s="172"/>
    </row>
    <row r="268" spans="1:5">
      <c r="A268" s="138" t="s">
        <v>25</v>
      </c>
      <c r="B268" s="138" t="s">
        <v>87</v>
      </c>
      <c r="C268" s="148" t="s">
        <v>88</v>
      </c>
      <c r="D268" s="166">
        <v>45</v>
      </c>
      <c r="E268" s="172"/>
    </row>
    <row r="269" spans="1:5">
      <c r="A269" s="138" t="s">
        <v>25</v>
      </c>
      <c r="B269" s="138" t="s">
        <v>87</v>
      </c>
      <c r="C269" s="148" t="s">
        <v>88</v>
      </c>
      <c r="D269" s="166">
        <v>34</v>
      </c>
      <c r="E269" s="172"/>
    </row>
    <row r="270" spans="1:5">
      <c r="A270" s="138" t="s">
        <v>25</v>
      </c>
      <c r="B270" s="138" t="s">
        <v>87</v>
      </c>
      <c r="C270" s="148" t="s">
        <v>90</v>
      </c>
      <c r="D270" s="166">
        <v>32</v>
      </c>
      <c r="E270" s="172"/>
    </row>
    <row r="271" spans="1:5">
      <c r="A271" s="138" t="s">
        <v>25</v>
      </c>
      <c r="B271" s="138" t="s">
        <v>87</v>
      </c>
      <c r="C271" s="148" t="s">
        <v>88</v>
      </c>
      <c r="D271" s="166">
        <v>35</v>
      </c>
      <c r="E271" s="172"/>
    </row>
    <row r="272" spans="1:5">
      <c r="A272" s="138" t="s">
        <v>25</v>
      </c>
      <c r="B272" s="138" t="s">
        <v>87</v>
      </c>
      <c r="C272" s="148" t="s">
        <v>95</v>
      </c>
      <c r="D272" s="166">
        <v>45</v>
      </c>
      <c r="E272" s="172"/>
    </row>
    <row r="273" spans="1:5">
      <c r="A273" s="138" t="s">
        <v>25</v>
      </c>
      <c r="B273" s="138" t="s">
        <v>87</v>
      </c>
      <c r="C273" s="148" t="s">
        <v>95</v>
      </c>
      <c r="D273" s="166">
        <v>41</v>
      </c>
      <c r="E273" s="172"/>
    </row>
    <row r="274" spans="1:5">
      <c r="A274" s="138" t="s">
        <v>25</v>
      </c>
      <c r="B274" s="138" t="s">
        <v>87</v>
      </c>
      <c r="C274" s="148" t="s">
        <v>88</v>
      </c>
      <c r="D274" s="166">
        <v>22</v>
      </c>
      <c r="E274" s="172"/>
    </row>
    <row r="275" spans="1:5">
      <c r="A275" s="138" t="s">
        <v>25</v>
      </c>
      <c r="B275" s="138" t="s">
        <v>87</v>
      </c>
      <c r="C275" s="148" t="s">
        <v>208</v>
      </c>
      <c r="D275" s="166">
        <v>21</v>
      </c>
      <c r="E275" s="172"/>
    </row>
    <row r="276" spans="1:5">
      <c r="A276" s="138" t="s">
        <v>25</v>
      </c>
      <c r="B276" s="138" t="s">
        <v>87</v>
      </c>
      <c r="C276" s="148" t="s">
        <v>119</v>
      </c>
      <c r="D276" s="166">
        <v>54</v>
      </c>
      <c r="E276" s="172"/>
    </row>
    <row r="277" spans="1:5">
      <c r="A277" s="138" t="s">
        <v>25</v>
      </c>
      <c r="B277" s="138" t="s">
        <v>87</v>
      </c>
      <c r="C277" s="148" t="s">
        <v>209</v>
      </c>
      <c r="D277" s="166">
        <v>25</v>
      </c>
      <c r="E277" s="172"/>
    </row>
    <row r="278" spans="1:5">
      <c r="A278" s="138" t="s">
        <v>25</v>
      </c>
      <c r="B278" s="138" t="s">
        <v>87</v>
      </c>
      <c r="C278" s="148" t="s">
        <v>96</v>
      </c>
      <c r="D278" s="166">
        <v>81</v>
      </c>
      <c r="E278" s="172"/>
    </row>
    <row r="279" spans="1:5">
      <c r="A279" s="138" t="s">
        <v>25</v>
      </c>
      <c r="B279" s="138" t="s">
        <v>87</v>
      </c>
      <c r="C279" s="148" t="s">
        <v>137</v>
      </c>
      <c r="D279" s="166">
        <v>33</v>
      </c>
      <c r="E279" s="172"/>
    </row>
    <row r="280" spans="1:5">
      <c r="A280" s="138" t="s">
        <v>25</v>
      </c>
      <c r="B280" s="138" t="s">
        <v>87</v>
      </c>
      <c r="C280" s="148" t="s">
        <v>210</v>
      </c>
      <c r="D280" s="166">
        <v>27.5</v>
      </c>
      <c r="E280" s="172"/>
    </row>
    <row r="281" spans="1:5">
      <c r="A281" s="138" t="s">
        <v>25</v>
      </c>
      <c r="B281" s="138" t="s">
        <v>87</v>
      </c>
      <c r="C281" s="148" t="s">
        <v>88</v>
      </c>
      <c r="D281" s="166">
        <v>53</v>
      </c>
      <c r="E281" s="172"/>
    </row>
    <row r="282" spans="1:5">
      <c r="A282" s="138" t="s">
        <v>25</v>
      </c>
      <c r="B282" s="138" t="s">
        <v>87</v>
      </c>
      <c r="C282" s="148" t="s">
        <v>88</v>
      </c>
      <c r="D282" s="166">
        <v>44</v>
      </c>
      <c r="E282" s="172"/>
    </row>
    <row r="283" spans="1:5">
      <c r="A283" s="138" t="s">
        <v>25</v>
      </c>
      <c r="B283" s="138" t="s">
        <v>87</v>
      </c>
      <c r="C283" s="148" t="s">
        <v>124</v>
      </c>
      <c r="D283" s="166">
        <v>36</v>
      </c>
      <c r="E283" s="172"/>
    </row>
    <row r="284" spans="1:5">
      <c r="A284" s="138" t="s">
        <v>25</v>
      </c>
      <c r="B284" s="138" t="s">
        <v>87</v>
      </c>
      <c r="C284" s="148" t="s">
        <v>88</v>
      </c>
      <c r="D284" s="166">
        <v>55</v>
      </c>
      <c r="E284" s="172"/>
    </row>
    <row r="285" spans="1:5"/>
    <row r="286" spans="1:5"/>
    <row r="287" spans="1:5"/>
    <row r="288" spans="1:5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P1:P1048576"/>
  <sortState ref="R2:V1048576">
    <sortCondition ref="U1"/>
  </sortState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17"/>
  <sheetViews>
    <sheetView workbookViewId="0">
      <selection activeCell="M6" sqref="M6"/>
    </sheetView>
  </sheetViews>
  <sheetFormatPr defaultRowHeight="15"/>
  <cols>
    <col min="1" max="1" width="14.28515625" bestFit="1" customWidth="1"/>
    <col min="2" max="2" width="16.28515625" bestFit="1" customWidth="1"/>
    <col min="3" max="3" width="21.5703125" bestFit="1" customWidth="1"/>
    <col min="5" max="5" width="14.28515625" bestFit="1" customWidth="1"/>
    <col min="6" max="6" width="15.42578125" bestFit="1" customWidth="1"/>
    <col min="7" max="7" width="21.85546875" bestFit="1" customWidth="1"/>
  </cols>
  <sheetData>
    <row r="1" spans="1:7">
      <c r="A1" s="209"/>
      <c r="B1" s="209"/>
      <c r="C1" s="209"/>
      <c r="E1" s="209"/>
      <c r="F1" s="209"/>
      <c r="G1" s="209"/>
    </row>
    <row r="2" spans="1:7">
      <c r="A2" t="s">
        <v>130</v>
      </c>
      <c r="B2" t="s">
        <v>131</v>
      </c>
      <c r="C2" t="s">
        <v>211</v>
      </c>
      <c r="E2" s="111"/>
      <c r="F2" s="112"/>
      <c r="G2" s="112"/>
    </row>
    <row r="3" spans="1:7">
      <c r="A3" s="131" t="s">
        <v>212</v>
      </c>
      <c r="B3">
        <v>7</v>
      </c>
      <c r="C3">
        <v>1</v>
      </c>
      <c r="E3" s="106"/>
    </row>
    <row r="4" spans="1:7">
      <c r="A4" s="131" t="s">
        <v>213</v>
      </c>
      <c r="B4">
        <v>27</v>
      </c>
      <c r="C4">
        <v>13</v>
      </c>
      <c r="E4" s="106"/>
    </row>
    <row r="5" spans="1:7">
      <c r="A5" s="131" t="s">
        <v>214</v>
      </c>
      <c r="B5">
        <v>14</v>
      </c>
      <c r="C5">
        <v>9</v>
      </c>
      <c r="E5" s="106"/>
    </row>
    <row r="6" spans="1:7">
      <c r="A6" t="s">
        <v>215</v>
      </c>
      <c r="B6">
        <v>128</v>
      </c>
      <c r="C6">
        <v>58</v>
      </c>
      <c r="D6" s="186"/>
    </row>
    <row r="7" spans="1:7">
      <c r="A7" t="s">
        <v>134</v>
      </c>
      <c r="B7">
        <v>92</v>
      </c>
      <c r="C7">
        <v>34</v>
      </c>
    </row>
    <row r="8" spans="1:7">
      <c r="A8" t="s">
        <v>136</v>
      </c>
      <c r="B8">
        <v>93</v>
      </c>
      <c r="C8">
        <v>6</v>
      </c>
    </row>
    <row r="9" spans="1:7">
      <c r="A9" t="s">
        <v>138</v>
      </c>
      <c r="B9">
        <v>68</v>
      </c>
      <c r="C9">
        <v>0</v>
      </c>
    </row>
    <row r="10" spans="1:7">
      <c r="A10" t="s">
        <v>140</v>
      </c>
      <c r="B10">
        <v>27</v>
      </c>
      <c r="C10">
        <v>0</v>
      </c>
    </row>
    <row r="11" spans="1:7">
      <c r="A11" t="s">
        <v>142</v>
      </c>
      <c r="B11">
        <v>12</v>
      </c>
      <c r="C11">
        <v>0</v>
      </c>
    </row>
    <row r="12" spans="1:7">
      <c r="A12" t="s">
        <v>144</v>
      </c>
      <c r="B12">
        <v>8</v>
      </c>
      <c r="C12">
        <v>0</v>
      </c>
    </row>
    <row r="13" spans="1:7">
      <c r="A13" t="s">
        <v>146</v>
      </c>
      <c r="B13">
        <v>0</v>
      </c>
      <c r="C13">
        <v>0</v>
      </c>
    </row>
    <row r="14" spans="1:7">
      <c r="A14" t="s">
        <v>147</v>
      </c>
      <c r="B14">
        <v>0</v>
      </c>
      <c r="C14">
        <v>0</v>
      </c>
    </row>
    <row r="15" spans="1:7">
      <c r="A15" t="s">
        <v>149</v>
      </c>
      <c r="B15">
        <v>0</v>
      </c>
      <c r="C15">
        <v>0</v>
      </c>
    </row>
    <row r="16" spans="1:7">
      <c r="A16" t="s">
        <v>151</v>
      </c>
      <c r="B16">
        <v>0</v>
      </c>
      <c r="C16">
        <v>0</v>
      </c>
    </row>
    <row r="17" spans="1:3">
      <c r="A17" t="s">
        <v>152</v>
      </c>
      <c r="B17">
        <v>1</v>
      </c>
      <c r="C17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5"/>
  <sheetViews>
    <sheetView topLeftCell="B19" zoomScale="70" zoomScaleNormal="70" workbookViewId="0">
      <selection activeCell="T4" sqref="T4"/>
    </sheetView>
  </sheetViews>
  <sheetFormatPr defaultRowHeight="15"/>
  <cols>
    <col min="1" max="1" width="17.7109375" style="80" customWidth="1"/>
    <col min="2" max="2" width="10.85546875" style="80" bestFit="1" customWidth="1"/>
    <col min="3" max="3" width="22.85546875" style="80" customWidth="1"/>
    <col min="4" max="4" width="15.7109375" style="80" customWidth="1"/>
    <col min="5" max="5" width="7" style="80" customWidth="1"/>
    <col min="6" max="7" width="9.140625" style="80"/>
    <col min="8" max="8" width="14.7109375" style="80" bestFit="1" customWidth="1"/>
    <col min="9" max="9" width="15" style="80" bestFit="1" customWidth="1"/>
    <col min="10" max="10" width="26" style="80" bestFit="1" customWidth="1"/>
    <col min="11" max="11" width="12.28515625" style="80" bestFit="1" customWidth="1"/>
    <col min="12" max="14" width="9.140625" style="80"/>
    <col min="15" max="15" width="21.140625" style="80" bestFit="1" customWidth="1"/>
    <col min="16" max="16" width="10.85546875" bestFit="1" customWidth="1"/>
    <col min="17" max="17" width="30.42578125" bestFit="1" customWidth="1"/>
    <col min="18" max="18" width="13.85546875" style="80" bestFit="1" customWidth="1"/>
    <col min="19" max="16384" width="9.140625" style="80"/>
  </cols>
  <sheetData>
    <row r="1" spans="1:20">
      <c r="A1" s="182" t="s">
        <v>216</v>
      </c>
      <c r="B1" s="182" t="s">
        <v>217</v>
      </c>
      <c r="C1" s="182"/>
      <c r="F1" s="182"/>
      <c r="G1" s="182"/>
      <c r="H1" s="182" t="s">
        <v>218</v>
      </c>
      <c r="I1" s="182" t="s">
        <v>219</v>
      </c>
      <c r="J1" s="182"/>
      <c r="K1" s="182"/>
      <c r="L1" s="182"/>
      <c r="M1" s="182"/>
      <c r="N1" s="182"/>
      <c r="O1" s="182" t="s">
        <v>220</v>
      </c>
      <c r="P1" s="182" t="s">
        <v>219</v>
      </c>
      <c r="Q1" s="182"/>
      <c r="R1" s="182" t="s">
        <v>221</v>
      </c>
    </row>
    <row r="2" spans="1:20">
      <c r="A2" s="190" t="s">
        <v>222</v>
      </c>
      <c r="B2" s="189" t="s">
        <v>223</v>
      </c>
      <c r="C2" s="189" t="s">
        <v>224</v>
      </c>
      <c r="D2" s="189" t="s">
        <v>225</v>
      </c>
      <c r="E2" s="189" t="s">
        <v>221</v>
      </c>
      <c r="F2" s="189" t="s">
        <v>226</v>
      </c>
      <c r="H2" s="182" t="s">
        <v>227</v>
      </c>
      <c r="I2" s="189" t="s">
        <v>223</v>
      </c>
      <c r="J2" s="189" t="s">
        <v>224</v>
      </c>
      <c r="K2" s="189" t="s">
        <v>225</v>
      </c>
      <c r="L2" s="189" t="s">
        <v>221</v>
      </c>
      <c r="M2" s="189" t="s">
        <v>226</v>
      </c>
      <c r="O2" s="182" t="s">
        <v>228</v>
      </c>
      <c r="P2" s="189" t="s">
        <v>223</v>
      </c>
      <c r="Q2" s="189" t="s">
        <v>224</v>
      </c>
      <c r="R2" s="189" t="s">
        <v>225</v>
      </c>
      <c r="S2" s="189" t="s">
        <v>221</v>
      </c>
      <c r="T2" s="189" t="s">
        <v>226</v>
      </c>
    </row>
    <row r="3" spans="1:20">
      <c r="A3" s="43" t="s">
        <v>229</v>
      </c>
      <c r="B3" s="191" t="s">
        <v>230</v>
      </c>
      <c r="C3" s="195" t="s">
        <v>231</v>
      </c>
      <c r="D3" s="191" t="s">
        <v>232</v>
      </c>
      <c r="E3" s="200">
        <f t="shared" ref="E3:E13" si="0">COUNTIF($A$3:$A$285,B3)</f>
        <v>85</v>
      </c>
      <c r="F3" s="194">
        <f>E3/283*100</f>
        <v>30.03533568904594</v>
      </c>
      <c r="H3" s="96" t="s">
        <v>230</v>
      </c>
      <c r="I3" s="191" t="s">
        <v>230</v>
      </c>
      <c r="J3" s="195" t="s">
        <v>231</v>
      </c>
      <c r="K3" s="191" t="s">
        <v>232</v>
      </c>
      <c r="L3" s="193">
        <f>COUNTIF($H$3:$H$100,I3)</f>
        <v>76</v>
      </c>
      <c r="M3" s="193">
        <f>L3/98*100</f>
        <v>77.551020408163268</v>
      </c>
      <c r="O3" s="43" t="s">
        <v>229</v>
      </c>
      <c r="P3" s="198" t="s">
        <v>233</v>
      </c>
      <c r="Q3" s="199" t="s">
        <v>234</v>
      </c>
      <c r="R3" s="193" t="s">
        <v>235</v>
      </c>
      <c r="S3" s="193">
        <f t="shared" ref="S3:S8" si="1">COUNTIF($O$3:$O$148,P3)</f>
        <v>15</v>
      </c>
      <c r="T3" s="194">
        <f>S3/146*100</f>
        <v>10.273972602739725</v>
      </c>
    </row>
    <row r="4" spans="1:20">
      <c r="A4" s="43" t="s">
        <v>229</v>
      </c>
      <c r="B4" s="191" t="s">
        <v>236</v>
      </c>
      <c r="C4" s="195" t="s">
        <v>237</v>
      </c>
      <c r="D4" s="191" t="s">
        <v>238</v>
      </c>
      <c r="E4" s="200">
        <f t="shared" si="0"/>
        <v>28</v>
      </c>
      <c r="F4" s="194">
        <f t="shared" ref="F4:F13" si="2">E4/283*100</f>
        <v>9.8939929328621901</v>
      </c>
      <c r="H4" s="96" t="s">
        <v>230</v>
      </c>
      <c r="I4" s="196" t="s">
        <v>239</v>
      </c>
      <c r="J4" s="197" t="s">
        <v>240</v>
      </c>
      <c r="K4" s="196" t="s">
        <v>241</v>
      </c>
      <c r="L4" s="193">
        <f>COUNTIF($H$3:$H$100,I4)</f>
        <v>10</v>
      </c>
      <c r="M4" s="193">
        <f t="shared" ref="M4:M5" si="3">L4/98*100</f>
        <v>10.204081632653061</v>
      </c>
      <c r="O4" s="43" t="s">
        <v>229</v>
      </c>
      <c r="P4" s="191" t="s">
        <v>230</v>
      </c>
      <c r="Q4" s="195" t="s">
        <v>231</v>
      </c>
      <c r="R4" s="191" t="s">
        <v>232</v>
      </c>
      <c r="S4" s="193">
        <f t="shared" si="1"/>
        <v>30</v>
      </c>
      <c r="T4" s="194">
        <f t="shared" ref="T4:T8" si="4">S4/146*100</f>
        <v>20.547945205479451</v>
      </c>
    </row>
    <row r="5" spans="1:20">
      <c r="A5" s="43" t="s">
        <v>229</v>
      </c>
      <c r="B5" s="191" t="s">
        <v>242</v>
      </c>
      <c r="C5" s="195" t="s">
        <v>243</v>
      </c>
      <c r="D5" s="191" t="s">
        <v>244</v>
      </c>
      <c r="E5" s="200">
        <f t="shared" si="0"/>
        <v>20</v>
      </c>
      <c r="F5" s="194">
        <f t="shared" si="2"/>
        <v>7.0671378091872796</v>
      </c>
      <c r="H5" s="96" t="s">
        <v>230</v>
      </c>
      <c r="I5" s="198" t="s">
        <v>245</v>
      </c>
      <c r="J5" s="195" t="s">
        <v>246</v>
      </c>
      <c r="K5" s="191" t="s">
        <v>247</v>
      </c>
      <c r="L5" s="193">
        <f>COUNTIF($H$3:$H$100,I5)</f>
        <v>11</v>
      </c>
      <c r="M5" s="193">
        <f t="shared" si="3"/>
        <v>11.224489795918368</v>
      </c>
      <c r="O5" s="43" t="s">
        <v>229</v>
      </c>
      <c r="P5" s="201" t="s">
        <v>248</v>
      </c>
      <c r="Q5" s="199" t="s">
        <v>181</v>
      </c>
      <c r="R5" s="193" t="s">
        <v>249</v>
      </c>
      <c r="S5" s="193">
        <f t="shared" si="1"/>
        <v>12</v>
      </c>
      <c r="T5" s="194">
        <f t="shared" si="4"/>
        <v>8.2191780821917799</v>
      </c>
    </row>
    <row r="6" spans="1:20">
      <c r="A6" s="43" t="s">
        <v>229</v>
      </c>
      <c r="B6" s="191" t="s">
        <v>250</v>
      </c>
      <c r="C6" s="195" t="s">
        <v>251</v>
      </c>
      <c r="D6" s="191" t="s">
        <v>252</v>
      </c>
      <c r="E6" s="200">
        <f t="shared" si="0"/>
        <v>14</v>
      </c>
      <c r="F6" s="194">
        <f t="shared" si="2"/>
        <v>4.946996466431095</v>
      </c>
      <c r="H6" s="96" t="s">
        <v>230</v>
      </c>
      <c r="I6" s="96"/>
      <c r="J6" s="96"/>
      <c r="K6" s="96"/>
      <c r="O6" s="43" t="s">
        <v>229</v>
      </c>
      <c r="P6" s="198" t="s">
        <v>236</v>
      </c>
      <c r="Q6" s="199" t="s">
        <v>90</v>
      </c>
      <c r="R6" s="193" t="s">
        <v>238</v>
      </c>
      <c r="S6" s="193">
        <f t="shared" si="1"/>
        <v>8</v>
      </c>
      <c r="T6" s="194">
        <f t="shared" si="4"/>
        <v>5.4794520547945202</v>
      </c>
    </row>
    <row r="7" spans="1:20">
      <c r="A7" s="43" t="s">
        <v>229</v>
      </c>
      <c r="B7" s="191" t="s">
        <v>253</v>
      </c>
      <c r="C7" s="195" t="s">
        <v>254</v>
      </c>
      <c r="D7" s="191" t="s">
        <v>255</v>
      </c>
      <c r="E7" s="200">
        <f t="shared" si="0"/>
        <v>12</v>
      </c>
      <c r="F7" s="194">
        <f t="shared" si="2"/>
        <v>4.2402826855123674</v>
      </c>
      <c r="H7" s="96" t="s">
        <v>230</v>
      </c>
      <c r="I7" s="96"/>
      <c r="J7" s="96"/>
      <c r="K7" s="96"/>
      <c r="O7" s="184" t="s">
        <v>256</v>
      </c>
      <c r="P7" s="198" t="s">
        <v>245</v>
      </c>
      <c r="Q7" s="195" t="s">
        <v>246</v>
      </c>
      <c r="R7" s="191" t="s">
        <v>247</v>
      </c>
      <c r="S7" s="193">
        <f t="shared" si="1"/>
        <v>7</v>
      </c>
      <c r="T7" s="194">
        <f t="shared" si="4"/>
        <v>4.7945205479452051</v>
      </c>
    </row>
    <row r="8" spans="1:20">
      <c r="A8" s="43" t="s">
        <v>257</v>
      </c>
      <c r="B8" s="191" t="s">
        <v>258</v>
      </c>
      <c r="C8" s="195" t="s">
        <v>259</v>
      </c>
      <c r="D8" s="191" t="s">
        <v>238</v>
      </c>
      <c r="E8" s="200">
        <f t="shared" si="0"/>
        <v>11</v>
      </c>
      <c r="F8" s="194">
        <f t="shared" si="2"/>
        <v>3.8869257950530036</v>
      </c>
      <c r="H8" s="96" t="s">
        <v>230</v>
      </c>
      <c r="I8" s="96"/>
      <c r="J8" s="96"/>
      <c r="K8" s="96"/>
      <c r="O8" s="43" t="s">
        <v>260</v>
      </c>
      <c r="P8" s="198" t="s">
        <v>261</v>
      </c>
      <c r="Q8" s="202" t="s">
        <v>262</v>
      </c>
      <c r="R8" s="193" t="s">
        <v>263</v>
      </c>
      <c r="S8" s="193">
        <f t="shared" si="1"/>
        <v>6</v>
      </c>
      <c r="T8" s="194">
        <f t="shared" si="4"/>
        <v>4.10958904109589</v>
      </c>
    </row>
    <row r="9" spans="1:20">
      <c r="A9" s="43" t="s">
        <v>253</v>
      </c>
      <c r="B9" s="198" t="s">
        <v>264</v>
      </c>
      <c r="C9" s="192" t="s">
        <v>183</v>
      </c>
      <c r="D9" s="193" t="s">
        <v>241</v>
      </c>
      <c r="E9" s="200">
        <f t="shared" si="0"/>
        <v>11</v>
      </c>
      <c r="F9" s="194">
        <f t="shared" si="2"/>
        <v>3.8869257950530036</v>
      </c>
      <c r="H9" s="96" t="s">
        <v>230</v>
      </c>
      <c r="I9" s="96"/>
      <c r="J9" s="96"/>
      <c r="K9" s="96"/>
      <c r="O9" s="43" t="s">
        <v>260</v>
      </c>
    </row>
    <row r="10" spans="1:20">
      <c r="A10" s="43" t="s">
        <v>253</v>
      </c>
      <c r="B10" s="191" t="s">
        <v>265</v>
      </c>
      <c r="C10" s="195" t="s">
        <v>266</v>
      </c>
      <c r="D10" s="191" t="s">
        <v>267</v>
      </c>
      <c r="E10" s="200">
        <f t="shared" si="0"/>
        <v>10</v>
      </c>
      <c r="F10" s="194">
        <f t="shared" si="2"/>
        <v>3.5335689045936398</v>
      </c>
      <c r="H10" s="96" t="s">
        <v>230</v>
      </c>
      <c r="I10" s="96"/>
      <c r="J10" s="96"/>
      <c r="K10" s="96"/>
      <c r="O10" s="43" t="s">
        <v>260</v>
      </c>
    </row>
    <row r="11" spans="1:20">
      <c r="A11" s="43" t="s">
        <v>253</v>
      </c>
      <c r="B11" s="191" t="s">
        <v>268</v>
      </c>
      <c r="C11" s="195" t="s">
        <v>269</v>
      </c>
      <c r="D11" s="191" t="s">
        <v>241</v>
      </c>
      <c r="E11" s="200">
        <f t="shared" si="0"/>
        <v>10</v>
      </c>
      <c r="F11" s="194">
        <f t="shared" si="2"/>
        <v>3.5335689045936398</v>
      </c>
      <c r="H11" s="96" t="s">
        <v>230</v>
      </c>
      <c r="I11" s="96"/>
      <c r="J11" s="96"/>
      <c r="K11" s="96"/>
      <c r="O11" s="43" t="s">
        <v>260</v>
      </c>
    </row>
    <row r="12" spans="1:20">
      <c r="A12" s="80" t="s">
        <v>253</v>
      </c>
      <c r="B12" s="191" t="s">
        <v>270</v>
      </c>
      <c r="C12" s="195" t="s">
        <v>176</v>
      </c>
      <c r="D12" s="191" t="s">
        <v>271</v>
      </c>
      <c r="E12" s="200">
        <f t="shared" si="0"/>
        <v>9</v>
      </c>
      <c r="F12" s="194">
        <f t="shared" si="2"/>
        <v>3.1802120141342751</v>
      </c>
      <c r="H12" s="96" t="s">
        <v>230</v>
      </c>
      <c r="I12" s="96"/>
      <c r="J12" s="96"/>
      <c r="K12" s="96"/>
      <c r="O12" s="43" t="s">
        <v>270</v>
      </c>
    </row>
    <row r="13" spans="1:20">
      <c r="A13" s="80" t="s">
        <v>253</v>
      </c>
      <c r="B13" s="191" t="s">
        <v>245</v>
      </c>
      <c r="C13" s="195" t="s">
        <v>246</v>
      </c>
      <c r="D13" s="191" t="s">
        <v>247</v>
      </c>
      <c r="E13" s="200">
        <f t="shared" si="0"/>
        <v>5</v>
      </c>
      <c r="F13" s="194">
        <f t="shared" si="2"/>
        <v>1.7667844522968199</v>
      </c>
      <c r="H13" s="96" t="s">
        <v>230</v>
      </c>
      <c r="I13" s="96"/>
      <c r="J13" s="96"/>
      <c r="K13" s="96"/>
      <c r="O13" s="43" t="s">
        <v>270</v>
      </c>
    </row>
    <row r="14" spans="1:20">
      <c r="A14" s="80" t="s">
        <v>253</v>
      </c>
      <c r="H14" s="96" t="s">
        <v>230</v>
      </c>
      <c r="I14" s="96"/>
      <c r="J14" s="96"/>
      <c r="K14" s="96"/>
      <c r="O14" s="43" t="s">
        <v>270</v>
      </c>
    </row>
    <row r="15" spans="1:20">
      <c r="A15" s="80" t="s">
        <v>253</v>
      </c>
      <c r="H15" s="96" t="s">
        <v>230</v>
      </c>
      <c r="I15" s="96"/>
      <c r="J15" s="96"/>
      <c r="K15" s="96"/>
      <c r="O15" s="30" t="s">
        <v>272</v>
      </c>
    </row>
    <row r="16" spans="1:20">
      <c r="A16" s="80" t="s">
        <v>253</v>
      </c>
      <c r="H16" s="96" t="s">
        <v>230</v>
      </c>
      <c r="I16" s="96"/>
      <c r="J16" s="96"/>
      <c r="K16" s="96"/>
      <c r="O16" s="30" t="s">
        <v>272</v>
      </c>
    </row>
    <row r="17" spans="1:15">
      <c r="A17" s="96" t="s">
        <v>253</v>
      </c>
      <c r="H17" s="96" t="s">
        <v>230</v>
      </c>
      <c r="I17" s="96"/>
      <c r="J17" s="96"/>
      <c r="K17" s="96"/>
      <c r="O17" s="43" t="s">
        <v>233</v>
      </c>
    </row>
    <row r="18" spans="1:15">
      <c r="A18" s="96" t="s">
        <v>253</v>
      </c>
      <c r="H18" s="96" t="s">
        <v>230</v>
      </c>
      <c r="I18" s="96"/>
      <c r="J18" s="96"/>
      <c r="K18" s="96"/>
      <c r="O18" s="43" t="s">
        <v>233</v>
      </c>
    </row>
    <row r="19" spans="1:15">
      <c r="A19" s="43" t="s">
        <v>253</v>
      </c>
      <c r="H19" s="96" t="s">
        <v>230</v>
      </c>
      <c r="I19" s="96"/>
      <c r="J19" s="96"/>
      <c r="K19" s="96"/>
      <c r="O19" s="43" t="s">
        <v>233</v>
      </c>
    </row>
    <row r="20" spans="1:15">
      <c r="A20" s="96" t="s">
        <v>253</v>
      </c>
      <c r="H20" s="96" t="s">
        <v>230</v>
      </c>
      <c r="I20" s="96"/>
      <c r="J20" s="96"/>
      <c r="K20" s="96"/>
      <c r="O20" s="43" t="s">
        <v>233</v>
      </c>
    </row>
    <row r="21" spans="1:15">
      <c r="A21" s="43" t="s">
        <v>260</v>
      </c>
      <c r="H21" s="96" t="s">
        <v>230</v>
      </c>
      <c r="I21" s="96"/>
      <c r="J21" s="96"/>
      <c r="K21" s="96"/>
      <c r="O21" s="43" t="s">
        <v>233</v>
      </c>
    </row>
    <row r="22" spans="1:15">
      <c r="A22" s="80" t="s">
        <v>260</v>
      </c>
      <c r="H22" s="96" t="s">
        <v>230</v>
      </c>
      <c r="I22" s="96"/>
      <c r="J22" s="96"/>
      <c r="K22" s="96"/>
      <c r="O22" s="43" t="s">
        <v>233</v>
      </c>
    </row>
    <row r="23" spans="1:15">
      <c r="A23" s="43" t="s">
        <v>270</v>
      </c>
      <c r="H23" s="96" t="s">
        <v>230</v>
      </c>
      <c r="I23" s="96"/>
      <c r="J23" s="96"/>
      <c r="K23" s="96"/>
      <c r="O23" s="43" t="s">
        <v>233</v>
      </c>
    </row>
    <row r="24" spans="1:15">
      <c r="A24" s="43" t="s">
        <v>270</v>
      </c>
      <c r="H24" s="96" t="s">
        <v>230</v>
      </c>
      <c r="I24" s="96"/>
      <c r="J24" s="96"/>
      <c r="K24" s="96"/>
      <c r="O24" s="43" t="s">
        <v>233</v>
      </c>
    </row>
    <row r="25" spans="1:15">
      <c r="A25" s="43" t="s">
        <v>270</v>
      </c>
      <c r="H25" s="96" t="s">
        <v>230</v>
      </c>
      <c r="I25" s="96"/>
      <c r="J25" s="96"/>
      <c r="K25" s="96"/>
      <c r="O25" s="43" t="s">
        <v>233</v>
      </c>
    </row>
    <row r="26" spans="1:15">
      <c r="A26" s="43" t="s">
        <v>270</v>
      </c>
      <c r="H26" s="96" t="s">
        <v>230</v>
      </c>
      <c r="I26" s="96"/>
      <c r="J26" s="96"/>
      <c r="K26" s="96"/>
      <c r="O26" s="43" t="s">
        <v>233</v>
      </c>
    </row>
    <row r="27" spans="1:15">
      <c r="A27" s="43" t="s">
        <v>270</v>
      </c>
      <c r="H27" s="96" t="s">
        <v>230</v>
      </c>
      <c r="I27" s="96"/>
      <c r="J27" s="96"/>
      <c r="K27" s="96"/>
      <c r="O27" s="43" t="s">
        <v>233</v>
      </c>
    </row>
    <row r="28" spans="1:15">
      <c r="A28" s="43" t="s">
        <v>270</v>
      </c>
      <c r="H28" s="96" t="s">
        <v>230</v>
      </c>
      <c r="I28" s="96"/>
      <c r="J28" s="96"/>
      <c r="K28" s="96"/>
      <c r="O28" s="43" t="s">
        <v>233</v>
      </c>
    </row>
    <row r="29" spans="1:15">
      <c r="A29" s="43" t="s">
        <v>270</v>
      </c>
      <c r="H29" s="96" t="s">
        <v>230</v>
      </c>
      <c r="I29" s="96"/>
      <c r="J29" s="96"/>
      <c r="K29" s="96"/>
      <c r="O29" s="43" t="s">
        <v>233</v>
      </c>
    </row>
    <row r="30" spans="1:15">
      <c r="A30" s="43" t="s">
        <v>270</v>
      </c>
      <c r="H30" s="96" t="s">
        <v>230</v>
      </c>
      <c r="I30" s="96"/>
      <c r="J30" s="96"/>
      <c r="K30" s="96"/>
      <c r="O30" s="43" t="s">
        <v>233</v>
      </c>
    </row>
    <row r="31" spans="1:15">
      <c r="A31" s="43" t="s">
        <v>270</v>
      </c>
      <c r="H31" s="96" t="s">
        <v>230</v>
      </c>
      <c r="I31" s="96"/>
      <c r="J31" s="96"/>
      <c r="K31" s="96"/>
      <c r="O31" s="43" t="s">
        <v>233</v>
      </c>
    </row>
    <row r="32" spans="1:15">
      <c r="A32" s="43" t="s">
        <v>273</v>
      </c>
      <c r="H32" s="96" t="s">
        <v>230</v>
      </c>
      <c r="I32" s="96"/>
      <c r="J32" s="96"/>
      <c r="K32" s="96"/>
      <c r="O32" s="30" t="s">
        <v>274</v>
      </c>
    </row>
    <row r="33" spans="1:15">
      <c r="A33" s="43" t="s">
        <v>273</v>
      </c>
      <c r="H33" s="96" t="s">
        <v>230</v>
      </c>
      <c r="I33" s="96"/>
      <c r="J33" s="96"/>
      <c r="K33" s="96"/>
      <c r="O33" s="43" t="s">
        <v>275</v>
      </c>
    </row>
    <row r="34" spans="1:15">
      <c r="A34" s="43" t="s">
        <v>233</v>
      </c>
      <c r="H34" s="96" t="s">
        <v>230</v>
      </c>
      <c r="I34" s="96"/>
      <c r="J34" s="96"/>
      <c r="K34" s="96"/>
      <c r="O34" s="96" t="s">
        <v>276</v>
      </c>
    </row>
    <row r="35" spans="1:15">
      <c r="A35" s="43" t="s">
        <v>277</v>
      </c>
      <c r="H35" s="96" t="s">
        <v>230</v>
      </c>
      <c r="I35" s="96"/>
      <c r="J35" s="96"/>
      <c r="K35" s="96"/>
      <c r="O35" s="96" t="s">
        <v>276</v>
      </c>
    </row>
    <row r="36" spans="1:15">
      <c r="A36" s="43" t="s">
        <v>278</v>
      </c>
      <c r="H36" s="96" t="s">
        <v>230</v>
      </c>
      <c r="I36" s="96"/>
      <c r="J36" s="96"/>
      <c r="K36" s="96"/>
      <c r="O36" s="43" t="s">
        <v>276</v>
      </c>
    </row>
    <row r="37" spans="1:15">
      <c r="A37" s="43" t="s">
        <v>278</v>
      </c>
      <c r="H37" s="96" t="s">
        <v>230</v>
      </c>
      <c r="I37" s="96"/>
      <c r="J37" s="96"/>
      <c r="K37" s="96"/>
      <c r="O37" s="43" t="s">
        <v>276</v>
      </c>
    </row>
    <row r="38" spans="1:15">
      <c r="A38" s="43" t="s">
        <v>278</v>
      </c>
      <c r="H38" s="96" t="s">
        <v>230</v>
      </c>
      <c r="I38" s="96"/>
      <c r="J38" s="96"/>
      <c r="K38" s="96"/>
      <c r="O38" s="43" t="s">
        <v>276</v>
      </c>
    </row>
    <row r="39" spans="1:15">
      <c r="A39" s="96" t="s">
        <v>279</v>
      </c>
      <c r="H39" s="96" t="s">
        <v>230</v>
      </c>
      <c r="I39" s="96"/>
      <c r="J39" s="96"/>
      <c r="K39" s="96"/>
      <c r="O39" s="96" t="s">
        <v>230</v>
      </c>
    </row>
    <row r="40" spans="1:15">
      <c r="A40" s="43" t="s">
        <v>275</v>
      </c>
      <c r="H40" s="96" t="s">
        <v>230</v>
      </c>
      <c r="I40" s="96"/>
      <c r="J40" s="96"/>
      <c r="K40" s="96"/>
      <c r="O40" s="96" t="s">
        <v>230</v>
      </c>
    </row>
    <row r="41" spans="1:15">
      <c r="A41" s="43" t="s">
        <v>275</v>
      </c>
      <c r="H41" s="96" t="s">
        <v>230</v>
      </c>
      <c r="I41" s="96"/>
      <c r="J41" s="96"/>
      <c r="K41" s="96"/>
      <c r="O41" s="96" t="s">
        <v>230</v>
      </c>
    </row>
    <row r="42" spans="1:15">
      <c r="A42" s="43" t="s">
        <v>275</v>
      </c>
      <c r="H42" s="96" t="s">
        <v>230</v>
      </c>
      <c r="I42" s="96"/>
      <c r="J42" s="96"/>
      <c r="K42" s="96"/>
      <c r="O42" s="96" t="s">
        <v>230</v>
      </c>
    </row>
    <row r="43" spans="1:15">
      <c r="A43" s="43" t="s">
        <v>275</v>
      </c>
      <c r="H43" s="96" t="s">
        <v>230</v>
      </c>
      <c r="I43" s="96"/>
      <c r="J43" s="96"/>
      <c r="K43" s="96"/>
      <c r="O43" s="96" t="s">
        <v>230</v>
      </c>
    </row>
    <row r="44" spans="1:15">
      <c r="A44" s="43" t="s">
        <v>275</v>
      </c>
      <c r="H44" s="96" t="s">
        <v>230</v>
      </c>
      <c r="I44" s="96"/>
      <c r="J44" s="96"/>
      <c r="K44" s="96"/>
      <c r="O44" s="96" t="s">
        <v>230</v>
      </c>
    </row>
    <row r="45" spans="1:15">
      <c r="A45" s="43" t="s">
        <v>276</v>
      </c>
      <c r="H45" s="96" t="s">
        <v>230</v>
      </c>
      <c r="I45" s="96"/>
      <c r="J45" s="96"/>
      <c r="K45" s="96"/>
      <c r="O45" s="96" t="s">
        <v>230</v>
      </c>
    </row>
    <row r="46" spans="1:15">
      <c r="A46" s="80" t="s">
        <v>276</v>
      </c>
      <c r="H46" s="96" t="s">
        <v>230</v>
      </c>
      <c r="I46" s="96"/>
      <c r="J46" s="96"/>
      <c r="K46" s="96"/>
      <c r="O46" s="96" t="s">
        <v>230</v>
      </c>
    </row>
    <row r="47" spans="1:15">
      <c r="A47" s="96" t="s">
        <v>276</v>
      </c>
      <c r="H47" s="96" t="s">
        <v>230</v>
      </c>
      <c r="I47" s="96"/>
      <c r="J47" s="96"/>
      <c r="K47" s="96"/>
      <c r="O47" s="96" t="s">
        <v>230</v>
      </c>
    </row>
    <row r="48" spans="1:15">
      <c r="A48" s="43" t="s">
        <v>230</v>
      </c>
      <c r="H48" s="96" t="s">
        <v>230</v>
      </c>
      <c r="I48" s="96"/>
      <c r="J48" s="96"/>
      <c r="K48" s="96"/>
      <c r="O48" s="96" t="s">
        <v>230</v>
      </c>
    </row>
    <row r="49" spans="1:15">
      <c r="A49" s="43" t="s">
        <v>230</v>
      </c>
      <c r="H49" s="96" t="s">
        <v>230</v>
      </c>
      <c r="I49" s="96"/>
      <c r="J49" s="96"/>
      <c r="K49" s="96"/>
      <c r="O49" s="96" t="s">
        <v>230</v>
      </c>
    </row>
    <row r="50" spans="1:15">
      <c r="A50" s="43" t="s">
        <v>230</v>
      </c>
      <c r="H50" s="96" t="s">
        <v>230</v>
      </c>
      <c r="I50" s="96"/>
      <c r="J50" s="96"/>
      <c r="K50" s="96"/>
      <c r="O50" s="96" t="s">
        <v>230</v>
      </c>
    </row>
    <row r="51" spans="1:15">
      <c r="A51" s="43" t="s">
        <v>230</v>
      </c>
      <c r="H51" s="96" t="s">
        <v>230</v>
      </c>
      <c r="I51" s="96"/>
      <c r="J51" s="96"/>
      <c r="K51" s="96"/>
      <c r="O51" s="96" t="s">
        <v>230</v>
      </c>
    </row>
    <row r="52" spans="1:15">
      <c r="A52" s="43" t="s">
        <v>230</v>
      </c>
      <c r="H52" s="96" t="s">
        <v>230</v>
      </c>
      <c r="I52" s="96"/>
      <c r="J52" s="96"/>
      <c r="K52" s="96"/>
      <c r="O52" s="96" t="s">
        <v>230</v>
      </c>
    </row>
    <row r="53" spans="1:15">
      <c r="A53" s="43" t="s">
        <v>230</v>
      </c>
      <c r="H53" s="96" t="s">
        <v>230</v>
      </c>
      <c r="I53" s="96"/>
      <c r="J53" s="96"/>
      <c r="K53" s="96"/>
      <c r="O53" s="96" t="s">
        <v>230</v>
      </c>
    </row>
    <row r="54" spans="1:15">
      <c r="A54" s="43" t="s">
        <v>230</v>
      </c>
      <c r="H54" s="96" t="s">
        <v>230</v>
      </c>
      <c r="I54" s="96"/>
      <c r="J54" s="96"/>
      <c r="K54" s="96"/>
      <c r="O54" s="96" t="s">
        <v>230</v>
      </c>
    </row>
    <row r="55" spans="1:15">
      <c r="A55" s="43" t="s">
        <v>230</v>
      </c>
      <c r="H55" s="96" t="s">
        <v>230</v>
      </c>
      <c r="I55" s="96"/>
      <c r="J55" s="96"/>
      <c r="K55" s="96"/>
      <c r="O55" s="96" t="s">
        <v>230</v>
      </c>
    </row>
    <row r="56" spans="1:15">
      <c r="A56" s="43" t="s">
        <v>230</v>
      </c>
      <c r="H56" s="96" t="s">
        <v>230</v>
      </c>
      <c r="I56" s="96"/>
      <c r="J56" s="96"/>
      <c r="K56" s="96"/>
      <c r="O56" s="96" t="s">
        <v>230</v>
      </c>
    </row>
    <row r="57" spans="1:15">
      <c r="A57" s="43" t="s">
        <v>230</v>
      </c>
      <c r="H57" s="96" t="s">
        <v>230</v>
      </c>
      <c r="I57" s="96"/>
      <c r="J57" s="96"/>
      <c r="K57" s="96"/>
      <c r="O57" s="96" t="s">
        <v>230</v>
      </c>
    </row>
    <row r="58" spans="1:15">
      <c r="A58" s="43" t="s">
        <v>230</v>
      </c>
      <c r="H58" s="96" t="s">
        <v>230</v>
      </c>
      <c r="I58" s="96"/>
      <c r="J58" s="96"/>
      <c r="K58" s="96"/>
      <c r="O58" s="96" t="s">
        <v>230</v>
      </c>
    </row>
    <row r="59" spans="1:15">
      <c r="A59" s="43" t="s">
        <v>230</v>
      </c>
      <c r="H59" s="96" t="s">
        <v>230</v>
      </c>
      <c r="I59" s="96"/>
      <c r="J59" s="96"/>
      <c r="K59" s="96"/>
      <c r="O59" s="96" t="s">
        <v>230</v>
      </c>
    </row>
    <row r="60" spans="1:15">
      <c r="A60" s="43" t="s">
        <v>230</v>
      </c>
      <c r="H60" s="96" t="s">
        <v>230</v>
      </c>
      <c r="I60" s="96"/>
      <c r="J60" s="96"/>
      <c r="K60" s="96"/>
      <c r="O60" s="96" t="s">
        <v>230</v>
      </c>
    </row>
    <row r="61" spans="1:15">
      <c r="A61" s="43" t="s">
        <v>230</v>
      </c>
      <c r="H61" s="96" t="s">
        <v>230</v>
      </c>
      <c r="I61" s="96"/>
      <c r="J61" s="96"/>
      <c r="K61" s="96"/>
      <c r="O61" s="96" t="s">
        <v>230</v>
      </c>
    </row>
    <row r="62" spans="1:15">
      <c r="A62" s="43" t="s">
        <v>230</v>
      </c>
      <c r="H62" s="96" t="s">
        <v>230</v>
      </c>
      <c r="I62" s="96"/>
      <c r="J62" s="96"/>
      <c r="K62" s="96"/>
      <c r="O62" s="96" t="s">
        <v>230</v>
      </c>
    </row>
    <row r="63" spans="1:15">
      <c r="A63" s="43" t="s">
        <v>230</v>
      </c>
      <c r="H63" s="96" t="s">
        <v>230</v>
      </c>
      <c r="I63" s="96"/>
      <c r="J63" s="96"/>
      <c r="K63" s="96"/>
      <c r="O63" s="96" t="s">
        <v>230</v>
      </c>
    </row>
    <row r="64" spans="1:15">
      <c r="A64" s="43" t="s">
        <v>230</v>
      </c>
      <c r="H64" s="96" t="s">
        <v>230</v>
      </c>
      <c r="I64" s="96"/>
      <c r="J64" s="96"/>
      <c r="K64" s="96"/>
      <c r="O64" s="96" t="s">
        <v>230</v>
      </c>
    </row>
    <row r="65" spans="1:15">
      <c r="A65" s="43" t="s">
        <v>230</v>
      </c>
      <c r="H65" s="96" t="s">
        <v>230</v>
      </c>
      <c r="I65" s="96"/>
      <c r="J65" s="96"/>
      <c r="K65" s="96"/>
      <c r="O65" s="96" t="s">
        <v>230</v>
      </c>
    </row>
    <row r="66" spans="1:15">
      <c r="A66" s="43" t="s">
        <v>230</v>
      </c>
      <c r="H66" s="96" t="s">
        <v>230</v>
      </c>
      <c r="I66" s="96"/>
      <c r="J66" s="96"/>
      <c r="K66" s="96"/>
      <c r="O66" s="96" t="s">
        <v>230</v>
      </c>
    </row>
    <row r="67" spans="1:15">
      <c r="A67" s="43" t="s">
        <v>230</v>
      </c>
      <c r="H67" s="96" t="s">
        <v>230</v>
      </c>
      <c r="I67" s="96"/>
      <c r="J67" s="96"/>
      <c r="K67" s="96"/>
      <c r="O67" s="96" t="s">
        <v>230</v>
      </c>
    </row>
    <row r="68" spans="1:15">
      <c r="A68" s="43" t="s">
        <v>230</v>
      </c>
      <c r="H68" s="96" t="s">
        <v>230</v>
      </c>
      <c r="I68" s="96"/>
      <c r="J68" s="96"/>
      <c r="K68" s="96"/>
      <c r="O68" s="96" t="s">
        <v>230</v>
      </c>
    </row>
    <row r="69" spans="1:15">
      <c r="A69" s="43" t="s">
        <v>230</v>
      </c>
      <c r="H69" s="96" t="s">
        <v>230</v>
      </c>
      <c r="I69" s="96"/>
      <c r="J69" s="96"/>
      <c r="K69" s="96"/>
      <c r="O69" s="30" t="s">
        <v>280</v>
      </c>
    </row>
    <row r="70" spans="1:15">
      <c r="A70" s="43" t="s">
        <v>230</v>
      </c>
      <c r="H70" s="96" t="s">
        <v>230</v>
      </c>
      <c r="I70" s="96"/>
      <c r="J70" s="96"/>
      <c r="K70" s="96"/>
      <c r="O70" s="30" t="s">
        <v>281</v>
      </c>
    </row>
    <row r="71" spans="1:15">
      <c r="A71" s="43" t="s">
        <v>230</v>
      </c>
      <c r="H71" s="96" t="s">
        <v>230</v>
      </c>
      <c r="I71" s="96"/>
      <c r="J71" s="96"/>
      <c r="K71" s="96"/>
      <c r="O71" s="290" t="s">
        <v>282</v>
      </c>
    </row>
    <row r="72" spans="1:15">
      <c r="A72" s="43" t="s">
        <v>230</v>
      </c>
      <c r="H72" s="96" t="s">
        <v>230</v>
      </c>
      <c r="I72" s="96"/>
      <c r="J72" s="96"/>
      <c r="K72" s="96"/>
      <c r="O72" s="30" t="s">
        <v>283</v>
      </c>
    </row>
    <row r="73" spans="1:15">
      <c r="A73" s="43" t="s">
        <v>230</v>
      </c>
      <c r="H73" s="96" t="s">
        <v>230</v>
      </c>
      <c r="I73" s="96"/>
      <c r="J73" s="96"/>
      <c r="K73" s="96"/>
      <c r="O73" s="43" t="s">
        <v>265</v>
      </c>
    </row>
    <row r="74" spans="1:15">
      <c r="A74" s="43" t="s">
        <v>230</v>
      </c>
      <c r="H74" s="96" t="s">
        <v>230</v>
      </c>
      <c r="I74" s="96"/>
      <c r="J74" s="96"/>
      <c r="K74" s="96"/>
      <c r="O74" s="43" t="s">
        <v>265</v>
      </c>
    </row>
    <row r="75" spans="1:15">
      <c r="A75" s="43" t="s">
        <v>230</v>
      </c>
      <c r="H75" s="96" t="s">
        <v>230</v>
      </c>
      <c r="I75" s="96"/>
      <c r="J75" s="96"/>
      <c r="K75" s="96"/>
      <c r="O75" s="43" t="s">
        <v>265</v>
      </c>
    </row>
    <row r="76" spans="1:15">
      <c r="A76" s="43" t="s">
        <v>230</v>
      </c>
      <c r="H76" s="96" t="s">
        <v>230</v>
      </c>
      <c r="I76" s="96"/>
      <c r="J76" s="96"/>
      <c r="K76" s="96"/>
      <c r="O76" s="43" t="s">
        <v>265</v>
      </c>
    </row>
    <row r="77" spans="1:15">
      <c r="A77" s="43" t="s">
        <v>230</v>
      </c>
      <c r="H77" s="96" t="s">
        <v>230</v>
      </c>
      <c r="I77" s="96"/>
      <c r="J77" s="96"/>
      <c r="K77" s="96"/>
      <c r="O77" s="43" t="s">
        <v>265</v>
      </c>
    </row>
    <row r="78" spans="1:15">
      <c r="A78" s="43" t="s">
        <v>230</v>
      </c>
      <c r="H78" s="96" t="s">
        <v>230</v>
      </c>
      <c r="I78" s="96"/>
      <c r="J78" s="96"/>
      <c r="K78" s="96"/>
      <c r="O78" s="43" t="s">
        <v>265</v>
      </c>
    </row>
    <row r="79" spans="1:15">
      <c r="A79" s="43" t="s">
        <v>230</v>
      </c>
      <c r="H79" s="43" t="s">
        <v>265</v>
      </c>
      <c r="I79" s="43"/>
      <c r="J79" s="43"/>
      <c r="K79" s="43"/>
      <c r="O79" s="43" t="s">
        <v>265</v>
      </c>
    </row>
    <row r="80" spans="1:15">
      <c r="A80" s="43" t="s">
        <v>230</v>
      </c>
      <c r="H80" s="183" t="s">
        <v>239</v>
      </c>
      <c r="I80" s="183"/>
      <c r="J80" s="183"/>
      <c r="K80" s="183"/>
      <c r="O80" s="30" t="s">
        <v>284</v>
      </c>
    </row>
    <row r="81" spans="1:15">
      <c r="A81" s="43" t="s">
        <v>230</v>
      </c>
      <c r="H81" s="183" t="s">
        <v>239</v>
      </c>
      <c r="I81" s="183"/>
      <c r="J81" s="183"/>
      <c r="K81" s="183"/>
      <c r="O81" s="30" t="s">
        <v>284</v>
      </c>
    </row>
    <row r="82" spans="1:15">
      <c r="A82" s="43" t="s">
        <v>230</v>
      </c>
      <c r="H82" s="183" t="s">
        <v>239</v>
      </c>
      <c r="I82" s="183"/>
      <c r="J82" s="183"/>
      <c r="K82" s="183"/>
      <c r="O82" s="30" t="s">
        <v>284</v>
      </c>
    </row>
    <row r="83" spans="1:15">
      <c r="A83" s="43" t="s">
        <v>230</v>
      </c>
      <c r="H83" s="183" t="s">
        <v>239</v>
      </c>
      <c r="I83" s="183"/>
      <c r="J83" s="183"/>
      <c r="K83" s="183"/>
      <c r="O83" s="30" t="s">
        <v>285</v>
      </c>
    </row>
    <row r="84" spans="1:15">
      <c r="A84" s="43" t="s">
        <v>230</v>
      </c>
      <c r="H84" s="183" t="s">
        <v>239</v>
      </c>
      <c r="I84" s="183"/>
      <c r="J84" s="183"/>
      <c r="K84" s="183"/>
      <c r="O84" s="30" t="s">
        <v>286</v>
      </c>
    </row>
    <row r="85" spans="1:15">
      <c r="A85" s="43" t="s">
        <v>230</v>
      </c>
      <c r="H85" s="183" t="s">
        <v>239</v>
      </c>
      <c r="I85" s="183"/>
      <c r="J85" s="183"/>
      <c r="K85" s="183"/>
      <c r="O85" s="30" t="s">
        <v>286</v>
      </c>
    </row>
    <row r="86" spans="1:15">
      <c r="A86" s="43" t="s">
        <v>230</v>
      </c>
      <c r="H86" s="183" t="s">
        <v>239</v>
      </c>
      <c r="I86" s="183"/>
      <c r="J86" s="183"/>
      <c r="K86" s="183"/>
      <c r="O86" s="30" t="s">
        <v>286</v>
      </c>
    </row>
    <row r="87" spans="1:15">
      <c r="A87" s="43" t="s">
        <v>230</v>
      </c>
      <c r="H87" s="183" t="s">
        <v>239</v>
      </c>
      <c r="I87" s="183"/>
      <c r="J87" s="183"/>
      <c r="K87" s="183"/>
      <c r="O87" s="30" t="s">
        <v>286</v>
      </c>
    </row>
    <row r="88" spans="1:15">
      <c r="A88" s="43" t="s">
        <v>230</v>
      </c>
      <c r="H88" s="183" t="s">
        <v>239</v>
      </c>
      <c r="I88" s="183"/>
      <c r="J88" s="183"/>
      <c r="K88" s="183"/>
      <c r="O88" s="30" t="s">
        <v>286</v>
      </c>
    </row>
    <row r="89" spans="1:15">
      <c r="A89" s="43" t="s">
        <v>230</v>
      </c>
      <c r="H89" s="183" t="s">
        <v>239</v>
      </c>
      <c r="I89" s="183"/>
      <c r="J89" s="183"/>
      <c r="K89" s="183"/>
      <c r="O89" s="30" t="s">
        <v>287</v>
      </c>
    </row>
    <row r="90" spans="1:15">
      <c r="A90" s="43" t="s">
        <v>230</v>
      </c>
      <c r="H90" s="43" t="s">
        <v>245</v>
      </c>
      <c r="I90" s="43"/>
      <c r="J90" s="43"/>
      <c r="K90" s="43"/>
      <c r="O90" s="43" t="s">
        <v>245</v>
      </c>
    </row>
    <row r="91" spans="1:15">
      <c r="A91" s="43" t="s">
        <v>230</v>
      </c>
      <c r="H91" s="43" t="s">
        <v>245</v>
      </c>
      <c r="I91" s="43"/>
      <c r="J91" s="43"/>
      <c r="K91" s="43"/>
      <c r="O91" s="43" t="s">
        <v>245</v>
      </c>
    </row>
    <row r="92" spans="1:15">
      <c r="A92" s="43" t="s">
        <v>230</v>
      </c>
      <c r="H92" s="43" t="s">
        <v>245</v>
      </c>
      <c r="I92" s="43"/>
      <c r="J92" s="43"/>
      <c r="K92" s="43"/>
      <c r="O92" s="43" t="s">
        <v>245</v>
      </c>
    </row>
    <row r="93" spans="1:15">
      <c r="A93" s="43" t="s">
        <v>230</v>
      </c>
      <c r="H93" s="43" t="s">
        <v>245</v>
      </c>
      <c r="I93" s="43"/>
      <c r="J93" s="43"/>
      <c r="K93" s="43"/>
      <c r="O93" s="43" t="s">
        <v>245</v>
      </c>
    </row>
    <row r="94" spans="1:15">
      <c r="A94" s="80" t="s">
        <v>230</v>
      </c>
      <c r="H94" s="43" t="s">
        <v>245</v>
      </c>
      <c r="I94" s="43"/>
      <c r="J94" s="43"/>
      <c r="K94" s="43"/>
      <c r="O94" s="43" t="s">
        <v>245</v>
      </c>
    </row>
    <row r="95" spans="1:15">
      <c r="A95" s="80" t="s">
        <v>230</v>
      </c>
      <c r="H95" s="43" t="s">
        <v>245</v>
      </c>
      <c r="I95" s="43"/>
      <c r="J95" s="43"/>
      <c r="K95" s="43"/>
      <c r="O95" s="43" t="s">
        <v>245</v>
      </c>
    </row>
    <row r="96" spans="1:15">
      <c r="A96" s="80" t="s">
        <v>230</v>
      </c>
      <c r="H96" s="43" t="s">
        <v>245</v>
      </c>
      <c r="I96" s="43"/>
      <c r="J96" s="43"/>
      <c r="K96" s="43"/>
      <c r="O96" s="43" t="s">
        <v>245</v>
      </c>
    </row>
    <row r="97" spans="1:15">
      <c r="A97" s="96" t="s">
        <v>230</v>
      </c>
      <c r="H97" s="43" t="s">
        <v>245</v>
      </c>
      <c r="I97" s="43"/>
      <c r="J97" s="43"/>
      <c r="K97" s="43"/>
      <c r="O97" s="43" t="s">
        <v>242</v>
      </c>
    </row>
    <row r="98" spans="1:15">
      <c r="A98" s="96" t="s">
        <v>230</v>
      </c>
      <c r="H98" s="43" t="s">
        <v>245</v>
      </c>
      <c r="I98" s="43"/>
      <c r="J98" s="43"/>
      <c r="K98" s="43"/>
      <c r="O98" s="43" t="s">
        <v>261</v>
      </c>
    </row>
    <row r="99" spans="1:15">
      <c r="A99" s="96" t="s">
        <v>230</v>
      </c>
      <c r="H99" s="43" t="s">
        <v>245</v>
      </c>
      <c r="I99" s="43"/>
      <c r="J99" s="43"/>
      <c r="K99" s="43"/>
      <c r="O99" s="43" t="s">
        <v>261</v>
      </c>
    </row>
    <row r="100" spans="1:15">
      <c r="A100" s="96" t="s">
        <v>230</v>
      </c>
      <c r="H100" s="43" t="s">
        <v>245</v>
      </c>
      <c r="I100" s="43"/>
      <c r="J100" s="43"/>
      <c r="K100" s="43"/>
      <c r="O100" s="43" t="s">
        <v>261</v>
      </c>
    </row>
    <row r="101" spans="1:15">
      <c r="A101" s="96" t="s">
        <v>230</v>
      </c>
      <c r="O101" s="43" t="s">
        <v>261</v>
      </c>
    </row>
    <row r="102" spans="1:15">
      <c r="A102" s="96" t="s">
        <v>230</v>
      </c>
      <c r="O102" s="43" t="s">
        <v>261</v>
      </c>
    </row>
    <row r="103" spans="1:15">
      <c r="A103" s="96" t="s">
        <v>230</v>
      </c>
      <c r="O103" s="43" t="s">
        <v>261</v>
      </c>
    </row>
    <row r="104" spans="1:15">
      <c r="A104" s="96" t="s">
        <v>230</v>
      </c>
      <c r="O104" s="30" t="s">
        <v>288</v>
      </c>
    </row>
    <row r="105" spans="1:15">
      <c r="A105" s="96" t="s">
        <v>230</v>
      </c>
      <c r="O105" s="30" t="s">
        <v>289</v>
      </c>
    </row>
    <row r="106" spans="1:15">
      <c r="A106" s="96" t="s">
        <v>230</v>
      </c>
      <c r="O106" s="43" t="s">
        <v>236</v>
      </c>
    </row>
    <row r="107" spans="1:15">
      <c r="A107" s="96" t="s">
        <v>230</v>
      </c>
      <c r="O107" s="43" t="s">
        <v>236</v>
      </c>
    </row>
    <row r="108" spans="1:15">
      <c r="A108" s="96" t="s">
        <v>230</v>
      </c>
      <c r="O108" s="43" t="s">
        <v>236</v>
      </c>
    </row>
    <row r="109" spans="1:15">
      <c r="A109" s="96" t="s">
        <v>230</v>
      </c>
      <c r="O109" s="43" t="s">
        <v>236</v>
      </c>
    </row>
    <row r="110" spans="1:15">
      <c r="A110" s="96" t="s">
        <v>230</v>
      </c>
      <c r="O110" s="43" t="s">
        <v>236</v>
      </c>
    </row>
    <row r="111" spans="1:15">
      <c r="A111" s="96" t="s">
        <v>230</v>
      </c>
      <c r="O111" s="43" t="s">
        <v>236</v>
      </c>
    </row>
    <row r="112" spans="1:15">
      <c r="A112" s="96" t="s">
        <v>230</v>
      </c>
      <c r="O112" s="43" t="s">
        <v>236</v>
      </c>
    </row>
    <row r="113" spans="1:15">
      <c r="A113" s="96" t="s">
        <v>230</v>
      </c>
      <c r="O113" s="43" t="s">
        <v>236</v>
      </c>
    </row>
    <row r="114" spans="1:15">
      <c r="A114" s="96" t="s">
        <v>230</v>
      </c>
      <c r="O114" s="30" t="s">
        <v>290</v>
      </c>
    </row>
    <row r="115" spans="1:15">
      <c r="A115" s="96" t="s">
        <v>230</v>
      </c>
      <c r="O115" s="30" t="s">
        <v>291</v>
      </c>
    </row>
    <row r="116" spans="1:15">
      <c r="A116" s="96" t="s">
        <v>230</v>
      </c>
      <c r="O116" s="30" t="s">
        <v>291</v>
      </c>
    </row>
    <row r="117" spans="1:15">
      <c r="A117" s="96" t="s">
        <v>230</v>
      </c>
      <c r="O117" s="30" t="s">
        <v>291</v>
      </c>
    </row>
    <row r="118" spans="1:15">
      <c r="A118" s="96" t="s">
        <v>230</v>
      </c>
      <c r="O118" s="30" t="s">
        <v>292</v>
      </c>
    </row>
    <row r="119" spans="1:15">
      <c r="A119" s="96" t="s">
        <v>230</v>
      </c>
      <c r="O119" s="30" t="s">
        <v>292</v>
      </c>
    </row>
    <row r="120" spans="1:15">
      <c r="A120" s="96" t="s">
        <v>230</v>
      </c>
      <c r="O120" s="96" t="s">
        <v>293</v>
      </c>
    </row>
    <row r="121" spans="1:15">
      <c r="A121" s="96" t="s">
        <v>230</v>
      </c>
      <c r="O121" s="96" t="s">
        <v>293</v>
      </c>
    </row>
    <row r="122" spans="1:15">
      <c r="A122" s="96" t="s">
        <v>230</v>
      </c>
      <c r="O122" s="96" t="s">
        <v>293</v>
      </c>
    </row>
    <row r="123" spans="1:15">
      <c r="A123" s="96" t="s">
        <v>230</v>
      </c>
      <c r="O123" s="43" t="s">
        <v>294</v>
      </c>
    </row>
    <row r="124" spans="1:15">
      <c r="A124" s="96" t="s">
        <v>230</v>
      </c>
      <c r="O124" s="43" t="s">
        <v>294</v>
      </c>
    </row>
    <row r="125" spans="1:15">
      <c r="A125" s="96" t="s">
        <v>230</v>
      </c>
      <c r="O125" s="43" t="s">
        <v>294</v>
      </c>
    </row>
    <row r="126" spans="1:15">
      <c r="A126" s="96" t="s">
        <v>230</v>
      </c>
      <c r="O126" s="43" t="s">
        <v>294</v>
      </c>
    </row>
    <row r="127" spans="1:15">
      <c r="A127" s="96" t="s">
        <v>230</v>
      </c>
      <c r="O127" s="96" t="s">
        <v>295</v>
      </c>
    </row>
    <row r="128" spans="1:15">
      <c r="A128" s="96" t="s">
        <v>230</v>
      </c>
      <c r="O128" s="30" t="s">
        <v>296</v>
      </c>
    </row>
    <row r="129" spans="1:15">
      <c r="A129" s="96" t="s">
        <v>230</v>
      </c>
      <c r="O129" s="30" t="s">
        <v>248</v>
      </c>
    </row>
    <row r="130" spans="1:15">
      <c r="A130" s="96" t="s">
        <v>230</v>
      </c>
      <c r="O130" s="30" t="s">
        <v>248</v>
      </c>
    </row>
    <row r="131" spans="1:15">
      <c r="A131" s="96" t="s">
        <v>230</v>
      </c>
      <c r="O131" s="30" t="s">
        <v>248</v>
      </c>
    </row>
    <row r="132" spans="1:15">
      <c r="A132" s="96" t="s">
        <v>230</v>
      </c>
      <c r="O132" s="30" t="s">
        <v>248</v>
      </c>
    </row>
    <row r="133" spans="1:15">
      <c r="A133" s="96" t="s">
        <v>280</v>
      </c>
      <c r="O133" s="30" t="s">
        <v>248</v>
      </c>
    </row>
    <row r="134" spans="1:15">
      <c r="A134" s="96" t="s">
        <v>297</v>
      </c>
      <c r="O134" s="30" t="s">
        <v>248</v>
      </c>
    </row>
    <row r="135" spans="1:15">
      <c r="A135" s="43" t="s">
        <v>250</v>
      </c>
      <c r="O135" s="30" t="s">
        <v>248</v>
      </c>
    </row>
    <row r="136" spans="1:15">
      <c r="A136" s="43" t="s">
        <v>250</v>
      </c>
      <c r="O136" s="30" t="s">
        <v>248</v>
      </c>
    </row>
    <row r="137" spans="1:15">
      <c r="A137" s="43" t="s">
        <v>250</v>
      </c>
      <c r="O137" s="30" t="s">
        <v>248</v>
      </c>
    </row>
    <row r="138" spans="1:15">
      <c r="A138" s="43" t="s">
        <v>250</v>
      </c>
      <c r="O138" s="30" t="s">
        <v>248</v>
      </c>
    </row>
    <row r="139" spans="1:15">
      <c r="A139" s="43" t="s">
        <v>250</v>
      </c>
      <c r="O139" s="30" t="s">
        <v>248</v>
      </c>
    </row>
    <row r="140" spans="1:15">
      <c r="A140" s="43" t="s">
        <v>250</v>
      </c>
      <c r="O140" s="30" t="s">
        <v>248</v>
      </c>
    </row>
    <row r="141" spans="1:15">
      <c r="A141" s="43" t="s">
        <v>250</v>
      </c>
      <c r="O141" s="96" t="s">
        <v>264</v>
      </c>
    </row>
    <row r="142" spans="1:15">
      <c r="A142" s="80" t="s">
        <v>250</v>
      </c>
      <c r="O142" s="96" t="s">
        <v>264</v>
      </c>
    </row>
    <row r="143" spans="1:15">
      <c r="A143" s="96" t="s">
        <v>250</v>
      </c>
      <c r="O143" s="96" t="s">
        <v>264</v>
      </c>
    </row>
    <row r="144" spans="1:15">
      <c r="A144" s="96" t="s">
        <v>250</v>
      </c>
      <c r="O144" s="43" t="s">
        <v>258</v>
      </c>
    </row>
    <row r="145" spans="1:15">
      <c r="A145" s="96" t="s">
        <v>250</v>
      </c>
      <c r="O145" s="184" t="s">
        <v>298</v>
      </c>
    </row>
    <row r="146" spans="1:15">
      <c r="A146" s="96" t="s">
        <v>250</v>
      </c>
      <c r="O146" s="184" t="s">
        <v>298</v>
      </c>
    </row>
    <row r="147" spans="1:15">
      <c r="A147" s="43" t="s">
        <v>250</v>
      </c>
      <c r="O147" s="184" t="s">
        <v>299</v>
      </c>
    </row>
    <row r="148" spans="1:15">
      <c r="A148" s="96" t="s">
        <v>250</v>
      </c>
      <c r="O148" s="184" t="s">
        <v>299</v>
      </c>
    </row>
    <row r="149" spans="1:15">
      <c r="A149" s="43" t="s">
        <v>283</v>
      </c>
    </row>
    <row r="150" spans="1:15">
      <c r="A150" s="80" t="s">
        <v>283</v>
      </c>
    </row>
    <row r="151" spans="1:15">
      <c r="A151" s="96" t="s">
        <v>283</v>
      </c>
    </row>
    <row r="152" spans="1:15">
      <c r="A152" s="43" t="s">
        <v>300</v>
      </c>
    </row>
    <row r="153" spans="1:15">
      <c r="A153" s="43" t="s">
        <v>300</v>
      </c>
    </row>
    <row r="154" spans="1:15">
      <c r="A154" s="43" t="s">
        <v>265</v>
      </c>
    </row>
    <row r="155" spans="1:15">
      <c r="A155" s="43" t="s">
        <v>265</v>
      </c>
    </row>
    <row r="156" spans="1:15">
      <c r="A156" s="43" t="s">
        <v>265</v>
      </c>
    </row>
    <row r="157" spans="1:15">
      <c r="A157" s="43" t="s">
        <v>265</v>
      </c>
    </row>
    <row r="158" spans="1:15">
      <c r="A158" s="43" t="s">
        <v>265</v>
      </c>
    </row>
    <row r="159" spans="1:15">
      <c r="A159" s="80" t="s">
        <v>265</v>
      </c>
    </row>
    <row r="160" spans="1:15">
      <c r="A160" s="43" t="s">
        <v>265</v>
      </c>
    </row>
    <row r="161" spans="1:1">
      <c r="A161" s="43" t="s">
        <v>265</v>
      </c>
    </row>
    <row r="162" spans="1:1">
      <c r="A162" s="43" t="s">
        <v>265</v>
      </c>
    </row>
    <row r="163" spans="1:1">
      <c r="A163" s="43" t="s">
        <v>265</v>
      </c>
    </row>
    <row r="164" spans="1:1">
      <c r="A164" s="43" t="s">
        <v>301</v>
      </c>
    </row>
    <row r="165" spans="1:1">
      <c r="A165" s="43" t="s">
        <v>301</v>
      </c>
    </row>
    <row r="166" spans="1:1">
      <c r="A166" s="43" t="s">
        <v>245</v>
      </c>
    </row>
    <row r="167" spans="1:1">
      <c r="A167" s="43" t="s">
        <v>245</v>
      </c>
    </row>
    <row r="168" spans="1:1">
      <c r="A168" s="43" t="s">
        <v>245</v>
      </c>
    </row>
    <row r="169" spans="1:1">
      <c r="A169" s="43" t="s">
        <v>245</v>
      </c>
    </row>
    <row r="170" spans="1:1">
      <c r="A170" s="43" t="s">
        <v>245</v>
      </c>
    </row>
    <row r="171" spans="1:1">
      <c r="A171" s="43" t="s">
        <v>242</v>
      </c>
    </row>
    <row r="172" spans="1:1">
      <c r="A172" s="43" t="s">
        <v>242</v>
      </c>
    </row>
    <row r="173" spans="1:1">
      <c r="A173" s="43" t="s">
        <v>242</v>
      </c>
    </row>
    <row r="174" spans="1:1">
      <c r="A174" s="43" t="s">
        <v>242</v>
      </c>
    </row>
    <row r="175" spans="1:1">
      <c r="A175" s="43" t="s">
        <v>242</v>
      </c>
    </row>
    <row r="176" spans="1:1">
      <c r="A176" s="43" t="s">
        <v>242</v>
      </c>
    </row>
    <row r="177" spans="1:1">
      <c r="A177" s="43" t="s">
        <v>242</v>
      </c>
    </row>
    <row r="178" spans="1:1">
      <c r="A178" s="43" t="s">
        <v>242</v>
      </c>
    </row>
    <row r="179" spans="1:1">
      <c r="A179" s="43" t="s">
        <v>242</v>
      </c>
    </row>
    <row r="180" spans="1:1">
      <c r="A180" s="43" t="s">
        <v>242</v>
      </c>
    </row>
    <row r="181" spans="1:1">
      <c r="A181" s="43" t="s">
        <v>242</v>
      </c>
    </row>
    <row r="182" spans="1:1">
      <c r="A182" s="80" t="s">
        <v>242</v>
      </c>
    </row>
    <row r="183" spans="1:1">
      <c r="A183" s="80" t="s">
        <v>242</v>
      </c>
    </row>
    <row r="184" spans="1:1">
      <c r="A184" s="80" t="s">
        <v>242</v>
      </c>
    </row>
    <row r="185" spans="1:1">
      <c r="A185" s="80" t="s">
        <v>242</v>
      </c>
    </row>
    <row r="186" spans="1:1">
      <c r="A186" s="80" t="s">
        <v>242</v>
      </c>
    </row>
    <row r="187" spans="1:1">
      <c r="A187" s="43" t="s">
        <v>242</v>
      </c>
    </row>
    <row r="188" spans="1:1">
      <c r="A188" s="96" t="s">
        <v>242</v>
      </c>
    </row>
    <row r="189" spans="1:1">
      <c r="A189" s="43" t="s">
        <v>242</v>
      </c>
    </row>
    <row r="190" spans="1:1">
      <c r="A190" s="43" t="s">
        <v>242</v>
      </c>
    </row>
    <row r="191" spans="1:1">
      <c r="A191" s="43" t="s">
        <v>261</v>
      </c>
    </row>
    <row r="192" spans="1:1">
      <c r="A192" s="43" t="s">
        <v>261</v>
      </c>
    </row>
    <row r="193" spans="1:1">
      <c r="A193" s="43" t="s">
        <v>261</v>
      </c>
    </row>
    <row r="194" spans="1:1">
      <c r="A194" s="43" t="s">
        <v>261</v>
      </c>
    </row>
    <row r="195" spans="1:1">
      <c r="A195" s="43" t="s">
        <v>261</v>
      </c>
    </row>
    <row r="196" spans="1:1">
      <c r="A196" s="43" t="s">
        <v>236</v>
      </c>
    </row>
    <row r="197" spans="1:1">
      <c r="A197" s="43" t="s">
        <v>236</v>
      </c>
    </row>
    <row r="198" spans="1:1">
      <c r="A198" s="43" t="s">
        <v>236</v>
      </c>
    </row>
    <row r="199" spans="1:1">
      <c r="A199" s="43" t="s">
        <v>236</v>
      </c>
    </row>
    <row r="200" spans="1:1">
      <c r="A200" s="43" t="s">
        <v>236</v>
      </c>
    </row>
    <row r="201" spans="1:1">
      <c r="A201" s="43" t="s">
        <v>236</v>
      </c>
    </row>
    <row r="202" spans="1:1">
      <c r="A202" s="43" t="s">
        <v>236</v>
      </c>
    </row>
    <row r="203" spans="1:1">
      <c r="A203" s="43" t="s">
        <v>236</v>
      </c>
    </row>
    <row r="204" spans="1:1">
      <c r="A204" s="43" t="s">
        <v>236</v>
      </c>
    </row>
    <row r="205" spans="1:1">
      <c r="A205" s="43" t="s">
        <v>236</v>
      </c>
    </row>
    <row r="206" spans="1:1">
      <c r="A206" s="43" t="s">
        <v>236</v>
      </c>
    </row>
    <row r="207" spans="1:1">
      <c r="A207" s="43" t="s">
        <v>236</v>
      </c>
    </row>
    <row r="208" spans="1:1">
      <c r="A208" s="43" t="s">
        <v>236</v>
      </c>
    </row>
    <row r="209" spans="1:1">
      <c r="A209" s="43" t="s">
        <v>236</v>
      </c>
    </row>
    <row r="210" spans="1:1">
      <c r="A210" s="43" t="s">
        <v>236</v>
      </c>
    </row>
    <row r="211" spans="1:1">
      <c r="A211" s="43" t="s">
        <v>236</v>
      </c>
    </row>
    <row r="212" spans="1:1">
      <c r="A212" s="43" t="s">
        <v>236</v>
      </c>
    </row>
    <row r="213" spans="1:1">
      <c r="A213" s="43" t="s">
        <v>236</v>
      </c>
    </row>
    <row r="214" spans="1:1">
      <c r="A214" s="80" t="s">
        <v>236</v>
      </c>
    </row>
    <row r="215" spans="1:1">
      <c r="A215" s="43" t="s">
        <v>236</v>
      </c>
    </row>
    <row r="216" spans="1:1">
      <c r="A216" s="43" t="s">
        <v>236</v>
      </c>
    </row>
    <row r="217" spans="1:1">
      <c r="A217" s="43" t="s">
        <v>236</v>
      </c>
    </row>
    <row r="218" spans="1:1">
      <c r="A218" s="43" t="s">
        <v>236</v>
      </c>
    </row>
    <row r="219" spans="1:1">
      <c r="A219" s="43" t="s">
        <v>236</v>
      </c>
    </row>
    <row r="220" spans="1:1">
      <c r="A220" s="43" t="s">
        <v>236</v>
      </c>
    </row>
    <row r="221" spans="1:1">
      <c r="A221" s="43" t="s">
        <v>236</v>
      </c>
    </row>
    <row r="222" spans="1:1">
      <c r="A222" s="43" t="s">
        <v>236</v>
      </c>
    </row>
    <row r="223" spans="1:1">
      <c r="A223" s="43" t="s">
        <v>236</v>
      </c>
    </row>
    <row r="224" spans="1:1">
      <c r="A224" s="43" t="s">
        <v>293</v>
      </c>
    </row>
    <row r="225" spans="1:1">
      <c r="A225" s="80" t="s">
        <v>293</v>
      </c>
    </row>
    <row r="226" spans="1:1">
      <c r="A226" s="96" t="s">
        <v>293</v>
      </c>
    </row>
    <row r="227" spans="1:1">
      <c r="A227" s="96" t="s">
        <v>293</v>
      </c>
    </row>
    <row r="228" spans="1:1">
      <c r="A228" s="96" t="s">
        <v>293</v>
      </c>
    </row>
    <row r="229" spans="1:1">
      <c r="A229" s="43" t="s">
        <v>294</v>
      </c>
    </row>
    <row r="230" spans="1:1">
      <c r="A230" s="43" t="s">
        <v>294</v>
      </c>
    </row>
    <row r="231" spans="1:1">
      <c r="A231" s="43" t="s">
        <v>294</v>
      </c>
    </row>
    <row r="232" spans="1:1">
      <c r="A232" s="43" t="s">
        <v>294</v>
      </c>
    </row>
    <row r="233" spans="1:1">
      <c r="A233" s="43" t="s">
        <v>268</v>
      </c>
    </row>
    <row r="234" spans="1:1">
      <c r="A234" s="43" t="s">
        <v>268</v>
      </c>
    </row>
    <row r="235" spans="1:1">
      <c r="A235" s="43" t="s">
        <v>268</v>
      </c>
    </row>
    <row r="236" spans="1:1">
      <c r="A236" s="43" t="s">
        <v>268</v>
      </c>
    </row>
    <row r="237" spans="1:1">
      <c r="A237" s="43" t="s">
        <v>268</v>
      </c>
    </row>
    <row r="238" spans="1:1">
      <c r="A238" s="80" t="s">
        <v>268</v>
      </c>
    </row>
    <row r="239" spans="1:1">
      <c r="A239" s="80" t="s">
        <v>268</v>
      </c>
    </row>
    <row r="240" spans="1:1">
      <c r="A240" s="43" t="s">
        <v>268</v>
      </c>
    </row>
    <row r="241" spans="1:1">
      <c r="A241" s="43" t="s">
        <v>268</v>
      </c>
    </row>
    <row r="242" spans="1:1">
      <c r="A242" s="43" t="s">
        <v>268</v>
      </c>
    </row>
    <row r="243" spans="1:1">
      <c r="A243" s="80" t="s">
        <v>295</v>
      </c>
    </row>
    <row r="244" spans="1:1">
      <c r="A244" s="80" t="s">
        <v>295</v>
      </c>
    </row>
    <row r="245" spans="1:1">
      <c r="A245" s="80" t="s">
        <v>295</v>
      </c>
    </row>
    <row r="246" spans="1:1">
      <c r="A246" s="96" t="s">
        <v>295</v>
      </c>
    </row>
    <row r="247" spans="1:1">
      <c r="A247" s="96" t="s">
        <v>295</v>
      </c>
    </row>
    <row r="248" spans="1:1">
      <c r="A248" s="80" t="s">
        <v>302</v>
      </c>
    </row>
    <row r="249" spans="1:1">
      <c r="A249" s="80" t="s">
        <v>302</v>
      </c>
    </row>
    <row r="250" spans="1:1">
      <c r="A250" s="80" t="s">
        <v>302</v>
      </c>
    </row>
    <row r="251" spans="1:1">
      <c r="A251" s="43" t="s">
        <v>303</v>
      </c>
    </row>
    <row r="252" spans="1:1">
      <c r="A252" s="96" t="s">
        <v>304</v>
      </c>
    </row>
    <row r="253" spans="1:1">
      <c r="A253" s="43" t="s">
        <v>264</v>
      </c>
    </row>
    <row r="254" spans="1:1">
      <c r="A254" s="43" t="s">
        <v>264</v>
      </c>
    </row>
    <row r="255" spans="1:1">
      <c r="A255" s="43" t="s">
        <v>264</v>
      </c>
    </row>
    <row r="256" spans="1:1">
      <c r="A256" s="43" t="s">
        <v>264</v>
      </c>
    </row>
    <row r="257" spans="1:1">
      <c r="A257" s="43" t="s">
        <v>264</v>
      </c>
    </row>
    <row r="258" spans="1:1">
      <c r="A258" s="43" t="s">
        <v>264</v>
      </c>
    </row>
    <row r="259" spans="1:1">
      <c r="A259" s="43" t="s">
        <v>264</v>
      </c>
    </row>
    <row r="260" spans="1:1">
      <c r="A260" s="43" t="s">
        <v>264</v>
      </c>
    </row>
    <row r="261" spans="1:1">
      <c r="A261" s="80" t="s">
        <v>264</v>
      </c>
    </row>
    <row r="262" spans="1:1">
      <c r="A262" s="80" t="s">
        <v>264</v>
      </c>
    </row>
    <row r="263" spans="1:1">
      <c r="A263" s="80" t="s">
        <v>264</v>
      </c>
    </row>
    <row r="264" spans="1:1">
      <c r="A264" s="43" t="s">
        <v>305</v>
      </c>
    </row>
    <row r="265" spans="1:1">
      <c r="A265" s="43" t="s">
        <v>306</v>
      </c>
    </row>
    <row r="266" spans="1:1">
      <c r="A266" s="43" t="s">
        <v>306</v>
      </c>
    </row>
    <row r="267" spans="1:1">
      <c r="A267" s="43" t="s">
        <v>258</v>
      </c>
    </row>
    <row r="268" spans="1:1">
      <c r="A268" s="43" t="s">
        <v>258</v>
      </c>
    </row>
    <row r="269" spans="1:1">
      <c r="A269" s="43" t="s">
        <v>258</v>
      </c>
    </row>
    <row r="270" spans="1:1">
      <c r="A270" s="43" t="s">
        <v>258</v>
      </c>
    </row>
    <row r="271" spans="1:1">
      <c r="A271" s="80" t="s">
        <v>258</v>
      </c>
    </row>
    <row r="272" spans="1:1">
      <c r="A272" s="80" t="s">
        <v>258</v>
      </c>
    </row>
    <row r="273" spans="1:1">
      <c r="A273" s="80" t="s">
        <v>258</v>
      </c>
    </row>
    <row r="274" spans="1:1">
      <c r="A274" s="43" t="s">
        <v>258</v>
      </c>
    </row>
    <row r="275" spans="1:1">
      <c r="A275" s="43" t="s">
        <v>258</v>
      </c>
    </row>
    <row r="276" spans="1:1">
      <c r="A276" s="43" t="s">
        <v>258</v>
      </c>
    </row>
    <row r="277" spans="1:1">
      <c r="A277" s="43" t="s">
        <v>258</v>
      </c>
    </row>
    <row r="278" spans="1:1">
      <c r="A278" s="43" t="s">
        <v>307</v>
      </c>
    </row>
    <row r="279" spans="1:1">
      <c r="A279" s="43" t="s">
        <v>308</v>
      </c>
    </row>
    <row r="280" spans="1:1">
      <c r="A280" s="184" t="s">
        <v>309</v>
      </c>
    </row>
    <row r="281" spans="1:1">
      <c r="A281" s="184" t="s">
        <v>309</v>
      </c>
    </row>
    <row r="282" spans="1:1">
      <c r="A282" s="80" t="s">
        <v>310</v>
      </c>
    </row>
    <row r="283" spans="1:1">
      <c r="A283" s="184" t="s">
        <v>310</v>
      </c>
    </row>
    <row r="284" spans="1:1">
      <c r="A284" s="185" t="s">
        <v>311</v>
      </c>
    </row>
    <row r="285" spans="1:1">
      <c r="A285" s="80" t="s">
        <v>311</v>
      </c>
    </row>
  </sheetData>
  <sortState ref="B3:E13">
    <sortCondition descending="1" ref="E2:E11"/>
  </sortState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U528"/>
  <sheetViews>
    <sheetView topLeftCell="A37" zoomScale="85" zoomScaleNormal="85" workbookViewId="0">
      <selection activeCell="Q24" sqref="Q24"/>
    </sheetView>
  </sheetViews>
  <sheetFormatPr defaultRowHeight="15"/>
  <cols>
    <col min="1" max="1" width="14.140625" style="79" customWidth="1"/>
    <col min="2" max="2" width="21.140625" style="79" bestFit="1" customWidth="1"/>
    <col min="3" max="6" width="9.140625" style="79"/>
    <col min="7" max="7" width="10.42578125" bestFit="1" customWidth="1"/>
    <col min="8" max="8" width="28.85546875" customWidth="1"/>
    <col min="9" max="9" width="26.85546875" bestFit="1" customWidth="1"/>
    <col min="10" max="10" width="21.85546875" bestFit="1" customWidth="1"/>
    <col min="11" max="11" width="18.42578125" bestFit="1" customWidth="1"/>
    <col min="12" max="12" width="14.85546875" bestFit="1" customWidth="1"/>
    <col min="13" max="13" width="18.5703125" bestFit="1" customWidth="1"/>
    <col min="14" max="14" width="27.85546875" bestFit="1" customWidth="1"/>
    <col min="15" max="15" width="14" bestFit="1" customWidth="1"/>
    <col min="20" max="20" width="26.85546875" bestFit="1" customWidth="1"/>
    <col min="21" max="21" width="11" customWidth="1"/>
    <col min="23" max="23" width="9.140625" style="112"/>
    <col min="29" max="29" width="26.85546875" bestFit="1" customWidth="1"/>
    <col min="39" max="39" width="26.85546875" bestFit="1" customWidth="1"/>
    <col min="40" max="40" width="15.140625" customWidth="1"/>
    <col min="41" max="41" width="15.42578125" customWidth="1"/>
    <col min="42" max="42" width="11" bestFit="1" customWidth="1"/>
    <col min="43" max="43" width="12.5703125" bestFit="1" customWidth="1"/>
  </cols>
  <sheetData>
    <row r="1" spans="1:47">
      <c r="A1" s="79" t="s">
        <v>65</v>
      </c>
      <c r="B1" s="79" t="s">
        <v>66</v>
      </c>
      <c r="C1" s="79" t="s">
        <v>67</v>
      </c>
      <c r="D1" s="79" t="s">
        <v>68</v>
      </c>
      <c r="E1" s="80" t="s">
        <v>69</v>
      </c>
      <c r="G1" s="86" t="s">
        <v>70</v>
      </c>
      <c r="H1" s="86" t="s">
        <v>71</v>
      </c>
      <c r="I1" s="86" t="s">
        <v>72</v>
      </c>
      <c r="J1" s="86" t="s">
        <v>73</v>
      </c>
      <c r="K1" s="86"/>
      <c r="L1" s="86" t="s">
        <v>74</v>
      </c>
      <c r="M1" s="86" t="s">
        <v>75</v>
      </c>
      <c r="N1" s="86" t="s">
        <v>76</v>
      </c>
      <c r="O1" s="86" t="s">
        <v>77</v>
      </c>
      <c r="P1" s="86" t="s">
        <v>78</v>
      </c>
      <c r="Q1" s="86" t="s">
        <v>79</v>
      </c>
      <c r="R1" s="86" t="s">
        <v>80</v>
      </c>
      <c r="T1" s="102" t="s">
        <v>81</v>
      </c>
      <c r="U1" t="s">
        <v>70</v>
      </c>
      <c r="V1" t="s">
        <v>74</v>
      </c>
      <c r="W1" s="112" t="s">
        <v>76</v>
      </c>
      <c r="X1" t="s">
        <v>78</v>
      </c>
      <c r="Y1" t="s">
        <v>80</v>
      </c>
      <c r="AD1" t="s">
        <v>74</v>
      </c>
      <c r="AE1" t="s">
        <v>76</v>
      </c>
      <c r="AF1" t="s">
        <v>78</v>
      </c>
      <c r="AG1" t="s">
        <v>80</v>
      </c>
      <c r="AH1" t="s">
        <v>82</v>
      </c>
      <c r="AI1" t="s">
        <v>83</v>
      </c>
      <c r="AJ1" t="s">
        <v>84</v>
      </c>
      <c r="AK1" t="s">
        <v>85</v>
      </c>
    </row>
    <row r="2" spans="1:47">
      <c r="A2" s="79" t="s">
        <v>11</v>
      </c>
      <c r="B2" s="44" t="s">
        <v>86</v>
      </c>
      <c r="C2" s="43">
        <v>22</v>
      </c>
      <c r="D2" s="81">
        <v>10.365853658536587</v>
      </c>
      <c r="E2" s="79">
        <f>C2/100</f>
        <v>0.22</v>
      </c>
      <c r="G2" s="86" t="s">
        <v>11</v>
      </c>
      <c r="H2" s="86">
        <f>AVERAGEIF($A$2:$A$528, "Plot 54_1",$C$2:$C$528)</f>
        <v>39.25</v>
      </c>
      <c r="I2" s="99">
        <f>AVERAGEIF($A$2:$A$528,$G2,$C$2:$C$528)</f>
        <v>39.25</v>
      </c>
      <c r="J2" s="87">
        <f>AVERAGEIF($A$2:$A$528,$G2,$D$2:$D$528)</f>
        <v>21.824186991869919</v>
      </c>
      <c r="K2" s="87"/>
      <c r="L2" s="86">
        <f>AVERAGEIF($A$2:$A$58, "Plot 54_1",$C$2:$C$59)</f>
        <v>39.25</v>
      </c>
      <c r="M2" s="86">
        <f>AVERAGEIF($A$2:$A$528, "Plot 54_1",$D$2:$D$528)</f>
        <v>21.824186991869919</v>
      </c>
      <c r="N2" s="87">
        <f>AVERAGEIF($A$2:$A$58, "Plot 54_1",$D$2:$D$59)</f>
        <v>21.824186991869919</v>
      </c>
      <c r="O2" s="86">
        <f>COUNT(C2:C25)</f>
        <v>24</v>
      </c>
      <c r="P2" s="332">
        <f>O2/0.25</f>
        <v>96</v>
      </c>
      <c r="Q2" s="87">
        <f>SUMIF($A$2:$A$528, "Plot 54_1",$E$2:$E$528)</f>
        <v>9.4200000000000017</v>
      </c>
      <c r="R2" s="87" t="s">
        <v>711</v>
      </c>
      <c r="T2" t="s">
        <v>87</v>
      </c>
      <c r="U2" t="s">
        <v>11</v>
      </c>
      <c r="V2" s="101">
        <v>39.25</v>
      </c>
      <c r="W2" s="112">
        <v>21.824186991869919</v>
      </c>
      <c r="X2">
        <v>96</v>
      </c>
      <c r="Y2">
        <v>376.80000000000007</v>
      </c>
      <c r="Z2" s="101"/>
      <c r="AA2" s="101"/>
      <c r="AC2" t="s">
        <v>87</v>
      </c>
      <c r="AD2" s="101">
        <v>43.27081722112429</v>
      </c>
      <c r="AE2" s="101">
        <v>23.108364129095833</v>
      </c>
      <c r="AF2" s="101">
        <v>1132</v>
      </c>
      <c r="AG2" s="101">
        <v>490.95999999999992</v>
      </c>
      <c r="AH2" s="101">
        <v>0.80157637209209198</v>
      </c>
      <c r="AI2" s="101">
        <v>0.86390109652547253</v>
      </c>
      <c r="AJ2" s="101">
        <v>68.77984200815429</v>
      </c>
      <c r="AK2" s="101">
        <v>32.635111289666092</v>
      </c>
      <c r="AS2" s="101"/>
      <c r="AT2" s="101"/>
      <c r="AU2" s="101"/>
    </row>
    <row r="3" spans="1:47">
      <c r="A3" s="79" t="s">
        <v>11</v>
      </c>
      <c r="B3" s="44" t="s">
        <v>88</v>
      </c>
      <c r="C3" s="43">
        <v>54</v>
      </c>
      <c r="D3" s="81">
        <v>34.146341463414636</v>
      </c>
      <c r="E3" s="79">
        <f t="shared" ref="E3:E66" si="0">C3/100</f>
        <v>0.54</v>
      </c>
      <c r="G3" s="86" t="s">
        <v>13</v>
      </c>
      <c r="H3" s="99">
        <f>AVERAGEIF($A$2:$A$528,$G3,$C$2:$C$528)</f>
        <v>46.227272727272727</v>
      </c>
      <c r="I3" s="99">
        <f t="shared" ref="I3:I20" si="1">AVERAGEIF($A$2:$A$528,$G3,$C$2:$C$528)</f>
        <v>46.227272727272727</v>
      </c>
      <c r="J3" s="87">
        <f t="shared" ref="J3:J20" si="2">AVERAGEIF($A$2:$A$528,$G3,$D$2:$D$528)</f>
        <v>26.274944567627493</v>
      </c>
      <c r="K3" s="87"/>
      <c r="L3" s="87">
        <f>AVERAGEIF($A$26:$A$58, "Plot 54_2",$C$26:$C$58)</f>
        <v>46.227272727272727</v>
      </c>
      <c r="M3" s="99">
        <f>AVERAGEIF($A$2:$A$528,$G3,$D$2:$D$528)</f>
        <v>26.274944567627493</v>
      </c>
      <c r="N3" s="87">
        <f>AVERAGEIF($A$26:$A$58, "Plot 54_2",$D$26:$D$59)</f>
        <v>26.274944567627493</v>
      </c>
      <c r="O3" s="86">
        <v>33</v>
      </c>
      <c r="P3" s="332">
        <f t="shared" ref="P3:P20" si="3">O3/0.25</f>
        <v>132</v>
      </c>
      <c r="Q3" s="87">
        <f>SUMIF($A$2:$A$528, "Plot 54_2",$E$2:$E$528)</f>
        <v>15.254999999999997</v>
      </c>
      <c r="R3" s="87">
        <f t="shared" ref="R3:R20" si="4">Q3/0.025</f>
        <v>610.19999999999982</v>
      </c>
      <c r="T3" t="s">
        <v>87</v>
      </c>
      <c r="U3" t="s">
        <v>13</v>
      </c>
      <c r="V3" s="101">
        <v>46.227272727272727</v>
      </c>
      <c r="W3" s="112">
        <v>26.274944567627493</v>
      </c>
      <c r="X3">
        <v>132</v>
      </c>
      <c r="Y3">
        <v>610.19999999999982</v>
      </c>
      <c r="Z3" s="101"/>
      <c r="AA3" s="101"/>
      <c r="AC3" t="s">
        <v>89</v>
      </c>
      <c r="AD3" s="101">
        <v>29.12</v>
      </c>
      <c r="AE3" s="101">
        <v>17.839999999999996</v>
      </c>
      <c r="AF3" s="101">
        <v>980</v>
      </c>
      <c r="AG3" s="101">
        <v>285.07</v>
      </c>
      <c r="AH3" s="101">
        <v>1.1808753815143522</v>
      </c>
      <c r="AI3" s="101">
        <v>0.37498888872427527</v>
      </c>
      <c r="AJ3" s="101">
        <v>101.32456102380442</v>
      </c>
      <c r="AK3" s="101">
        <v>30.90631165312357</v>
      </c>
      <c r="AS3" s="101"/>
      <c r="AT3" s="101"/>
      <c r="AU3" s="101"/>
    </row>
    <row r="4" spans="1:47">
      <c r="A4" s="79" t="s">
        <v>11</v>
      </c>
      <c r="B4" s="44" t="s">
        <v>90</v>
      </c>
      <c r="C4" s="43">
        <v>46</v>
      </c>
      <c r="D4" s="81">
        <v>34.146341463414636</v>
      </c>
      <c r="E4" s="79">
        <f t="shared" si="0"/>
        <v>0.46</v>
      </c>
      <c r="G4" s="86" t="s">
        <v>15</v>
      </c>
      <c r="H4" s="99">
        <f>AVERAGEIF($A$2:$A$528,$G4,$C$2:$C$528)</f>
        <v>43.6875</v>
      </c>
      <c r="I4" s="99">
        <f t="shared" si="1"/>
        <v>43.6875</v>
      </c>
      <c r="J4" s="87">
        <f t="shared" si="2"/>
        <v>22.34184451219512</v>
      </c>
      <c r="K4" s="87"/>
      <c r="L4" s="87">
        <f>AVERAGEIF($A$59:$A$90, "Plot 55_3",$C$59:$C$90)</f>
        <v>43.6875</v>
      </c>
      <c r="M4" s="99">
        <f t="shared" ref="M4:M20" si="5">AVERAGEIF($A$2:$A$528,$G4,$D$2:$D$528)</f>
        <v>22.34184451219512</v>
      </c>
      <c r="N4" s="87">
        <f>AVERAGEIF($A$59:$A$90, "Plot 55_3",$D$59:$D$90)</f>
        <v>22.34184451219512</v>
      </c>
      <c r="O4" s="86">
        <v>32</v>
      </c>
      <c r="P4" s="332">
        <f t="shared" si="3"/>
        <v>128</v>
      </c>
      <c r="Q4" s="87">
        <f>SUMIF($A$2:$A$528,"Plot 55_3",$E$2:$E$528)</f>
        <v>13.98</v>
      </c>
      <c r="R4" s="87">
        <f t="shared" si="4"/>
        <v>559.19999999999993</v>
      </c>
      <c r="T4" t="s">
        <v>87</v>
      </c>
      <c r="U4" t="s">
        <v>15</v>
      </c>
      <c r="V4" s="101">
        <v>43.6875</v>
      </c>
      <c r="W4" s="112">
        <v>22.34184451219512</v>
      </c>
      <c r="X4">
        <v>128</v>
      </c>
      <c r="Y4">
        <v>559.19999999999993</v>
      </c>
      <c r="Z4" s="101"/>
      <c r="AA4" s="101"/>
      <c r="AC4" t="s">
        <v>91</v>
      </c>
      <c r="AD4" s="101">
        <v>38.182000000000002</v>
      </c>
      <c r="AE4" s="101">
        <v>17.734000000000002</v>
      </c>
      <c r="AF4" s="101">
        <v>1168</v>
      </c>
      <c r="AG4" s="101">
        <v>446.52799999999996</v>
      </c>
      <c r="AH4" s="101">
        <v>0.87408466409152896</v>
      </c>
      <c r="AI4" s="101">
        <v>1.9535265547209733</v>
      </c>
      <c r="AJ4" s="101">
        <v>99.116093546910932</v>
      </c>
      <c r="AK4" s="101">
        <v>40.527611131178084</v>
      </c>
      <c r="AS4" s="101"/>
      <c r="AT4" s="101"/>
      <c r="AU4" s="101"/>
    </row>
    <row r="5" spans="1:47">
      <c r="A5" s="79" t="s">
        <v>11</v>
      </c>
      <c r="B5" s="44" t="s">
        <v>92</v>
      </c>
      <c r="C5" s="43">
        <v>27</v>
      </c>
      <c r="D5" s="81">
        <v>11.280487804878049</v>
      </c>
      <c r="E5" s="79">
        <f t="shared" si="0"/>
        <v>0.27</v>
      </c>
      <c r="G5" s="86" t="s">
        <v>16</v>
      </c>
      <c r="H5" s="99">
        <f t="shared" ref="H5:H20" si="6">AVERAGEIF($A$2:$A$528,$G5,$C$2:$C$528)</f>
        <v>45.242424242424242</v>
      </c>
      <c r="I5" s="99">
        <f t="shared" si="1"/>
        <v>45.242424242424242</v>
      </c>
      <c r="J5" s="87">
        <f t="shared" si="2"/>
        <v>23.68810051736881</v>
      </c>
      <c r="K5" s="87"/>
      <c r="L5" s="87">
        <f>AVERAGEIF($A$91:$A$123, "Plot 55_4",$C$91:$C$123)</f>
        <v>45.242424242424242</v>
      </c>
      <c r="M5" s="99">
        <f t="shared" si="5"/>
        <v>23.68810051736881</v>
      </c>
      <c r="N5" s="87">
        <f>AVERAGEIF($A$91:$A$123, "Plot 55_4",$D$91:$D$123)</f>
        <v>23.68810051736881</v>
      </c>
      <c r="O5" s="86">
        <v>33</v>
      </c>
      <c r="P5" s="332">
        <f t="shared" si="3"/>
        <v>132</v>
      </c>
      <c r="Q5" s="87">
        <f>SUMIF($A$2:$A$528,"Plot 55_4",$E$2:$E$528)</f>
        <v>14.930000000000001</v>
      </c>
      <c r="R5" s="87">
        <f t="shared" si="4"/>
        <v>597.20000000000005</v>
      </c>
      <c r="T5" t="s">
        <v>87</v>
      </c>
      <c r="U5" t="s">
        <v>16</v>
      </c>
      <c r="V5" s="101">
        <v>45.242424242424242</v>
      </c>
      <c r="W5" s="112">
        <v>23.68810051736881</v>
      </c>
      <c r="X5">
        <v>132</v>
      </c>
      <c r="Y5">
        <v>597.20000000000005</v>
      </c>
      <c r="Z5" s="101"/>
      <c r="AA5" s="101"/>
    </row>
    <row r="6" spans="1:47">
      <c r="A6" s="79" t="s">
        <v>11</v>
      </c>
      <c r="B6" s="43" t="s">
        <v>93</v>
      </c>
      <c r="C6" s="43">
        <v>21</v>
      </c>
      <c r="D6" s="81">
        <v>12.195121951219512</v>
      </c>
      <c r="E6" s="79">
        <f t="shared" si="0"/>
        <v>0.21</v>
      </c>
      <c r="G6" s="86" t="s">
        <v>19</v>
      </c>
      <c r="H6" s="99">
        <f t="shared" si="6"/>
        <v>40.541666666666664</v>
      </c>
      <c r="I6" s="99">
        <f t="shared" si="1"/>
        <v>40.541666666666664</v>
      </c>
      <c r="J6" s="87">
        <f t="shared" si="2"/>
        <v>19.004065040650406</v>
      </c>
      <c r="K6" s="87"/>
      <c r="L6" s="87">
        <f>AVERAGEIF($A$124:$A$146,"Plot 60_5",$C$124:$C$183)</f>
        <v>40.521739130434781</v>
      </c>
      <c r="M6" s="99">
        <f t="shared" si="5"/>
        <v>19.004065040650406</v>
      </c>
      <c r="N6" s="87">
        <f>AVERAGEIF($A$124:$A$147, "Plot 60_5",$D$124:$D$147)</f>
        <v>19.004065040650406</v>
      </c>
      <c r="O6" s="86">
        <v>24</v>
      </c>
      <c r="P6" s="332">
        <f t="shared" si="3"/>
        <v>96</v>
      </c>
      <c r="Q6" s="87">
        <f>SUMIF($A$2:$A$528,"Plot 60_5",$E$2:$E$528)</f>
        <v>9.7299999999999986</v>
      </c>
      <c r="R6" s="87">
        <f t="shared" si="4"/>
        <v>389.19999999999993</v>
      </c>
      <c r="T6" t="s">
        <v>87</v>
      </c>
      <c r="U6" t="s">
        <v>19</v>
      </c>
      <c r="V6" s="101">
        <v>40.521739130434781</v>
      </c>
      <c r="W6" s="112">
        <v>19.004065040650406</v>
      </c>
      <c r="X6">
        <v>96</v>
      </c>
      <c r="Y6">
        <v>389.19999999999993</v>
      </c>
      <c r="Z6" s="101"/>
      <c r="AA6" s="101"/>
    </row>
    <row r="7" spans="1:47">
      <c r="A7" s="79" t="s">
        <v>11</v>
      </c>
      <c r="B7" s="44" t="s">
        <v>94</v>
      </c>
      <c r="C7" s="43">
        <v>24</v>
      </c>
      <c r="D7" s="81">
        <v>12.5</v>
      </c>
      <c r="E7" s="79">
        <f t="shared" si="0"/>
        <v>0.24</v>
      </c>
      <c r="G7" s="86" t="s">
        <v>21</v>
      </c>
      <c r="H7" s="99">
        <f t="shared" si="6"/>
        <v>42.111111111111114</v>
      </c>
      <c r="I7" s="99">
        <f t="shared" si="1"/>
        <v>42.111111111111114</v>
      </c>
      <c r="J7" s="87">
        <f t="shared" si="2"/>
        <v>21.790311653116529</v>
      </c>
      <c r="K7" s="87"/>
      <c r="L7" s="87">
        <f>AVERAGEIF($A$148:$A$183,"Plot 60_6",$C$148:$C$183)</f>
        <v>42.111111111111114</v>
      </c>
      <c r="M7" s="99">
        <f t="shared" si="5"/>
        <v>21.790311653116529</v>
      </c>
      <c r="N7" s="87">
        <f>AVERAGEIF($A$148:$A$183, "Plot 60_6",$D$148:$D$183)</f>
        <v>21.790311653116529</v>
      </c>
      <c r="O7" s="86">
        <v>36</v>
      </c>
      <c r="P7" s="332">
        <f t="shared" si="3"/>
        <v>144</v>
      </c>
      <c r="Q7" s="87">
        <f>SUMIF($A$2:$A$528,"Plot 60_6",$E$2:$E$528)</f>
        <v>15.160000000000002</v>
      </c>
      <c r="R7" s="87">
        <f t="shared" si="4"/>
        <v>606.40000000000009</v>
      </c>
      <c r="T7" t="s">
        <v>87</v>
      </c>
      <c r="U7" t="s">
        <v>21</v>
      </c>
      <c r="V7" s="101">
        <v>42.111111111111114</v>
      </c>
      <c r="W7" s="112">
        <v>21.790311653116529</v>
      </c>
      <c r="X7">
        <v>144</v>
      </c>
      <c r="Y7">
        <v>606.40000000000009</v>
      </c>
      <c r="Z7" s="101"/>
      <c r="AA7" s="101"/>
    </row>
    <row r="8" spans="1:47">
      <c r="A8" s="79" t="s">
        <v>11</v>
      </c>
      <c r="B8" s="44" t="s">
        <v>88</v>
      </c>
      <c r="C8" s="43">
        <v>65</v>
      </c>
      <c r="D8" s="81">
        <v>32.012195121951223</v>
      </c>
      <c r="E8" s="79">
        <f t="shared" si="0"/>
        <v>0.65</v>
      </c>
      <c r="G8" s="86" t="s">
        <v>23</v>
      </c>
      <c r="H8" s="99">
        <f t="shared" si="6"/>
        <v>42</v>
      </c>
      <c r="I8" s="99">
        <f t="shared" si="1"/>
        <v>42</v>
      </c>
      <c r="J8" s="87">
        <f t="shared" si="2"/>
        <v>24.100609756097562</v>
      </c>
      <c r="K8" s="87"/>
      <c r="L8" s="87">
        <f>AVERAGEIF($A$184:$A$203,"Plot 61_7",$C$184:$C$203)</f>
        <v>42</v>
      </c>
      <c r="M8" s="99">
        <f t="shared" si="5"/>
        <v>24.100609756097562</v>
      </c>
      <c r="N8" s="87">
        <f>AVERAGEIF($A$184:$A$203, "Plot 61_7",$D$184:$D$203)</f>
        <v>24.100609756097562</v>
      </c>
      <c r="O8" s="86">
        <v>20</v>
      </c>
      <c r="P8" s="332">
        <f t="shared" si="3"/>
        <v>80</v>
      </c>
      <c r="Q8" s="87">
        <f>SUMIF($A$2:$A$528,"Plot 61_7",$E$2:$E$528)</f>
        <v>8.4</v>
      </c>
      <c r="R8" s="87">
        <f t="shared" si="4"/>
        <v>336</v>
      </c>
      <c r="T8" t="s">
        <v>87</v>
      </c>
      <c r="U8" t="s">
        <v>23</v>
      </c>
      <c r="V8" s="101">
        <v>42</v>
      </c>
      <c r="W8" s="112">
        <v>24.100609756097562</v>
      </c>
      <c r="X8">
        <v>80</v>
      </c>
      <c r="Y8">
        <v>336</v>
      </c>
      <c r="Z8" s="101"/>
      <c r="AA8" s="101"/>
    </row>
    <row r="9" spans="1:47">
      <c r="A9" s="79" t="s">
        <v>11</v>
      </c>
      <c r="B9" s="44" t="s">
        <v>95</v>
      </c>
      <c r="C9" s="43">
        <v>26</v>
      </c>
      <c r="D9" s="81">
        <v>17.073170731707318</v>
      </c>
      <c r="E9" s="79">
        <f t="shared" si="0"/>
        <v>0.26</v>
      </c>
      <c r="G9" s="86" t="s">
        <v>24</v>
      </c>
      <c r="H9" s="99">
        <f t="shared" si="6"/>
        <v>46.25</v>
      </c>
      <c r="I9" s="99">
        <f t="shared" si="1"/>
        <v>46.25</v>
      </c>
      <c r="J9" s="87">
        <f t="shared" si="2"/>
        <v>28.061483739837396</v>
      </c>
      <c r="K9" s="87"/>
      <c r="L9" s="87">
        <f>AVERAGEIF($A$204:$A$227,"Plot 61_8",$C$204:$C$227)</f>
        <v>46.25</v>
      </c>
      <c r="M9" s="99">
        <f t="shared" si="5"/>
        <v>28.061483739837396</v>
      </c>
      <c r="N9" s="87">
        <f>AVERAGEIF($A$204:$A$227, "Plot 61_8",$D$204:$D$227)</f>
        <v>28.061483739837396</v>
      </c>
      <c r="O9" s="86">
        <v>24</v>
      </c>
      <c r="P9" s="332">
        <f t="shared" si="3"/>
        <v>96</v>
      </c>
      <c r="Q9" s="87">
        <f>SUMIF($A$2:$A$528,"Plot 61_8",$E$2:$E$528)</f>
        <v>11.100000000000001</v>
      </c>
      <c r="R9" s="87">
        <f t="shared" si="4"/>
        <v>444.00000000000006</v>
      </c>
      <c r="T9" t="s">
        <v>87</v>
      </c>
      <c r="U9" t="s">
        <v>24</v>
      </c>
      <c r="V9" s="101">
        <v>46.25</v>
      </c>
      <c r="W9" s="112">
        <v>28.061483739837396</v>
      </c>
      <c r="X9">
        <v>96</v>
      </c>
      <c r="Y9">
        <v>444.00000000000006</v>
      </c>
      <c r="Z9" s="101"/>
      <c r="AA9" s="101"/>
    </row>
    <row r="10" spans="1:47">
      <c r="A10" s="79" t="s">
        <v>11</v>
      </c>
      <c r="B10" s="44" t="s">
        <v>96</v>
      </c>
      <c r="C10" s="43">
        <v>54</v>
      </c>
      <c r="D10" s="81">
        <v>18.292682926829269</v>
      </c>
      <c r="E10" s="79">
        <f t="shared" si="0"/>
        <v>0.54</v>
      </c>
      <c r="G10" s="86" t="s">
        <v>25</v>
      </c>
      <c r="H10" s="99">
        <f t="shared" si="6"/>
        <v>41.578125</v>
      </c>
      <c r="I10" s="99">
        <f t="shared" si="1"/>
        <v>41.578125</v>
      </c>
      <c r="J10" s="87">
        <f t="shared" si="2"/>
        <v>19.998094512195124</v>
      </c>
      <c r="K10" s="87"/>
      <c r="L10" s="87">
        <f>AVERAGEIF($A$228:$A$259,"Plot 64_9",$C$228:$C$259)</f>
        <v>41.578125</v>
      </c>
      <c r="M10" s="99">
        <f t="shared" si="5"/>
        <v>19.998094512195124</v>
      </c>
      <c r="N10" s="87">
        <f>AVERAGEIF($A$228:$A$259, "Plot 64_9",$D$228:$D$259)</f>
        <v>19.998094512195124</v>
      </c>
      <c r="O10" s="86">
        <v>32</v>
      </c>
      <c r="P10" s="332">
        <f t="shared" si="3"/>
        <v>128</v>
      </c>
      <c r="Q10" s="87">
        <f>SUMIF($A$2:$A$528,"Plot 64_9",$E$2:$E$528)</f>
        <v>13.305000000000001</v>
      </c>
      <c r="R10" s="87">
        <f t="shared" si="4"/>
        <v>532.20000000000005</v>
      </c>
      <c r="T10" t="s">
        <v>87</v>
      </c>
      <c r="U10" t="s">
        <v>25</v>
      </c>
      <c r="V10" s="101">
        <v>41.578125</v>
      </c>
      <c r="W10" s="112">
        <v>19.998094512195124</v>
      </c>
      <c r="X10">
        <v>128</v>
      </c>
      <c r="Y10">
        <v>532.20000000000005</v>
      </c>
      <c r="Z10" s="101"/>
      <c r="AA10" s="101"/>
    </row>
    <row r="11" spans="1:47">
      <c r="A11" s="79" t="s">
        <v>11</v>
      </c>
      <c r="B11" s="44" t="s">
        <v>92</v>
      </c>
      <c r="C11" s="43">
        <v>37</v>
      </c>
      <c r="D11" s="81">
        <v>19.81707317073171</v>
      </c>
      <c r="E11" s="79">
        <f t="shared" si="0"/>
        <v>0.37</v>
      </c>
      <c r="G11" s="86" t="s">
        <v>26</v>
      </c>
      <c r="H11" s="99">
        <f t="shared" si="6"/>
        <v>45.84</v>
      </c>
      <c r="I11" s="99">
        <f t="shared" si="1"/>
        <v>45.84</v>
      </c>
      <c r="J11" s="87">
        <f t="shared" si="2"/>
        <v>24</v>
      </c>
      <c r="K11" s="87"/>
      <c r="L11" s="87">
        <f>AVERAGEIF($A$260:$A$284,"Plot 64_10",$C$260:$C$284)</f>
        <v>45.84</v>
      </c>
      <c r="M11" s="99">
        <f t="shared" si="5"/>
        <v>24</v>
      </c>
      <c r="N11" s="87">
        <f>AVERAGEIF($A$260:$A$284, "Plot 64_10",$D$260:$D$284)</f>
        <v>24</v>
      </c>
      <c r="O11" s="86">
        <v>25</v>
      </c>
      <c r="P11" s="332">
        <f t="shared" si="3"/>
        <v>100</v>
      </c>
      <c r="Q11" s="87">
        <f>SUMIF($A$2:$A$528,"Plot 64_10",$E$2:$E$528)</f>
        <v>11.459999999999999</v>
      </c>
      <c r="R11" s="87">
        <f t="shared" si="4"/>
        <v>458.39999999999992</v>
      </c>
      <c r="T11" t="s">
        <v>87</v>
      </c>
      <c r="U11" t="s">
        <v>26</v>
      </c>
      <c r="V11" s="101">
        <v>45.84</v>
      </c>
      <c r="W11" s="112">
        <v>24</v>
      </c>
      <c r="X11">
        <v>100</v>
      </c>
      <c r="Y11">
        <v>458.39999999999992</v>
      </c>
      <c r="Z11" s="101"/>
      <c r="AA11" s="101"/>
    </row>
    <row r="12" spans="1:47">
      <c r="A12" s="79" t="s">
        <v>11</v>
      </c>
      <c r="B12" s="44" t="s">
        <v>92</v>
      </c>
      <c r="C12" s="43">
        <v>28</v>
      </c>
      <c r="D12" s="81">
        <v>25.609756097560979</v>
      </c>
      <c r="E12" s="79">
        <f t="shared" si="0"/>
        <v>0.28000000000000003</v>
      </c>
      <c r="G12" s="86" t="s">
        <v>32</v>
      </c>
      <c r="H12" s="99">
        <f t="shared" si="6"/>
        <v>28.117857142857151</v>
      </c>
      <c r="I12" s="99">
        <f t="shared" si="1"/>
        <v>28.117857142857151</v>
      </c>
      <c r="J12" s="87">
        <f t="shared" si="2"/>
        <v>17.583841463414632</v>
      </c>
      <c r="K12" s="87"/>
      <c r="L12" s="87">
        <v>28</v>
      </c>
      <c r="M12" s="99">
        <f t="shared" si="5"/>
        <v>17.583841463414632</v>
      </c>
      <c r="N12" s="86">
        <v>17.579999999999998</v>
      </c>
      <c r="O12" s="86">
        <v>28</v>
      </c>
      <c r="P12" s="332">
        <f t="shared" si="3"/>
        <v>112</v>
      </c>
      <c r="Q12" s="87">
        <f>SUMIF($A$2:$A$528,"Plot 13_1",$E$2:$E$528)</f>
        <v>7.8729999999999993</v>
      </c>
      <c r="R12" s="87">
        <f t="shared" si="4"/>
        <v>314.91999999999996</v>
      </c>
      <c r="V12" s="100">
        <f>AVERAGE(V2:V11)</f>
        <v>43.27081722112429</v>
      </c>
      <c r="W12" s="333">
        <f t="shared" ref="W12:Y12" si="7">AVERAGE(W2:W11)</f>
        <v>23.108364129095833</v>
      </c>
      <c r="X12" s="100">
        <f>AVERAGE(X2:X11)</f>
        <v>113.2</v>
      </c>
      <c r="Y12" s="100">
        <f t="shared" si="7"/>
        <v>490.95999999999992</v>
      </c>
      <c r="Z12" s="101"/>
      <c r="AA12" s="100"/>
    </row>
    <row r="13" spans="1:47">
      <c r="A13" s="79" t="s">
        <v>11</v>
      </c>
      <c r="B13" s="43" t="s">
        <v>93</v>
      </c>
      <c r="C13" s="43">
        <v>57</v>
      </c>
      <c r="D13" s="81">
        <v>35.060975609756099</v>
      </c>
      <c r="E13" s="79">
        <f t="shared" si="0"/>
        <v>0.56999999999999995</v>
      </c>
      <c r="G13" s="86" t="s">
        <v>33</v>
      </c>
      <c r="H13" s="99">
        <f t="shared" si="6"/>
        <v>26.343478260869563</v>
      </c>
      <c r="I13" s="99">
        <f t="shared" si="1"/>
        <v>26.343478260869563</v>
      </c>
      <c r="J13" s="87">
        <f t="shared" si="2"/>
        <v>18.769883351007426</v>
      </c>
      <c r="K13" s="87"/>
      <c r="L13" s="86">
        <v>26.34</v>
      </c>
      <c r="M13" s="99">
        <f t="shared" si="5"/>
        <v>18.769883351007426</v>
      </c>
      <c r="N13" s="86">
        <v>18.77</v>
      </c>
      <c r="O13" s="86">
        <v>23</v>
      </c>
      <c r="P13" s="332">
        <f t="shared" si="3"/>
        <v>92</v>
      </c>
      <c r="Q13" s="87">
        <f>SUMIF($A$2:$A$528,"Plot 13_2",$E$2:$E$528)</f>
        <v>6.0590000000000011</v>
      </c>
      <c r="R13" s="87">
        <f t="shared" si="4"/>
        <v>242.36000000000004</v>
      </c>
      <c r="V13" s="101">
        <f>STDEV(V2:V11)/SQRT(10)</f>
        <v>0.80157637209209165</v>
      </c>
      <c r="W13" s="334">
        <f t="shared" ref="W13:Y13" si="8">STDEV(W2:W11)/SQRT(10)</f>
        <v>0.86390109652547253</v>
      </c>
      <c r="X13" s="101">
        <f t="shared" si="8"/>
        <v>6.8779842008154333</v>
      </c>
      <c r="Y13" s="101">
        <f t="shared" si="8"/>
        <v>32.635111289666092</v>
      </c>
      <c r="Z13" s="101"/>
      <c r="AA13" s="101"/>
    </row>
    <row r="14" spans="1:47">
      <c r="A14" s="79" t="s">
        <v>11</v>
      </c>
      <c r="B14" s="44" t="s">
        <v>88</v>
      </c>
      <c r="C14" s="43">
        <v>54</v>
      </c>
      <c r="D14" s="81">
        <v>34.451219512195124</v>
      </c>
      <c r="E14" s="79">
        <f t="shared" si="0"/>
        <v>0.54</v>
      </c>
      <c r="G14" s="86" t="s">
        <v>34</v>
      </c>
      <c r="H14" s="99">
        <f t="shared" si="6"/>
        <v>31.344444444444441</v>
      </c>
      <c r="I14" s="99">
        <f t="shared" si="1"/>
        <v>31.344444444444441</v>
      </c>
      <c r="J14" s="87">
        <f t="shared" si="2"/>
        <v>16.990176151761521</v>
      </c>
      <c r="K14" s="87"/>
      <c r="L14" s="86">
        <v>31.34</v>
      </c>
      <c r="M14" s="99">
        <f t="shared" si="5"/>
        <v>16.990176151761521</v>
      </c>
      <c r="N14" s="86">
        <v>16.989999999999998</v>
      </c>
      <c r="O14" s="86">
        <v>18</v>
      </c>
      <c r="P14" s="332">
        <f t="shared" si="3"/>
        <v>72</v>
      </c>
      <c r="Q14" s="87">
        <f>SUMIF($A$2:$A$528,"Plot 13_3",$E$2:$E$528)</f>
        <v>5.6419999999999995</v>
      </c>
      <c r="R14" s="87">
        <f t="shared" si="4"/>
        <v>225.67999999999998</v>
      </c>
      <c r="T14" s="102" t="s">
        <v>97</v>
      </c>
      <c r="Z14" s="101"/>
      <c r="AA14" s="101"/>
    </row>
    <row r="15" spans="1:47">
      <c r="A15" s="79" t="s">
        <v>11</v>
      </c>
      <c r="B15" s="44" t="s">
        <v>92</v>
      </c>
      <c r="C15" s="43">
        <v>31</v>
      </c>
      <c r="D15" s="81">
        <v>18.292682926829269</v>
      </c>
      <c r="E15" s="79">
        <f t="shared" si="0"/>
        <v>0.31</v>
      </c>
      <c r="G15" s="86" t="s">
        <v>35</v>
      </c>
      <c r="H15" s="99">
        <f t="shared" si="6"/>
        <v>30.803448275862067</v>
      </c>
      <c r="I15" s="99">
        <f t="shared" si="1"/>
        <v>30.803448275862067</v>
      </c>
      <c r="J15" s="87">
        <f t="shared" si="2"/>
        <v>18.018292682926834</v>
      </c>
      <c r="K15" s="87"/>
      <c r="L15" s="87">
        <v>30.8</v>
      </c>
      <c r="M15" s="99">
        <f t="shared" si="5"/>
        <v>18.018292682926834</v>
      </c>
      <c r="N15" s="86">
        <v>18.02</v>
      </c>
      <c r="O15" s="86">
        <v>29</v>
      </c>
      <c r="P15" s="332">
        <f t="shared" si="3"/>
        <v>116</v>
      </c>
      <c r="Q15" s="87">
        <f>SUMIF($A$2:$A$528,"Plot 13_4",$E$2:$E$528)</f>
        <v>8.9329999999999998</v>
      </c>
      <c r="R15" s="87">
        <f t="shared" si="4"/>
        <v>357.32</v>
      </c>
      <c r="T15" t="s">
        <v>89</v>
      </c>
      <c r="U15" t="s">
        <v>32</v>
      </c>
      <c r="V15" s="101">
        <v>28</v>
      </c>
      <c r="W15" s="112">
        <v>17.579999999999998</v>
      </c>
      <c r="X15">
        <v>112</v>
      </c>
      <c r="Y15">
        <v>314.91999999999996</v>
      </c>
      <c r="Z15" s="101"/>
      <c r="AA15" s="101"/>
      <c r="AN15" t="s">
        <v>794</v>
      </c>
      <c r="AP15" t="s">
        <v>795</v>
      </c>
      <c r="AQ15" t="s">
        <v>796</v>
      </c>
    </row>
    <row r="16" spans="1:47">
      <c r="A16" s="79" t="s">
        <v>11</v>
      </c>
      <c r="B16" s="43" t="s">
        <v>98</v>
      </c>
      <c r="C16" s="43">
        <v>39</v>
      </c>
      <c r="D16" s="81">
        <v>16.76829268292683</v>
      </c>
      <c r="E16" s="79">
        <f t="shared" si="0"/>
        <v>0.39</v>
      </c>
      <c r="G16" s="86" t="s">
        <v>38</v>
      </c>
      <c r="H16" s="99">
        <f t="shared" si="6"/>
        <v>37.962499999999999</v>
      </c>
      <c r="I16" s="99">
        <f t="shared" si="1"/>
        <v>37.962499999999999</v>
      </c>
      <c r="J16" s="87">
        <f t="shared" si="2"/>
        <v>12.546747967479675</v>
      </c>
      <c r="K16" s="87"/>
      <c r="L16" s="87">
        <v>37.96</v>
      </c>
      <c r="M16" s="99">
        <f t="shared" si="5"/>
        <v>12.546747967479675</v>
      </c>
      <c r="N16" s="86">
        <v>12.55</v>
      </c>
      <c r="O16" s="86">
        <v>24</v>
      </c>
      <c r="P16" s="332">
        <f t="shared" si="3"/>
        <v>96</v>
      </c>
      <c r="Q16" s="87">
        <f>SUMIF($A$2:$A$528,"Plot 18_1",$E$2:$E$528)</f>
        <v>9.1110000000000024</v>
      </c>
      <c r="R16" s="87">
        <f t="shared" si="4"/>
        <v>364.44000000000005</v>
      </c>
      <c r="T16" t="s">
        <v>89</v>
      </c>
      <c r="U16" t="s">
        <v>33</v>
      </c>
      <c r="V16" s="101">
        <v>26.34</v>
      </c>
      <c r="W16" s="112">
        <v>18.77</v>
      </c>
      <c r="X16">
        <v>92</v>
      </c>
      <c r="Y16">
        <v>242.36000000000004</v>
      </c>
      <c r="Z16" s="101"/>
      <c r="AP16">
        <v>6.8779842008154333</v>
      </c>
      <c r="AQ16">
        <v>11.388883468833399</v>
      </c>
    </row>
    <row r="17" spans="1:43">
      <c r="A17" s="79" t="s">
        <v>11</v>
      </c>
      <c r="B17" s="43" t="s">
        <v>98</v>
      </c>
      <c r="C17" s="43">
        <v>28</v>
      </c>
      <c r="D17" s="81">
        <v>17.682926829268293</v>
      </c>
      <c r="E17" s="79">
        <f t="shared" si="0"/>
        <v>0.28000000000000003</v>
      </c>
      <c r="G17" s="86" t="s">
        <v>39</v>
      </c>
      <c r="H17" s="99">
        <f t="shared" si="6"/>
        <v>35.184615384615384</v>
      </c>
      <c r="I17" s="99">
        <f t="shared" si="1"/>
        <v>35.184615384615384</v>
      </c>
      <c r="J17" s="87">
        <f t="shared" si="2"/>
        <v>14.598968105065664</v>
      </c>
      <c r="K17" s="87"/>
      <c r="L17" s="87">
        <v>35.18</v>
      </c>
      <c r="M17" s="99">
        <f t="shared" si="5"/>
        <v>14.598968105065664</v>
      </c>
      <c r="N17" s="86">
        <v>14.6</v>
      </c>
      <c r="O17" s="86">
        <v>26</v>
      </c>
      <c r="P17" s="332">
        <f t="shared" si="3"/>
        <v>104</v>
      </c>
      <c r="Q17" s="87">
        <f>SUMIF($A$2:$A$528,"Plot 19_2",$E$2:$E$528)</f>
        <v>9.1479999999999997</v>
      </c>
      <c r="R17" s="87">
        <f t="shared" si="4"/>
        <v>365.91999999999996</v>
      </c>
      <c r="T17" t="s">
        <v>89</v>
      </c>
      <c r="U17" t="s">
        <v>34</v>
      </c>
      <c r="V17" s="101">
        <v>31.34</v>
      </c>
      <c r="W17" s="112">
        <v>16.989999999999998</v>
      </c>
      <c r="X17">
        <v>72</v>
      </c>
      <c r="Y17">
        <v>225.67999999999998</v>
      </c>
      <c r="Z17" s="101"/>
      <c r="AP17">
        <v>10.132456102380443</v>
      </c>
      <c r="AQ17">
        <v>7.1414284285428504</v>
      </c>
    </row>
    <row r="18" spans="1:43">
      <c r="A18" s="79" t="s">
        <v>11</v>
      </c>
      <c r="B18" s="44" t="s">
        <v>95</v>
      </c>
      <c r="C18" s="43">
        <v>23</v>
      </c>
      <c r="D18" s="81">
        <v>17.073170731707318</v>
      </c>
      <c r="E18" s="79">
        <f t="shared" si="0"/>
        <v>0.23</v>
      </c>
      <c r="G18" s="86" t="s">
        <v>40</v>
      </c>
      <c r="H18" s="99">
        <f t="shared" si="6"/>
        <v>39.415151515151507</v>
      </c>
      <c r="I18" s="99">
        <f t="shared" si="1"/>
        <v>39.415151515151507</v>
      </c>
      <c r="J18" s="87">
        <f t="shared" si="2"/>
        <v>23.808203991130821</v>
      </c>
      <c r="K18" s="87"/>
      <c r="L18" s="87">
        <v>39.42</v>
      </c>
      <c r="M18" s="99">
        <f t="shared" si="5"/>
        <v>23.808203991130821</v>
      </c>
      <c r="N18" s="86">
        <v>23.81</v>
      </c>
      <c r="O18" s="86">
        <v>33</v>
      </c>
      <c r="P18" s="332">
        <f t="shared" si="3"/>
        <v>132</v>
      </c>
      <c r="Q18" s="87">
        <f>SUMIF($A$2:$A$528,"Plot 20_3",$E$2:$E$528)</f>
        <v>13.007000000000001</v>
      </c>
      <c r="R18" s="87">
        <f t="shared" si="4"/>
        <v>520.28</v>
      </c>
      <c r="T18" t="s">
        <v>89</v>
      </c>
      <c r="U18" t="s">
        <v>35</v>
      </c>
      <c r="V18" s="101">
        <v>30.8</v>
      </c>
      <c r="W18" s="112">
        <v>18.02</v>
      </c>
      <c r="X18">
        <v>116</v>
      </c>
      <c r="Y18">
        <v>357.32</v>
      </c>
      <c r="Z18" s="101"/>
      <c r="AP18">
        <v>9.9116093546911017</v>
      </c>
      <c r="AQ18">
        <v>14.880860190190619</v>
      </c>
    </row>
    <row r="19" spans="1:43">
      <c r="A19" s="79" t="s">
        <v>11</v>
      </c>
      <c r="B19" s="44" t="s">
        <v>86</v>
      </c>
      <c r="C19" s="43">
        <v>21</v>
      </c>
      <c r="D19" s="81">
        <v>12.195121951219512</v>
      </c>
      <c r="E19" s="79">
        <f t="shared" si="0"/>
        <v>0.21</v>
      </c>
      <c r="G19" s="86" t="s">
        <v>42</v>
      </c>
      <c r="H19" s="99">
        <f t="shared" si="6"/>
        <v>38.005405405405398</v>
      </c>
      <c r="I19" s="99">
        <f t="shared" si="1"/>
        <v>38.005405405405398</v>
      </c>
      <c r="J19" s="87">
        <f t="shared" si="2"/>
        <v>18.539881344759394</v>
      </c>
      <c r="K19" s="87"/>
      <c r="L19" s="87">
        <v>38.01</v>
      </c>
      <c r="M19" s="99">
        <f t="shared" si="5"/>
        <v>18.539881344759394</v>
      </c>
      <c r="N19" s="86">
        <v>18.54</v>
      </c>
      <c r="O19" s="86">
        <v>37</v>
      </c>
      <c r="P19" s="332">
        <f t="shared" si="3"/>
        <v>148</v>
      </c>
      <c r="Q19" s="87">
        <f>SUMIF($A$2:$A$528,"Plot 14_4",$E$2:$E$528)</f>
        <v>14.061999999999998</v>
      </c>
      <c r="R19" s="87">
        <f t="shared" si="4"/>
        <v>562.4799999999999</v>
      </c>
      <c r="V19" s="100">
        <f>AVERAGE(V15:V18)</f>
        <v>29.12</v>
      </c>
      <c r="W19" s="163">
        <f>AVERAGE(W15:W18)</f>
        <v>17.839999999999996</v>
      </c>
      <c r="X19" s="162">
        <f>AVERAGE(X15:X18)</f>
        <v>98</v>
      </c>
      <c r="Y19" s="162">
        <f>AVERAGE(Y15:Y18)</f>
        <v>285.07</v>
      </c>
      <c r="Z19" s="101"/>
      <c r="AN19" t="s">
        <v>797</v>
      </c>
      <c r="AO19" t="s">
        <v>798</v>
      </c>
    </row>
    <row r="20" spans="1:43">
      <c r="A20" s="79" t="s">
        <v>11</v>
      </c>
      <c r="B20" s="44" t="s">
        <v>90</v>
      </c>
      <c r="C20" s="43">
        <v>55</v>
      </c>
      <c r="D20" s="81">
        <v>29.878048780487806</v>
      </c>
      <c r="E20" s="79">
        <f t="shared" si="0"/>
        <v>0.55000000000000004</v>
      </c>
      <c r="G20" s="86" t="s">
        <v>43</v>
      </c>
      <c r="H20" s="99">
        <f t="shared" si="6"/>
        <v>40.338461538461544</v>
      </c>
      <c r="I20" s="99">
        <f t="shared" si="1"/>
        <v>40.338461538461544</v>
      </c>
      <c r="J20" s="87">
        <f t="shared" si="2"/>
        <v>19.172138836772984</v>
      </c>
      <c r="K20" s="87"/>
      <c r="L20" s="87">
        <v>40.340000000000003</v>
      </c>
      <c r="M20" s="99">
        <f t="shared" si="5"/>
        <v>19.172138836772984</v>
      </c>
      <c r="N20" s="86">
        <v>19.170000000000002</v>
      </c>
      <c r="O20" s="86">
        <v>26</v>
      </c>
      <c r="P20" s="332">
        <f t="shared" si="3"/>
        <v>104</v>
      </c>
      <c r="Q20" s="87">
        <f>SUMIF($A$2:$A$528,"Plot 12_5",$E$2:$E$528)</f>
        <v>10.488</v>
      </c>
      <c r="R20" s="87">
        <f t="shared" si="4"/>
        <v>419.52</v>
      </c>
      <c r="V20" s="101">
        <f>STDEV(V15:V18)/SQRT(4)</f>
        <v>1.1808753815143522</v>
      </c>
      <c r="W20" s="334">
        <f t="shared" ref="W20:Y20" si="9">STDEV(W15:W18)/SQRT(4)</f>
        <v>0.37498888872427527</v>
      </c>
      <c r="X20" s="101">
        <f t="shared" si="9"/>
        <v>10.132456102380443</v>
      </c>
      <c r="Y20" s="101">
        <f t="shared" si="9"/>
        <v>30.90631165312357</v>
      </c>
      <c r="Z20" s="101"/>
      <c r="AA20" s="101"/>
      <c r="AM20" t="s">
        <v>87</v>
      </c>
      <c r="AN20">
        <v>113.2</v>
      </c>
      <c r="AO20">
        <v>27.2</v>
      </c>
    </row>
    <row r="21" spans="1:43">
      <c r="A21" s="79" t="s">
        <v>11</v>
      </c>
      <c r="B21" s="44" t="s">
        <v>90</v>
      </c>
      <c r="C21" s="43">
        <v>59</v>
      </c>
      <c r="D21" s="81">
        <v>42.682926829268297</v>
      </c>
      <c r="E21" s="79">
        <f t="shared" si="0"/>
        <v>0.59</v>
      </c>
      <c r="T21" s="102" t="s">
        <v>99</v>
      </c>
      <c r="Z21" s="101"/>
      <c r="AM21" t="s">
        <v>791</v>
      </c>
      <c r="AN21">
        <v>98</v>
      </c>
      <c r="AO21">
        <v>46</v>
      </c>
    </row>
    <row r="22" spans="1:43">
      <c r="A22" s="79" t="s">
        <v>11</v>
      </c>
      <c r="B22" s="43" t="s">
        <v>98</v>
      </c>
      <c r="C22" s="43">
        <v>42</v>
      </c>
      <c r="D22" s="81">
        <v>17.073170731707318</v>
      </c>
      <c r="E22" s="79">
        <f t="shared" si="0"/>
        <v>0.42</v>
      </c>
      <c r="T22" t="s">
        <v>91</v>
      </c>
      <c r="U22" t="s">
        <v>38</v>
      </c>
      <c r="V22" s="101">
        <v>37.96</v>
      </c>
      <c r="W22" s="112">
        <v>12.55</v>
      </c>
      <c r="X22">
        <v>96</v>
      </c>
      <c r="Y22">
        <v>364.44000000000005</v>
      </c>
      <c r="Z22" s="101"/>
      <c r="AA22" s="101"/>
      <c r="AM22" t="s">
        <v>91</v>
      </c>
      <c r="AN22">
        <v>116.8</v>
      </c>
      <c r="AO22">
        <v>20.8</v>
      </c>
    </row>
    <row r="23" spans="1:43">
      <c r="A23" s="79" t="s">
        <v>11</v>
      </c>
      <c r="B23" s="43" t="s">
        <v>93</v>
      </c>
      <c r="C23" s="43">
        <v>47</v>
      </c>
      <c r="D23" s="81">
        <v>24.390243902439025</v>
      </c>
      <c r="E23" s="79">
        <f t="shared" si="0"/>
        <v>0.47</v>
      </c>
      <c r="H23" s="163" t="s">
        <v>100</v>
      </c>
      <c r="I23" s="163"/>
      <c r="T23" t="s">
        <v>91</v>
      </c>
      <c r="U23" t="s">
        <v>39</v>
      </c>
      <c r="V23" s="101">
        <v>35.18</v>
      </c>
      <c r="W23" s="112">
        <v>14.6</v>
      </c>
      <c r="X23">
        <v>104</v>
      </c>
      <c r="Y23">
        <v>365.91999999999996</v>
      </c>
      <c r="Z23" s="101"/>
    </row>
    <row r="24" spans="1:43">
      <c r="A24" s="79" t="s">
        <v>11</v>
      </c>
      <c r="B24" s="44" t="s">
        <v>101</v>
      </c>
      <c r="C24" s="43">
        <v>24</v>
      </c>
      <c r="D24" s="81">
        <v>14.329268292682928</v>
      </c>
      <c r="E24" s="79">
        <f t="shared" si="0"/>
        <v>0.24</v>
      </c>
      <c r="H24" s="176"/>
      <c r="I24" s="177" t="s">
        <v>102</v>
      </c>
      <c r="J24" s="177" t="s">
        <v>103</v>
      </c>
      <c r="K24" s="177" t="s">
        <v>104</v>
      </c>
      <c r="L24" s="177" t="s">
        <v>105</v>
      </c>
      <c r="N24" s="180"/>
      <c r="O24" s="186"/>
      <c r="T24" t="s">
        <v>91</v>
      </c>
      <c r="U24" t="s">
        <v>40</v>
      </c>
      <c r="V24" s="101">
        <v>39.42</v>
      </c>
      <c r="W24" s="112">
        <v>23.81</v>
      </c>
      <c r="X24">
        <v>132</v>
      </c>
      <c r="Y24">
        <v>520.28</v>
      </c>
      <c r="Z24" s="101"/>
    </row>
    <row r="25" spans="1:43">
      <c r="A25" s="79" t="s">
        <v>11</v>
      </c>
      <c r="B25" s="43" t="s">
        <v>93</v>
      </c>
      <c r="C25" s="43">
        <v>58</v>
      </c>
      <c r="D25" s="81">
        <v>16.463414634146343</v>
      </c>
      <c r="E25" s="79">
        <f t="shared" si="0"/>
        <v>0.57999999999999996</v>
      </c>
      <c r="H25" s="178" t="s">
        <v>87</v>
      </c>
      <c r="I25" s="179" t="s">
        <v>106</v>
      </c>
      <c r="J25" s="179" t="s">
        <v>107</v>
      </c>
      <c r="K25" s="179" t="s">
        <v>108</v>
      </c>
      <c r="L25" s="179" t="s">
        <v>109</v>
      </c>
      <c r="N25" s="285"/>
      <c r="O25" s="257"/>
      <c r="T25" t="s">
        <v>91</v>
      </c>
      <c r="U25" t="s">
        <v>42</v>
      </c>
      <c r="V25" s="101">
        <v>38.01</v>
      </c>
      <c r="W25" s="112">
        <v>18.54</v>
      </c>
      <c r="X25">
        <v>148</v>
      </c>
      <c r="Y25">
        <v>562.4799999999999</v>
      </c>
      <c r="Z25" s="101"/>
    </row>
    <row r="26" spans="1:43">
      <c r="A26" s="79" t="s">
        <v>13</v>
      </c>
      <c r="B26" s="44" t="s">
        <v>88</v>
      </c>
      <c r="C26" s="43">
        <v>55</v>
      </c>
      <c r="D26" s="81">
        <v>27.439024390243905</v>
      </c>
      <c r="E26" s="79">
        <f t="shared" si="0"/>
        <v>0.55000000000000004</v>
      </c>
      <c r="H26" s="178" t="s">
        <v>64</v>
      </c>
      <c r="I26" s="179" t="s">
        <v>110</v>
      </c>
      <c r="J26" s="179" t="s">
        <v>111</v>
      </c>
      <c r="K26" s="179" t="s">
        <v>112</v>
      </c>
      <c r="L26" s="179" t="s">
        <v>113</v>
      </c>
      <c r="N26" s="186"/>
      <c r="O26" s="186"/>
      <c r="T26" t="s">
        <v>91</v>
      </c>
      <c r="U26" t="s">
        <v>43</v>
      </c>
      <c r="V26" s="101">
        <v>40.340000000000003</v>
      </c>
      <c r="W26" s="112">
        <v>19.170000000000002</v>
      </c>
      <c r="X26">
        <v>104</v>
      </c>
      <c r="Y26">
        <v>419.52</v>
      </c>
      <c r="Z26" s="101"/>
    </row>
    <row r="27" spans="1:43">
      <c r="A27" s="79" t="s">
        <v>13</v>
      </c>
      <c r="B27" s="44" t="s">
        <v>88</v>
      </c>
      <c r="C27" s="43">
        <v>54.5</v>
      </c>
      <c r="D27" s="81">
        <v>32.012195121951223</v>
      </c>
      <c r="E27" s="79">
        <f t="shared" si="0"/>
        <v>0.54500000000000004</v>
      </c>
      <c r="H27" s="178" t="s">
        <v>91</v>
      </c>
      <c r="I27" s="179" t="s">
        <v>114</v>
      </c>
      <c r="J27" s="179" t="s">
        <v>115</v>
      </c>
      <c r="K27" s="179" t="s">
        <v>116</v>
      </c>
      <c r="L27" s="179" t="s">
        <v>117</v>
      </c>
      <c r="N27" s="186"/>
      <c r="O27" s="186"/>
      <c r="V27" s="100">
        <f>AVERAGE(V22:V26)</f>
        <v>38.182000000000002</v>
      </c>
      <c r="W27" s="333">
        <f>AVERAGE(W22:W26)</f>
        <v>17.734000000000002</v>
      </c>
      <c r="X27" s="100">
        <f>AVERAGE(X22:X26)</f>
        <v>116.8</v>
      </c>
      <c r="Y27" s="100">
        <f>AVERAGE(Y22:Y26)</f>
        <v>446.52799999999996</v>
      </c>
      <c r="Z27" s="101"/>
      <c r="AA27" s="100"/>
    </row>
    <row r="28" spans="1:43">
      <c r="A28" s="79" t="s">
        <v>13</v>
      </c>
      <c r="B28" s="44" t="s">
        <v>94</v>
      </c>
      <c r="C28" s="43">
        <v>22</v>
      </c>
      <c r="D28" s="81">
        <v>14.634146341463415</v>
      </c>
      <c r="E28" s="79">
        <f t="shared" si="0"/>
        <v>0.22</v>
      </c>
      <c r="N28" s="186"/>
      <c r="O28" s="186"/>
      <c r="V28" s="101">
        <f>STDEV(V22:V26)/SQRT(5)</f>
        <v>0.87408466409152896</v>
      </c>
      <c r="W28" s="334">
        <f>STDEV(W22:W26)/SQRT(5)</f>
        <v>1.9535265547209733</v>
      </c>
      <c r="X28" s="101">
        <f>STDEV(X22:X26)/SQRT(5)</f>
        <v>9.9116093546911017</v>
      </c>
      <c r="Y28" s="101">
        <f>STDEV(Y22:Y26)/SQRT(5)</f>
        <v>40.527611131178084</v>
      </c>
      <c r="Z28" s="101"/>
      <c r="AA28" s="101"/>
    </row>
    <row r="29" spans="1:43">
      <c r="A29" s="79" t="s">
        <v>13</v>
      </c>
      <c r="B29" s="44" t="s">
        <v>88</v>
      </c>
      <c r="C29" s="43">
        <v>31.5</v>
      </c>
      <c r="D29" s="81">
        <v>16.76829268292683</v>
      </c>
      <c r="E29" s="79">
        <f t="shared" si="0"/>
        <v>0.315</v>
      </c>
      <c r="H29" s="131"/>
    </row>
    <row r="30" spans="1:43">
      <c r="A30" s="79" t="s">
        <v>13</v>
      </c>
      <c r="B30" s="43"/>
      <c r="C30" s="43">
        <v>60</v>
      </c>
      <c r="D30" s="81">
        <v>33.536585365853661</v>
      </c>
      <c r="E30" s="79">
        <f t="shared" si="0"/>
        <v>0.6</v>
      </c>
    </row>
    <row r="31" spans="1:43">
      <c r="A31" s="79" t="s">
        <v>13</v>
      </c>
      <c r="B31" s="44" t="s">
        <v>118</v>
      </c>
      <c r="C31" s="43">
        <v>88.5</v>
      </c>
      <c r="D31" s="81">
        <v>33.536585365853661</v>
      </c>
      <c r="E31" s="79">
        <f t="shared" si="0"/>
        <v>0.88500000000000001</v>
      </c>
    </row>
    <row r="32" spans="1:43">
      <c r="A32" s="79" t="s">
        <v>13</v>
      </c>
      <c r="B32" s="43"/>
      <c r="C32" s="43">
        <v>35</v>
      </c>
      <c r="D32" s="81">
        <v>30.487804878048781</v>
      </c>
      <c r="E32" s="79">
        <f t="shared" si="0"/>
        <v>0.35</v>
      </c>
    </row>
    <row r="33" spans="1:26">
      <c r="A33" s="79" t="s">
        <v>13</v>
      </c>
      <c r="B33" s="44" t="s">
        <v>96</v>
      </c>
      <c r="C33" s="43">
        <v>30.5</v>
      </c>
      <c r="D33" s="81">
        <v>17.987804878048781</v>
      </c>
      <c r="E33" s="79">
        <f t="shared" si="0"/>
        <v>0.30499999999999999</v>
      </c>
      <c r="U33" t="s">
        <v>792</v>
      </c>
      <c r="Y33" t="s">
        <v>793</v>
      </c>
    </row>
    <row r="34" spans="1:26">
      <c r="A34" s="79" t="s">
        <v>13</v>
      </c>
      <c r="B34" s="43" t="s">
        <v>98</v>
      </c>
      <c r="C34" s="43">
        <v>33</v>
      </c>
      <c r="D34" s="81">
        <v>30.487804878048781</v>
      </c>
      <c r="E34" s="79">
        <f t="shared" si="0"/>
        <v>0.33</v>
      </c>
      <c r="T34" t="s">
        <v>87</v>
      </c>
      <c r="U34" s="101">
        <f>X12</f>
        <v>113.2</v>
      </c>
      <c r="V34" s="101">
        <f>X13</f>
        <v>6.8779842008154333</v>
      </c>
      <c r="X34" t="s">
        <v>87</v>
      </c>
      <c r="Y34" s="101">
        <f>W12</f>
        <v>23.108364129095833</v>
      </c>
      <c r="Z34" s="101">
        <f>W13</f>
        <v>0.86390109652547253</v>
      </c>
    </row>
    <row r="35" spans="1:26">
      <c r="A35" s="79" t="s">
        <v>13</v>
      </c>
      <c r="B35" s="43"/>
      <c r="C35" s="43">
        <v>54</v>
      </c>
      <c r="D35" s="81">
        <v>32.012195121951223</v>
      </c>
      <c r="E35" s="79">
        <f t="shared" si="0"/>
        <v>0.54</v>
      </c>
      <c r="T35" t="s">
        <v>791</v>
      </c>
      <c r="U35">
        <f>X19</f>
        <v>98</v>
      </c>
      <c r="V35" s="101">
        <f>X20</f>
        <v>10.132456102380443</v>
      </c>
      <c r="X35" t="s">
        <v>791</v>
      </c>
      <c r="Y35">
        <f>W19</f>
        <v>17.839999999999996</v>
      </c>
      <c r="Z35" s="101">
        <f>W20</f>
        <v>0.37498888872427527</v>
      </c>
    </row>
    <row r="36" spans="1:26">
      <c r="A36" s="79" t="s">
        <v>13</v>
      </c>
      <c r="B36" s="44" t="s">
        <v>88</v>
      </c>
      <c r="C36" s="43">
        <v>31</v>
      </c>
      <c r="D36" s="81">
        <v>28.963414634146343</v>
      </c>
      <c r="E36" s="79">
        <f t="shared" si="0"/>
        <v>0.31</v>
      </c>
      <c r="T36" t="s">
        <v>91</v>
      </c>
      <c r="U36" s="101">
        <f>X27</f>
        <v>116.8</v>
      </c>
      <c r="V36" s="101">
        <f>X28</f>
        <v>9.9116093546911017</v>
      </c>
      <c r="X36" t="s">
        <v>91</v>
      </c>
      <c r="Y36" s="101">
        <f>W27</f>
        <v>17.734000000000002</v>
      </c>
      <c r="Z36" s="101">
        <f>W28</f>
        <v>1.9535265547209733</v>
      </c>
    </row>
    <row r="37" spans="1:26">
      <c r="A37" s="79" t="s">
        <v>13</v>
      </c>
      <c r="B37" s="43"/>
      <c r="C37" s="43">
        <v>48</v>
      </c>
      <c r="D37" s="81">
        <v>36.585365853658537</v>
      </c>
      <c r="E37" s="79">
        <f t="shared" si="0"/>
        <v>0.48</v>
      </c>
    </row>
    <row r="38" spans="1:26">
      <c r="A38" s="79" t="s">
        <v>13</v>
      </c>
      <c r="B38" s="44" t="s">
        <v>118</v>
      </c>
      <c r="C38" s="43">
        <v>90</v>
      </c>
      <c r="D38" s="81">
        <v>36.585365853658537</v>
      </c>
      <c r="E38" s="79">
        <f t="shared" si="0"/>
        <v>0.9</v>
      </c>
    </row>
    <row r="39" spans="1:26">
      <c r="A39" s="79" t="s">
        <v>13</v>
      </c>
      <c r="B39" s="43" t="s">
        <v>98</v>
      </c>
      <c r="C39" s="43">
        <v>37.5</v>
      </c>
      <c r="D39" s="81">
        <v>25.914634146341466</v>
      </c>
      <c r="E39" s="79">
        <f t="shared" si="0"/>
        <v>0.375</v>
      </c>
    </row>
    <row r="40" spans="1:26">
      <c r="A40" s="79" t="s">
        <v>13</v>
      </c>
      <c r="B40" s="43"/>
      <c r="C40" s="43">
        <v>42</v>
      </c>
      <c r="D40" s="81">
        <v>27.439024390243905</v>
      </c>
      <c r="E40" s="79">
        <f t="shared" si="0"/>
        <v>0.42</v>
      </c>
    </row>
    <row r="41" spans="1:26">
      <c r="A41" s="79" t="s">
        <v>13</v>
      </c>
      <c r="B41" s="44" t="s">
        <v>118</v>
      </c>
      <c r="C41" s="43">
        <v>23</v>
      </c>
      <c r="D41" s="81">
        <v>13.719512195121952</v>
      </c>
      <c r="E41" s="79">
        <f t="shared" si="0"/>
        <v>0.23</v>
      </c>
    </row>
    <row r="42" spans="1:26">
      <c r="A42" s="79" t="s">
        <v>13</v>
      </c>
      <c r="B42" s="43"/>
      <c r="C42" s="43">
        <v>37</v>
      </c>
      <c r="D42" s="81">
        <v>20.731707317073173</v>
      </c>
      <c r="E42" s="79">
        <f t="shared" si="0"/>
        <v>0.37</v>
      </c>
    </row>
    <row r="43" spans="1:26">
      <c r="A43" s="79" t="s">
        <v>13</v>
      </c>
      <c r="B43" s="44" t="s">
        <v>88</v>
      </c>
      <c r="C43" s="43">
        <v>41</v>
      </c>
      <c r="D43" s="81">
        <v>20.121951219512198</v>
      </c>
      <c r="E43" s="79">
        <f t="shared" si="0"/>
        <v>0.41</v>
      </c>
    </row>
    <row r="44" spans="1:26">
      <c r="A44" s="79" t="s">
        <v>13</v>
      </c>
      <c r="B44" s="44" t="s">
        <v>90</v>
      </c>
      <c r="C44" s="43">
        <v>57</v>
      </c>
      <c r="D44" s="81">
        <v>36.585365853658537</v>
      </c>
      <c r="E44" s="79">
        <f t="shared" si="0"/>
        <v>0.56999999999999995</v>
      </c>
      <c r="O44" t="s">
        <v>483</v>
      </c>
    </row>
    <row r="45" spans="1:26">
      <c r="A45" s="79" t="s">
        <v>13</v>
      </c>
      <c r="B45" s="44" t="s">
        <v>88</v>
      </c>
      <c r="C45" s="43">
        <v>29.5</v>
      </c>
      <c r="D45" s="81">
        <v>19.81707317073171</v>
      </c>
      <c r="E45" s="79">
        <f t="shared" si="0"/>
        <v>0.29499999999999998</v>
      </c>
    </row>
    <row r="46" spans="1:26">
      <c r="A46" s="79" t="s">
        <v>13</v>
      </c>
      <c r="B46" s="43" t="s">
        <v>98</v>
      </c>
      <c r="C46" s="43">
        <v>21</v>
      </c>
      <c r="D46" s="81">
        <v>13.109756097560977</v>
      </c>
      <c r="E46" s="79">
        <f t="shared" si="0"/>
        <v>0.21</v>
      </c>
    </row>
    <row r="47" spans="1:26">
      <c r="A47" s="79" t="s">
        <v>13</v>
      </c>
      <c r="B47" s="44" t="s">
        <v>88</v>
      </c>
      <c r="C47" s="43">
        <v>34</v>
      </c>
      <c r="D47" s="81">
        <v>25.914634146341466</v>
      </c>
      <c r="E47" s="79">
        <f t="shared" si="0"/>
        <v>0.34</v>
      </c>
    </row>
    <row r="48" spans="1:26">
      <c r="A48" s="79" t="s">
        <v>13</v>
      </c>
      <c r="B48" s="44" t="s">
        <v>88</v>
      </c>
      <c r="C48" s="43">
        <v>40.5</v>
      </c>
      <c r="D48" s="81">
        <v>26.219512195121954</v>
      </c>
      <c r="E48" s="79">
        <f t="shared" si="0"/>
        <v>0.40500000000000003</v>
      </c>
    </row>
    <row r="49" spans="1:5">
      <c r="A49" s="79" t="s">
        <v>13</v>
      </c>
      <c r="B49" s="44" t="s">
        <v>88</v>
      </c>
      <c r="C49" s="43">
        <v>64.5</v>
      </c>
      <c r="D49" s="81">
        <v>33.536585365853661</v>
      </c>
      <c r="E49" s="79">
        <f t="shared" si="0"/>
        <v>0.64500000000000002</v>
      </c>
    </row>
    <row r="50" spans="1:5">
      <c r="A50" s="79" t="s">
        <v>13</v>
      </c>
      <c r="B50" s="44" t="s">
        <v>88</v>
      </c>
      <c r="C50" s="43">
        <v>45</v>
      </c>
      <c r="D50" s="81">
        <v>26.829268292682929</v>
      </c>
      <c r="E50" s="79">
        <f t="shared" si="0"/>
        <v>0.45</v>
      </c>
    </row>
    <row r="51" spans="1:5">
      <c r="A51" s="79" t="s">
        <v>13</v>
      </c>
      <c r="B51" s="44" t="s">
        <v>88</v>
      </c>
      <c r="C51" s="43">
        <v>53</v>
      </c>
      <c r="D51" s="81">
        <v>20.426829268292686</v>
      </c>
      <c r="E51" s="79">
        <f t="shared" si="0"/>
        <v>0.53</v>
      </c>
    </row>
    <row r="52" spans="1:5">
      <c r="A52" s="79" t="s">
        <v>13</v>
      </c>
      <c r="B52" s="44" t="s">
        <v>90</v>
      </c>
      <c r="C52" s="43">
        <v>79</v>
      </c>
      <c r="D52" s="81">
        <v>39.634146341463421</v>
      </c>
      <c r="E52" s="79">
        <f t="shared" si="0"/>
        <v>0.79</v>
      </c>
    </row>
    <row r="53" spans="1:5">
      <c r="A53" s="79" t="s">
        <v>13</v>
      </c>
      <c r="B53" s="44" t="s">
        <v>88</v>
      </c>
      <c r="C53" s="43">
        <v>72</v>
      </c>
      <c r="D53" s="81">
        <v>26.524390243902442</v>
      </c>
      <c r="E53" s="79">
        <f t="shared" si="0"/>
        <v>0.72</v>
      </c>
    </row>
    <row r="54" spans="1:5">
      <c r="A54" s="79" t="s">
        <v>13</v>
      </c>
      <c r="B54" s="44" t="s">
        <v>94</v>
      </c>
      <c r="C54" s="43">
        <v>20</v>
      </c>
      <c r="D54" s="81">
        <v>12.804878048780489</v>
      </c>
      <c r="E54" s="79">
        <f t="shared" si="0"/>
        <v>0.2</v>
      </c>
    </row>
    <row r="55" spans="1:5">
      <c r="A55" s="79" t="s">
        <v>13</v>
      </c>
      <c r="B55" s="43"/>
      <c r="C55" s="43">
        <v>43</v>
      </c>
      <c r="D55" s="81">
        <v>25.914634146341466</v>
      </c>
      <c r="E55" s="79">
        <f t="shared" si="0"/>
        <v>0.43</v>
      </c>
    </row>
    <row r="56" spans="1:5">
      <c r="A56" s="79" t="s">
        <v>13</v>
      </c>
      <c r="B56" s="43"/>
      <c r="C56" s="43">
        <v>32.5</v>
      </c>
      <c r="D56" s="81">
        <v>20.426829268292686</v>
      </c>
      <c r="E56" s="79">
        <f t="shared" si="0"/>
        <v>0.32500000000000001</v>
      </c>
    </row>
    <row r="57" spans="1:5">
      <c r="A57" s="79" t="s">
        <v>13</v>
      </c>
      <c r="B57" s="44" t="s">
        <v>90</v>
      </c>
      <c r="C57" s="43">
        <v>73</v>
      </c>
      <c r="D57" s="81">
        <v>33.536585365853661</v>
      </c>
      <c r="E57" s="79">
        <f t="shared" si="0"/>
        <v>0.73</v>
      </c>
    </row>
    <row r="58" spans="1:5">
      <c r="A58" s="79" t="s">
        <v>13</v>
      </c>
      <c r="B58" s="43"/>
      <c r="C58" s="43">
        <v>48</v>
      </c>
      <c r="D58" s="81">
        <v>26.829268292682929</v>
      </c>
      <c r="E58" s="79">
        <f t="shared" si="0"/>
        <v>0.48</v>
      </c>
    </row>
    <row r="59" spans="1:5">
      <c r="A59" s="80" t="s">
        <v>15</v>
      </c>
      <c r="B59" s="79" t="s">
        <v>90</v>
      </c>
      <c r="C59" s="79">
        <v>60</v>
      </c>
      <c r="D59" s="79">
        <v>26.524390243902442</v>
      </c>
      <c r="E59" s="79">
        <f t="shared" si="0"/>
        <v>0.6</v>
      </c>
    </row>
    <row r="60" spans="1:5">
      <c r="A60" s="80" t="s">
        <v>15</v>
      </c>
      <c r="B60" s="79" t="s">
        <v>93</v>
      </c>
      <c r="C60" s="79">
        <v>30</v>
      </c>
      <c r="D60" s="79">
        <v>15.24390243902439</v>
      </c>
      <c r="E60" s="79">
        <f t="shared" si="0"/>
        <v>0.3</v>
      </c>
    </row>
    <row r="61" spans="1:5">
      <c r="A61" s="80" t="s">
        <v>15</v>
      </c>
      <c r="B61" s="79" t="s">
        <v>88</v>
      </c>
      <c r="C61" s="79">
        <v>59</v>
      </c>
      <c r="D61" s="79">
        <v>30.487804878048781</v>
      </c>
      <c r="E61" s="79">
        <f t="shared" si="0"/>
        <v>0.59</v>
      </c>
    </row>
    <row r="62" spans="1:5">
      <c r="A62" s="80" t="s">
        <v>15</v>
      </c>
      <c r="B62" s="79" t="s">
        <v>90</v>
      </c>
      <c r="C62" s="79">
        <v>50</v>
      </c>
      <c r="D62" s="79">
        <v>32.012195121951223</v>
      </c>
      <c r="E62" s="79">
        <f t="shared" si="0"/>
        <v>0.5</v>
      </c>
    </row>
    <row r="63" spans="1:5">
      <c r="A63" s="80" t="s">
        <v>15</v>
      </c>
      <c r="B63" s="79" t="s">
        <v>86</v>
      </c>
      <c r="C63" s="79">
        <v>30</v>
      </c>
      <c r="D63" s="79">
        <v>14.329268292682928</v>
      </c>
      <c r="E63" s="79">
        <f t="shared" si="0"/>
        <v>0.3</v>
      </c>
    </row>
    <row r="64" spans="1:5">
      <c r="A64" s="80" t="s">
        <v>15</v>
      </c>
      <c r="B64" s="79" t="s">
        <v>90</v>
      </c>
      <c r="C64" s="79">
        <v>41</v>
      </c>
      <c r="D64" s="79">
        <v>32.31707317073171</v>
      </c>
      <c r="E64" s="79">
        <f t="shared" si="0"/>
        <v>0.41</v>
      </c>
    </row>
    <row r="65" spans="1:5">
      <c r="A65" s="80" t="s">
        <v>15</v>
      </c>
      <c r="B65" s="79" t="s">
        <v>88</v>
      </c>
      <c r="C65" s="79">
        <v>71</v>
      </c>
      <c r="D65" s="79">
        <v>34.451219512195124</v>
      </c>
      <c r="E65" s="79">
        <f t="shared" si="0"/>
        <v>0.71</v>
      </c>
    </row>
    <row r="66" spans="1:5">
      <c r="A66" s="80" t="s">
        <v>15</v>
      </c>
      <c r="C66" s="79">
        <v>32</v>
      </c>
      <c r="D66" s="79">
        <v>9.7560975609756095</v>
      </c>
      <c r="E66" s="79">
        <f t="shared" si="0"/>
        <v>0.32</v>
      </c>
    </row>
    <row r="67" spans="1:5">
      <c r="A67" s="80" t="s">
        <v>15</v>
      </c>
      <c r="B67" s="79" t="s">
        <v>90</v>
      </c>
      <c r="C67" s="79">
        <v>48</v>
      </c>
      <c r="D67" s="79">
        <v>35.975609756097562</v>
      </c>
      <c r="E67" s="79">
        <f t="shared" ref="E67:E130" si="10">C67/100</f>
        <v>0.48</v>
      </c>
    </row>
    <row r="68" spans="1:5">
      <c r="A68" s="80" t="s">
        <v>15</v>
      </c>
      <c r="B68" s="79" t="s">
        <v>86</v>
      </c>
      <c r="C68" s="79">
        <v>23</v>
      </c>
      <c r="D68" s="79">
        <v>10.975609756097562</v>
      </c>
      <c r="E68" s="79">
        <f t="shared" si="10"/>
        <v>0.23</v>
      </c>
    </row>
    <row r="69" spans="1:5">
      <c r="A69" s="80" t="s">
        <v>15</v>
      </c>
      <c r="B69" s="79" t="s">
        <v>119</v>
      </c>
      <c r="C69" s="79">
        <v>61</v>
      </c>
      <c r="D69" s="79">
        <v>36.585365853658537</v>
      </c>
      <c r="E69" s="79">
        <f t="shared" si="10"/>
        <v>0.61</v>
      </c>
    </row>
    <row r="70" spans="1:5">
      <c r="A70" s="80" t="s">
        <v>15</v>
      </c>
      <c r="B70" s="79" t="s">
        <v>96</v>
      </c>
      <c r="C70" s="79">
        <v>25</v>
      </c>
      <c r="D70" s="79">
        <v>15.24390243902439</v>
      </c>
      <c r="E70" s="79">
        <f t="shared" si="10"/>
        <v>0.25</v>
      </c>
    </row>
    <row r="71" spans="1:5">
      <c r="A71" s="80" t="s">
        <v>15</v>
      </c>
      <c r="C71" s="79">
        <v>51</v>
      </c>
      <c r="D71" s="79">
        <v>19.207317073170731</v>
      </c>
      <c r="E71" s="79">
        <f t="shared" si="10"/>
        <v>0.51</v>
      </c>
    </row>
    <row r="72" spans="1:5">
      <c r="A72" s="80" t="s">
        <v>15</v>
      </c>
      <c r="C72" s="79">
        <v>39</v>
      </c>
      <c r="D72" s="79">
        <v>22.865853658536587</v>
      </c>
      <c r="E72" s="79">
        <f t="shared" si="10"/>
        <v>0.39</v>
      </c>
    </row>
    <row r="73" spans="1:5">
      <c r="A73" s="80" t="s">
        <v>15</v>
      </c>
      <c r="B73" s="79" t="s">
        <v>88</v>
      </c>
      <c r="C73" s="79">
        <v>49</v>
      </c>
      <c r="D73" s="79">
        <v>19.81707317073171</v>
      </c>
      <c r="E73" s="79">
        <f t="shared" si="10"/>
        <v>0.49</v>
      </c>
    </row>
    <row r="74" spans="1:5">
      <c r="A74" s="80" t="s">
        <v>15</v>
      </c>
      <c r="C74" s="79">
        <v>30</v>
      </c>
      <c r="D74" s="79">
        <v>16.76829268292683</v>
      </c>
      <c r="E74" s="79">
        <f t="shared" si="10"/>
        <v>0.3</v>
      </c>
    </row>
    <row r="75" spans="1:5">
      <c r="A75" s="80" t="s">
        <v>15</v>
      </c>
      <c r="B75" s="79" t="s">
        <v>86</v>
      </c>
      <c r="C75" s="79">
        <v>21</v>
      </c>
      <c r="D75" s="79">
        <v>13.719512195121952</v>
      </c>
      <c r="E75" s="79">
        <f t="shared" si="10"/>
        <v>0.21</v>
      </c>
    </row>
    <row r="76" spans="1:5">
      <c r="A76" s="80" t="s">
        <v>15</v>
      </c>
      <c r="B76" s="79" t="s">
        <v>98</v>
      </c>
      <c r="C76" s="79">
        <v>22</v>
      </c>
      <c r="D76" s="79">
        <v>14.329268292682928</v>
      </c>
      <c r="E76" s="79">
        <f t="shared" si="10"/>
        <v>0.22</v>
      </c>
    </row>
    <row r="77" spans="1:5">
      <c r="A77" s="80" t="s">
        <v>15</v>
      </c>
      <c r="B77" s="79" t="s">
        <v>90</v>
      </c>
      <c r="C77" s="79">
        <v>62</v>
      </c>
      <c r="D77" s="79">
        <v>32.012195121951223</v>
      </c>
      <c r="E77" s="79">
        <f t="shared" si="10"/>
        <v>0.62</v>
      </c>
    </row>
    <row r="78" spans="1:5">
      <c r="A78" s="80" t="s">
        <v>15</v>
      </c>
      <c r="B78" s="79" t="s">
        <v>88</v>
      </c>
      <c r="C78" s="79">
        <v>38</v>
      </c>
      <c r="D78" s="79">
        <v>15.548780487804878</v>
      </c>
      <c r="E78" s="79">
        <f t="shared" si="10"/>
        <v>0.38</v>
      </c>
    </row>
    <row r="79" spans="1:5">
      <c r="A79" s="80" t="s">
        <v>15</v>
      </c>
      <c r="C79" s="79">
        <v>48</v>
      </c>
      <c r="D79" s="79">
        <v>21.951219512195124</v>
      </c>
      <c r="E79" s="79">
        <f t="shared" si="10"/>
        <v>0.48</v>
      </c>
    </row>
    <row r="80" spans="1:5">
      <c r="A80" s="80" t="s">
        <v>15</v>
      </c>
      <c r="B80" s="79" t="s">
        <v>94</v>
      </c>
      <c r="C80" s="79">
        <v>33</v>
      </c>
      <c r="D80" s="79">
        <v>19.207317073170731</v>
      </c>
      <c r="E80" s="79">
        <f t="shared" si="10"/>
        <v>0.33</v>
      </c>
    </row>
    <row r="81" spans="1:5">
      <c r="A81" s="80" t="s">
        <v>15</v>
      </c>
      <c r="B81" s="79" t="s">
        <v>94</v>
      </c>
      <c r="C81" s="79">
        <v>39</v>
      </c>
      <c r="D81" s="79">
        <v>18.902439024390244</v>
      </c>
      <c r="E81" s="79">
        <f t="shared" si="10"/>
        <v>0.39</v>
      </c>
    </row>
    <row r="82" spans="1:5">
      <c r="A82" s="80" t="s">
        <v>15</v>
      </c>
      <c r="C82" s="79">
        <v>64</v>
      </c>
      <c r="D82" s="79">
        <v>24.390243902439025</v>
      </c>
      <c r="E82" s="79">
        <f t="shared" si="10"/>
        <v>0.64</v>
      </c>
    </row>
    <row r="83" spans="1:5">
      <c r="A83" s="80" t="s">
        <v>15</v>
      </c>
      <c r="B83" s="79" t="s">
        <v>88</v>
      </c>
      <c r="C83" s="79">
        <v>36</v>
      </c>
      <c r="D83" s="79">
        <v>16.158536585365855</v>
      </c>
      <c r="E83" s="79">
        <f t="shared" si="10"/>
        <v>0.36</v>
      </c>
    </row>
    <row r="84" spans="1:5">
      <c r="A84" s="80" t="s">
        <v>15</v>
      </c>
      <c r="B84" s="79" t="s">
        <v>90</v>
      </c>
      <c r="C84" s="79">
        <v>64</v>
      </c>
      <c r="D84" s="79">
        <v>35.060975609756099</v>
      </c>
      <c r="E84" s="79">
        <f t="shared" si="10"/>
        <v>0.64</v>
      </c>
    </row>
    <row r="85" spans="1:5">
      <c r="A85" s="80" t="s">
        <v>15</v>
      </c>
      <c r="B85" s="79" t="s">
        <v>88</v>
      </c>
      <c r="C85" s="79">
        <v>38</v>
      </c>
      <c r="D85" s="79">
        <v>9.7560975609756095</v>
      </c>
      <c r="E85" s="79">
        <f t="shared" si="10"/>
        <v>0.38</v>
      </c>
    </row>
    <row r="86" spans="1:5">
      <c r="A86" s="80" t="s">
        <v>15</v>
      </c>
      <c r="B86" s="79" t="s">
        <v>90</v>
      </c>
      <c r="C86" s="79">
        <v>52</v>
      </c>
      <c r="D86" s="79">
        <v>24.390243902439025</v>
      </c>
      <c r="E86" s="79">
        <f t="shared" si="10"/>
        <v>0.52</v>
      </c>
    </row>
    <row r="87" spans="1:5">
      <c r="A87" s="80" t="s">
        <v>15</v>
      </c>
      <c r="B87" s="79" t="s">
        <v>90</v>
      </c>
      <c r="C87" s="79">
        <v>42</v>
      </c>
      <c r="D87" s="79">
        <v>25.609756097560979</v>
      </c>
      <c r="E87" s="79">
        <f t="shared" si="10"/>
        <v>0.42</v>
      </c>
    </row>
    <row r="88" spans="1:5">
      <c r="A88" s="80" t="s">
        <v>15</v>
      </c>
      <c r="B88" s="79" t="s">
        <v>120</v>
      </c>
      <c r="C88" s="79">
        <v>60</v>
      </c>
      <c r="D88" s="79">
        <v>25</v>
      </c>
      <c r="E88" s="79">
        <f t="shared" si="10"/>
        <v>0.6</v>
      </c>
    </row>
    <row r="89" spans="1:5">
      <c r="A89" s="80" t="s">
        <v>15</v>
      </c>
      <c r="B89" s="79" t="s">
        <v>88</v>
      </c>
      <c r="C89" s="79">
        <v>35</v>
      </c>
      <c r="D89" s="79">
        <v>22.865853658536587</v>
      </c>
      <c r="E89" s="79">
        <f t="shared" si="10"/>
        <v>0.35</v>
      </c>
    </row>
    <row r="90" spans="1:5">
      <c r="A90" s="80" t="s">
        <v>15</v>
      </c>
      <c r="B90" s="79" t="s">
        <v>90</v>
      </c>
      <c r="C90" s="79">
        <v>45</v>
      </c>
      <c r="D90" s="79">
        <v>23.475609756097562</v>
      </c>
      <c r="E90" s="79">
        <f t="shared" si="10"/>
        <v>0.45</v>
      </c>
    </row>
    <row r="91" spans="1:5">
      <c r="A91" s="80" t="s">
        <v>16</v>
      </c>
      <c r="B91" s="79" t="s">
        <v>88</v>
      </c>
      <c r="C91" s="79">
        <v>58</v>
      </c>
      <c r="D91" s="79">
        <v>33.536585365853661</v>
      </c>
      <c r="E91" s="79">
        <f t="shared" si="10"/>
        <v>0.57999999999999996</v>
      </c>
    </row>
    <row r="92" spans="1:5">
      <c r="A92" s="80" t="s">
        <v>16</v>
      </c>
      <c r="B92" s="79" t="s">
        <v>88</v>
      </c>
      <c r="C92" s="79">
        <v>68</v>
      </c>
      <c r="D92" s="79">
        <v>32.012195121951223</v>
      </c>
      <c r="E92" s="79">
        <f t="shared" si="10"/>
        <v>0.68</v>
      </c>
    </row>
    <row r="93" spans="1:5">
      <c r="A93" s="80" t="s">
        <v>16</v>
      </c>
      <c r="C93" s="79">
        <v>47</v>
      </c>
      <c r="D93" s="79">
        <v>24.390243902439025</v>
      </c>
      <c r="E93" s="79">
        <f t="shared" si="10"/>
        <v>0.47</v>
      </c>
    </row>
    <row r="94" spans="1:5">
      <c r="A94" s="80" t="s">
        <v>16</v>
      </c>
      <c r="B94" s="79" t="s">
        <v>88</v>
      </c>
      <c r="C94" s="79">
        <v>53</v>
      </c>
      <c r="D94" s="79">
        <v>24.390243902439025</v>
      </c>
      <c r="E94" s="79">
        <f t="shared" si="10"/>
        <v>0.53</v>
      </c>
    </row>
    <row r="95" spans="1:5">
      <c r="A95" s="80" t="s">
        <v>16</v>
      </c>
      <c r="C95" s="79">
        <v>36</v>
      </c>
      <c r="D95" s="79">
        <v>16.463414634146343</v>
      </c>
      <c r="E95" s="79">
        <f t="shared" si="10"/>
        <v>0.36</v>
      </c>
    </row>
    <row r="96" spans="1:5">
      <c r="A96" s="80" t="s">
        <v>16</v>
      </c>
      <c r="B96" s="79" t="s">
        <v>94</v>
      </c>
      <c r="C96" s="79">
        <v>27</v>
      </c>
      <c r="D96" s="79">
        <v>15.24390243902439</v>
      </c>
      <c r="E96" s="79">
        <f t="shared" si="10"/>
        <v>0.27</v>
      </c>
    </row>
    <row r="97" spans="1:5">
      <c r="A97" s="80" t="s">
        <v>16</v>
      </c>
      <c r="B97" s="79" t="s">
        <v>88</v>
      </c>
      <c r="C97" s="79">
        <v>63</v>
      </c>
      <c r="D97" s="79">
        <v>26.829268292682929</v>
      </c>
      <c r="E97" s="79">
        <f t="shared" si="10"/>
        <v>0.63</v>
      </c>
    </row>
    <row r="98" spans="1:5">
      <c r="A98" s="80" t="s">
        <v>16</v>
      </c>
      <c r="B98" s="79" t="s">
        <v>121</v>
      </c>
      <c r="C98" s="79">
        <v>30</v>
      </c>
      <c r="D98" s="79">
        <v>18.292682926829269</v>
      </c>
      <c r="E98" s="79">
        <f t="shared" si="10"/>
        <v>0.3</v>
      </c>
    </row>
    <row r="99" spans="1:5">
      <c r="A99" s="80" t="s">
        <v>16</v>
      </c>
      <c r="B99" s="79" t="s">
        <v>88</v>
      </c>
      <c r="C99" s="79">
        <v>64</v>
      </c>
      <c r="D99" s="79">
        <v>26.829268292682929</v>
      </c>
      <c r="E99" s="79">
        <f t="shared" si="10"/>
        <v>0.64</v>
      </c>
    </row>
    <row r="100" spans="1:5">
      <c r="A100" s="80" t="s">
        <v>16</v>
      </c>
      <c r="B100" s="79" t="s">
        <v>118</v>
      </c>
      <c r="C100" s="79">
        <v>37</v>
      </c>
      <c r="D100" s="79">
        <v>19.207317073170731</v>
      </c>
      <c r="E100" s="79">
        <f t="shared" si="10"/>
        <v>0.37</v>
      </c>
    </row>
    <row r="101" spans="1:5">
      <c r="A101" s="80" t="s">
        <v>16</v>
      </c>
      <c r="B101" s="79" t="s">
        <v>90</v>
      </c>
      <c r="C101" s="79">
        <v>58</v>
      </c>
      <c r="D101" s="79">
        <v>29.878048780487806</v>
      </c>
      <c r="E101" s="79">
        <f t="shared" si="10"/>
        <v>0.57999999999999996</v>
      </c>
    </row>
    <row r="102" spans="1:5">
      <c r="A102" s="80" t="s">
        <v>16</v>
      </c>
      <c r="B102" s="79" t="s">
        <v>88</v>
      </c>
      <c r="C102" s="79">
        <v>54</v>
      </c>
      <c r="D102" s="79">
        <v>31.402439024390247</v>
      </c>
      <c r="E102" s="79">
        <f t="shared" si="10"/>
        <v>0.54</v>
      </c>
    </row>
    <row r="103" spans="1:5">
      <c r="A103" s="80" t="s">
        <v>16</v>
      </c>
      <c r="B103" s="79" t="s">
        <v>93</v>
      </c>
      <c r="C103" s="79">
        <v>45</v>
      </c>
      <c r="D103" s="79">
        <v>25</v>
      </c>
      <c r="E103" s="79">
        <f t="shared" si="10"/>
        <v>0.45</v>
      </c>
    </row>
    <row r="104" spans="1:5">
      <c r="A104" s="80" t="s">
        <v>16</v>
      </c>
      <c r="C104" s="79">
        <v>37</v>
      </c>
      <c r="D104" s="79">
        <v>25.914634146341466</v>
      </c>
      <c r="E104" s="79">
        <f t="shared" si="10"/>
        <v>0.37</v>
      </c>
    </row>
    <row r="105" spans="1:5">
      <c r="A105" s="80" t="s">
        <v>16</v>
      </c>
      <c r="C105" s="79">
        <v>45</v>
      </c>
      <c r="D105" s="79">
        <v>23.780487804878049</v>
      </c>
      <c r="E105" s="79">
        <f t="shared" si="10"/>
        <v>0.45</v>
      </c>
    </row>
    <row r="106" spans="1:5">
      <c r="A106" s="80" t="s">
        <v>16</v>
      </c>
      <c r="B106" s="79" t="s">
        <v>119</v>
      </c>
      <c r="C106" s="79">
        <v>23</v>
      </c>
      <c r="D106" s="79">
        <v>15.548780487804878</v>
      </c>
      <c r="E106" s="79">
        <f t="shared" si="10"/>
        <v>0.23</v>
      </c>
    </row>
    <row r="107" spans="1:5">
      <c r="A107" s="80" t="s">
        <v>16</v>
      </c>
      <c r="C107" s="79">
        <v>20</v>
      </c>
      <c r="D107" s="79">
        <v>12.804878048780489</v>
      </c>
      <c r="E107" s="79">
        <f t="shared" si="10"/>
        <v>0.2</v>
      </c>
    </row>
    <row r="108" spans="1:5">
      <c r="A108" s="80" t="s">
        <v>16</v>
      </c>
      <c r="C108" s="79">
        <v>54</v>
      </c>
      <c r="D108" s="79">
        <v>23.170731707317074</v>
      </c>
      <c r="E108" s="79">
        <f t="shared" si="10"/>
        <v>0.54</v>
      </c>
    </row>
    <row r="109" spans="1:5">
      <c r="A109" s="80" t="s">
        <v>16</v>
      </c>
      <c r="B109" s="79" t="s">
        <v>101</v>
      </c>
      <c r="C109" s="79">
        <v>37</v>
      </c>
      <c r="D109" s="79">
        <v>19.207317073170731</v>
      </c>
      <c r="E109" s="79">
        <f t="shared" si="10"/>
        <v>0.37</v>
      </c>
    </row>
    <row r="110" spans="1:5">
      <c r="A110" s="80" t="s">
        <v>16</v>
      </c>
      <c r="B110" s="79" t="s">
        <v>88</v>
      </c>
      <c r="C110" s="79">
        <v>70</v>
      </c>
      <c r="D110" s="79">
        <v>26.829268292682929</v>
      </c>
      <c r="E110" s="79">
        <f t="shared" si="10"/>
        <v>0.7</v>
      </c>
    </row>
    <row r="111" spans="1:5">
      <c r="A111" s="80" t="s">
        <v>16</v>
      </c>
      <c r="B111" s="79" t="s">
        <v>88</v>
      </c>
      <c r="C111" s="79">
        <v>32</v>
      </c>
      <c r="D111" s="79">
        <v>18.902439024390244</v>
      </c>
      <c r="E111" s="79">
        <f t="shared" si="10"/>
        <v>0.32</v>
      </c>
    </row>
    <row r="112" spans="1:5">
      <c r="A112" s="80" t="s">
        <v>16</v>
      </c>
      <c r="B112" s="79" t="s">
        <v>88</v>
      </c>
      <c r="C112" s="79">
        <v>63</v>
      </c>
      <c r="D112" s="79">
        <v>29.26829268292683</v>
      </c>
      <c r="E112" s="79">
        <f t="shared" si="10"/>
        <v>0.63</v>
      </c>
    </row>
    <row r="113" spans="1:5">
      <c r="A113" s="80" t="s">
        <v>16</v>
      </c>
      <c r="B113" s="79" t="s">
        <v>119</v>
      </c>
      <c r="C113" s="79">
        <v>23</v>
      </c>
      <c r="D113" s="79">
        <v>25.304878048780488</v>
      </c>
      <c r="E113" s="79">
        <f t="shared" si="10"/>
        <v>0.23</v>
      </c>
    </row>
    <row r="114" spans="1:5">
      <c r="A114" s="80" t="s">
        <v>16</v>
      </c>
      <c r="B114" s="79" t="s">
        <v>119</v>
      </c>
      <c r="C114" s="79">
        <v>26</v>
      </c>
      <c r="D114" s="79">
        <v>25.609756097560979</v>
      </c>
      <c r="E114" s="79">
        <f t="shared" si="10"/>
        <v>0.26</v>
      </c>
    </row>
    <row r="115" spans="1:5">
      <c r="A115" s="80" t="s">
        <v>16</v>
      </c>
      <c r="B115" s="79" t="s">
        <v>122</v>
      </c>
      <c r="C115" s="79">
        <v>42</v>
      </c>
      <c r="D115" s="79">
        <v>26.524390243902442</v>
      </c>
      <c r="E115" s="79">
        <f t="shared" si="10"/>
        <v>0.42</v>
      </c>
    </row>
    <row r="116" spans="1:5">
      <c r="A116" s="80" t="s">
        <v>16</v>
      </c>
      <c r="C116" s="79">
        <v>41</v>
      </c>
      <c r="D116" s="79">
        <v>22.256097560975611</v>
      </c>
      <c r="E116" s="79">
        <f t="shared" si="10"/>
        <v>0.41</v>
      </c>
    </row>
    <row r="117" spans="1:5">
      <c r="A117" s="80" t="s">
        <v>16</v>
      </c>
      <c r="B117" s="79" t="s">
        <v>88</v>
      </c>
      <c r="C117" s="79">
        <v>63</v>
      </c>
      <c r="D117" s="79">
        <v>24.390243902439025</v>
      </c>
      <c r="E117" s="79">
        <f t="shared" si="10"/>
        <v>0.63</v>
      </c>
    </row>
    <row r="118" spans="1:5">
      <c r="A118" s="80" t="s">
        <v>16</v>
      </c>
      <c r="B118" s="79" t="s">
        <v>88</v>
      </c>
      <c r="C118" s="79">
        <v>63</v>
      </c>
      <c r="D118" s="79">
        <v>29.878048780487806</v>
      </c>
      <c r="E118" s="79">
        <f t="shared" si="10"/>
        <v>0.63</v>
      </c>
    </row>
    <row r="119" spans="1:5">
      <c r="A119" s="80" t="s">
        <v>16</v>
      </c>
      <c r="B119" s="79" t="s">
        <v>96</v>
      </c>
      <c r="C119" s="79">
        <v>67</v>
      </c>
      <c r="D119" s="79">
        <v>25.304878048780488</v>
      </c>
      <c r="E119" s="79">
        <f t="shared" si="10"/>
        <v>0.67</v>
      </c>
    </row>
    <row r="120" spans="1:5">
      <c r="A120" s="80" t="s">
        <v>16</v>
      </c>
      <c r="B120" s="79" t="s">
        <v>122</v>
      </c>
      <c r="C120" s="79">
        <v>35</v>
      </c>
      <c r="D120" s="79">
        <v>18.597560975609756</v>
      </c>
      <c r="E120" s="79">
        <f t="shared" si="10"/>
        <v>0.35</v>
      </c>
    </row>
    <row r="121" spans="1:5">
      <c r="A121" s="80" t="s">
        <v>16</v>
      </c>
      <c r="C121" s="79">
        <v>27</v>
      </c>
      <c r="D121" s="79">
        <v>22.865853658536587</v>
      </c>
      <c r="E121" s="79">
        <f t="shared" si="10"/>
        <v>0.27</v>
      </c>
    </row>
    <row r="122" spans="1:5">
      <c r="A122" s="80" t="s">
        <v>16</v>
      </c>
      <c r="C122" s="79">
        <v>37</v>
      </c>
      <c r="D122" s="79">
        <v>23.170731707317074</v>
      </c>
      <c r="E122" s="79">
        <f t="shared" si="10"/>
        <v>0.37</v>
      </c>
    </row>
    <row r="123" spans="1:5">
      <c r="A123" s="80" t="s">
        <v>16</v>
      </c>
      <c r="C123" s="79">
        <v>48</v>
      </c>
      <c r="D123" s="79">
        <v>18.902439024390244</v>
      </c>
      <c r="E123" s="79">
        <f t="shared" si="10"/>
        <v>0.48</v>
      </c>
    </row>
    <row r="124" spans="1:5">
      <c r="A124" s="80" t="s">
        <v>19</v>
      </c>
      <c r="B124" s="79" t="s">
        <v>88</v>
      </c>
      <c r="C124" s="79">
        <v>46</v>
      </c>
      <c r="D124" s="79">
        <v>18.902439024390244</v>
      </c>
      <c r="E124" s="79">
        <f t="shared" si="10"/>
        <v>0.46</v>
      </c>
    </row>
    <row r="125" spans="1:5">
      <c r="A125" s="80" t="s">
        <v>19</v>
      </c>
      <c r="B125" s="79" t="s">
        <v>88</v>
      </c>
      <c r="C125" s="79">
        <v>52</v>
      </c>
      <c r="D125" s="79">
        <v>20.426829268292686</v>
      </c>
      <c r="E125" s="79">
        <f t="shared" si="10"/>
        <v>0.52</v>
      </c>
    </row>
    <row r="126" spans="1:5">
      <c r="A126" s="80" t="s">
        <v>19</v>
      </c>
      <c r="B126" s="79" t="s">
        <v>88</v>
      </c>
      <c r="C126" s="79">
        <v>36</v>
      </c>
      <c r="D126" s="79">
        <v>18.292682926829269</v>
      </c>
      <c r="E126" s="79">
        <f t="shared" si="10"/>
        <v>0.36</v>
      </c>
    </row>
    <row r="127" spans="1:5">
      <c r="A127" s="80" t="s">
        <v>19</v>
      </c>
      <c r="B127" s="79" t="s">
        <v>88</v>
      </c>
      <c r="C127" s="79">
        <v>43</v>
      </c>
      <c r="D127" s="79">
        <v>22.256097560975611</v>
      </c>
      <c r="E127" s="79">
        <f t="shared" si="10"/>
        <v>0.43</v>
      </c>
    </row>
    <row r="128" spans="1:5">
      <c r="A128" s="80" t="s">
        <v>19</v>
      </c>
      <c r="B128" s="79" t="s">
        <v>88</v>
      </c>
      <c r="C128" s="79">
        <v>48</v>
      </c>
      <c r="D128" s="79">
        <v>21.341463414634148</v>
      </c>
      <c r="E128" s="79">
        <f t="shared" si="10"/>
        <v>0.48</v>
      </c>
    </row>
    <row r="129" spans="1:5">
      <c r="A129" s="80" t="s">
        <v>19</v>
      </c>
      <c r="B129" s="79" t="s">
        <v>98</v>
      </c>
      <c r="C129" s="79">
        <v>29</v>
      </c>
      <c r="D129" s="79">
        <v>14.02439024390244</v>
      </c>
      <c r="E129" s="79">
        <f t="shared" si="10"/>
        <v>0.28999999999999998</v>
      </c>
    </row>
    <row r="130" spans="1:5">
      <c r="A130" s="80" t="s">
        <v>19</v>
      </c>
      <c r="B130" s="79" t="s">
        <v>98</v>
      </c>
      <c r="C130" s="79">
        <v>26</v>
      </c>
      <c r="D130" s="79">
        <v>14.329268292682928</v>
      </c>
      <c r="E130" s="79">
        <f t="shared" si="10"/>
        <v>0.26</v>
      </c>
    </row>
    <row r="131" spans="1:5">
      <c r="A131" s="80" t="s">
        <v>19</v>
      </c>
      <c r="B131" s="79" t="s">
        <v>88</v>
      </c>
      <c r="C131" s="79">
        <v>48</v>
      </c>
      <c r="D131" s="79">
        <v>23.780487804878049</v>
      </c>
      <c r="E131" s="79">
        <f t="shared" ref="E131:E194" si="11">C131/100</f>
        <v>0.48</v>
      </c>
    </row>
    <row r="132" spans="1:5">
      <c r="A132" s="80" t="s">
        <v>19</v>
      </c>
      <c r="B132" s="79" t="s">
        <v>93</v>
      </c>
      <c r="C132" s="79">
        <v>26</v>
      </c>
      <c r="D132" s="79">
        <v>11.585365853658537</v>
      </c>
      <c r="E132" s="79">
        <f t="shared" si="11"/>
        <v>0.26</v>
      </c>
    </row>
    <row r="133" spans="1:5">
      <c r="A133" s="80" t="s">
        <v>19</v>
      </c>
      <c r="C133" s="79">
        <v>25</v>
      </c>
      <c r="D133" s="79">
        <v>19.207317073170731</v>
      </c>
      <c r="E133" s="79">
        <f t="shared" si="11"/>
        <v>0.25</v>
      </c>
    </row>
    <row r="134" spans="1:5">
      <c r="A134" s="80" t="s">
        <v>19</v>
      </c>
      <c r="B134" s="79" t="s">
        <v>94</v>
      </c>
      <c r="C134" s="79">
        <v>30</v>
      </c>
      <c r="D134" s="79">
        <v>10.670731707317074</v>
      </c>
      <c r="E134" s="79">
        <f t="shared" si="11"/>
        <v>0.3</v>
      </c>
    </row>
    <row r="135" spans="1:5">
      <c r="A135" s="80" t="s">
        <v>19</v>
      </c>
      <c r="B135" s="79" t="s">
        <v>88</v>
      </c>
      <c r="C135" s="79">
        <v>61</v>
      </c>
      <c r="D135" s="79">
        <v>21.036585365853661</v>
      </c>
      <c r="E135" s="79">
        <f t="shared" si="11"/>
        <v>0.61</v>
      </c>
    </row>
    <row r="136" spans="1:5">
      <c r="A136" s="80" t="s">
        <v>19</v>
      </c>
      <c r="B136" s="79" t="s">
        <v>88</v>
      </c>
      <c r="C136" s="79">
        <v>32</v>
      </c>
      <c r="D136" s="79">
        <v>18.292682926829269</v>
      </c>
      <c r="E136" s="79">
        <f t="shared" si="11"/>
        <v>0.32</v>
      </c>
    </row>
    <row r="137" spans="1:5">
      <c r="A137" s="80" t="s">
        <v>19</v>
      </c>
      <c r="B137" s="79" t="s">
        <v>88</v>
      </c>
      <c r="C137" s="79">
        <v>46</v>
      </c>
      <c r="D137" s="79">
        <v>17.682926829268293</v>
      </c>
      <c r="E137" s="79">
        <f t="shared" si="11"/>
        <v>0.46</v>
      </c>
    </row>
    <row r="138" spans="1:5">
      <c r="A138" s="80" t="s">
        <v>19</v>
      </c>
      <c r="B138" s="79" t="s">
        <v>98</v>
      </c>
      <c r="C138" s="79">
        <v>30</v>
      </c>
      <c r="D138" s="79">
        <v>15.548780487804878</v>
      </c>
      <c r="E138" s="79">
        <f t="shared" si="11"/>
        <v>0.3</v>
      </c>
    </row>
    <row r="139" spans="1:5">
      <c r="A139" s="80" t="s">
        <v>19</v>
      </c>
      <c r="B139" s="79" t="s">
        <v>90</v>
      </c>
      <c r="C139" s="79">
        <v>47</v>
      </c>
      <c r="D139" s="79">
        <v>21.951219512195124</v>
      </c>
      <c r="E139" s="79">
        <f t="shared" si="11"/>
        <v>0.47</v>
      </c>
    </row>
    <row r="140" spans="1:5">
      <c r="A140" s="80" t="s">
        <v>19</v>
      </c>
      <c r="B140" s="79" t="s">
        <v>98</v>
      </c>
      <c r="C140" s="79">
        <v>28</v>
      </c>
      <c r="D140" s="79">
        <v>11.585365853658537</v>
      </c>
      <c r="E140" s="79">
        <f t="shared" si="11"/>
        <v>0.28000000000000003</v>
      </c>
    </row>
    <row r="141" spans="1:5">
      <c r="A141" s="80" t="s">
        <v>19</v>
      </c>
      <c r="B141" s="79" t="s">
        <v>90</v>
      </c>
      <c r="C141" s="79">
        <v>39</v>
      </c>
      <c r="D141" s="79">
        <v>21.951219512195124</v>
      </c>
      <c r="E141" s="79">
        <f t="shared" si="11"/>
        <v>0.39</v>
      </c>
    </row>
    <row r="142" spans="1:5">
      <c r="A142" s="80" t="s">
        <v>19</v>
      </c>
      <c r="B142" s="79" t="s">
        <v>88</v>
      </c>
      <c r="C142" s="79">
        <v>55</v>
      </c>
      <c r="D142" s="79">
        <v>19.81707317073171</v>
      </c>
      <c r="E142" s="79">
        <f t="shared" si="11"/>
        <v>0.55000000000000004</v>
      </c>
    </row>
    <row r="143" spans="1:5">
      <c r="A143" s="80" t="s">
        <v>19</v>
      </c>
      <c r="B143" s="79" t="s">
        <v>88</v>
      </c>
      <c r="C143" s="79">
        <v>42</v>
      </c>
      <c r="D143" s="79">
        <v>22.560975609756099</v>
      </c>
      <c r="E143" s="79">
        <f t="shared" si="11"/>
        <v>0.42</v>
      </c>
    </row>
    <row r="144" spans="1:5">
      <c r="A144" s="80" t="s">
        <v>19</v>
      </c>
      <c r="B144" s="79" t="s">
        <v>93</v>
      </c>
      <c r="C144" s="79">
        <v>55</v>
      </c>
      <c r="D144" s="79">
        <v>23.170731707317074</v>
      </c>
      <c r="E144" s="79">
        <f t="shared" si="11"/>
        <v>0.55000000000000004</v>
      </c>
    </row>
    <row r="145" spans="1:5">
      <c r="A145" s="80" t="s">
        <v>19</v>
      </c>
      <c r="B145" s="79" t="s">
        <v>88</v>
      </c>
      <c r="C145" s="79">
        <v>44</v>
      </c>
      <c r="D145" s="79">
        <v>19.81707317073171</v>
      </c>
      <c r="E145" s="79">
        <f t="shared" si="11"/>
        <v>0.44</v>
      </c>
    </row>
    <row r="146" spans="1:5">
      <c r="A146" s="80" t="s">
        <v>19</v>
      </c>
      <c r="B146" s="79" t="s">
        <v>122</v>
      </c>
      <c r="C146" s="79">
        <v>44</v>
      </c>
      <c r="D146" s="79">
        <v>23.780487804878049</v>
      </c>
      <c r="E146" s="79">
        <f t="shared" si="11"/>
        <v>0.44</v>
      </c>
    </row>
    <row r="147" spans="1:5">
      <c r="A147" s="80" t="s">
        <v>19</v>
      </c>
      <c r="B147" s="79" t="s">
        <v>88</v>
      </c>
      <c r="C147" s="79">
        <v>41</v>
      </c>
      <c r="D147" s="79">
        <v>24.085365853658537</v>
      </c>
      <c r="E147" s="79">
        <f t="shared" si="11"/>
        <v>0.41</v>
      </c>
    </row>
    <row r="148" spans="1:5">
      <c r="A148" s="80" t="s">
        <v>21</v>
      </c>
      <c r="C148" s="79">
        <v>39</v>
      </c>
      <c r="D148" s="79">
        <v>21.951219512195124</v>
      </c>
      <c r="E148" s="79">
        <f t="shared" si="11"/>
        <v>0.39</v>
      </c>
    </row>
    <row r="149" spans="1:5">
      <c r="A149" s="79" t="s">
        <v>21</v>
      </c>
      <c r="B149" s="79" t="s">
        <v>94</v>
      </c>
      <c r="C149" s="79">
        <v>29</v>
      </c>
      <c r="D149" s="79">
        <v>20.731707317073173</v>
      </c>
      <c r="E149" s="79">
        <f t="shared" si="11"/>
        <v>0.28999999999999998</v>
      </c>
    </row>
    <row r="150" spans="1:5">
      <c r="A150" s="80" t="s">
        <v>21</v>
      </c>
      <c r="B150" s="79" t="s">
        <v>120</v>
      </c>
      <c r="C150" s="79">
        <v>56</v>
      </c>
      <c r="D150" s="79">
        <v>21.341463414634148</v>
      </c>
      <c r="E150" s="79">
        <f t="shared" si="11"/>
        <v>0.56000000000000005</v>
      </c>
    </row>
    <row r="151" spans="1:5">
      <c r="A151" s="79" t="s">
        <v>21</v>
      </c>
      <c r="B151" s="79" t="s">
        <v>88</v>
      </c>
      <c r="C151" s="79">
        <v>77</v>
      </c>
      <c r="D151" s="79">
        <v>25.304878048780488</v>
      </c>
      <c r="E151" s="79">
        <f t="shared" si="11"/>
        <v>0.77</v>
      </c>
    </row>
    <row r="152" spans="1:5">
      <c r="A152" s="80" t="s">
        <v>21</v>
      </c>
      <c r="B152" s="79" t="s">
        <v>98</v>
      </c>
      <c r="C152" s="79">
        <v>34</v>
      </c>
      <c r="D152" s="79">
        <v>20.426829268292686</v>
      </c>
      <c r="E152" s="79">
        <f t="shared" si="11"/>
        <v>0.34</v>
      </c>
    </row>
    <row r="153" spans="1:5">
      <c r="A153" s="79" t="s">
        <v>21</v>
      </c>
      <c r="B153" s="79" t="s">
        <v>119</v>
      </c>
      <c r="C153" s="79">
        <v>45</v>
      </c>
      <c r="D153" s="79">
        <v>25.914634146341466</v>
      </c>
      <c r="E153" s="79">
        <f t="shared" si="11"/>
        <v>0.45</v>
      </c>
    </row>
    <row r="154" spans="1:5">
      <c r="A154" s="80" t="s">
        <v>21</v>
      </c>
      <c r="C154" s="79">
        <v>23</v>
      </c>
      <c r="D154" s="79">
        <v>3.6585365853658538</v>
      </c>
      <c r="E154" s="79">
        <f t="shared" si="11"/>
        <v>0.23</v>
      </c>
    </row>
    <row r="155" spans="1:5">
      <c r="A155" s="79" t="s">
        <v>21</v>
      </c>
      <c r="C155" s="79">
        <v>30</v>
      </c>
      <c r="D155" s="79">
        <v>3.0487804878048781</v>
      </c>
      <c r="E155" s="79">
        <f t="shared" si="11"/>
        <v>0.3</v>
      </c>
    </row>
    <row r="156" spans="1:5">
      <c r="A156" s="80" t="s">
        <v>21</v>
      </c>
      <c r="C156" s="79">
        <v>47</v>
      </c>
      <c r="D156" s="79">
        <v>24.695121951219512</v>
      </c>
      <c r="E156" s="79">
        <f t="shared" si="11"/>
        <v>0.47</v>
      </c>
    </row>
    <row r="157" spans="1:5">
      <c r="A157" s="79" t="s">
        <v>21</v>
      </c>
      <c r="B157" s="79" t="s">
        <v>98</v>
      </c>
      <c r="C157" s="79">
        <v>39</v>
      </c>
      <c r="D157" s="79">
        <v>20.731707317073173</v>
      </c>
      <c r="E157" s="79">
        <f t="shared" si="11"/>
        <v>0.39</v>
      </c>
    </row>
    <row r="158" spans="1:5">
      <c r="A158" s="80" t="s">
        <v>21</v>
      </c>
      <c r="B158" s="79" t="s">
        <v>122</v>
      </c>
      <c r="C158" s="79">
        <v>37</v>
      </c>
      <c r="D158" s="79">
        <v>22.256097560975611</v>
      </c>
      <c r="E158" s="79">
        <f t="shared" si="11"/>
        <v>0.37</v>
      </c>
    </row>
    <row r="159" spans="1:5">
      <c r="A159" s="79" t="s">
        <v>21</v>
      </c>
      <c r="B159" s="79" t="s">
        <v>119</v>
      </c>
      <c r="C159" s="79">
        <v>26</v>
      </c>
      <c r="D159" s="79">
        <v>21.646341463414636</v>
      </c>
      <c r="E159" s="79">
        <f t="shared" si="11"/>
        <v>0.26</v>
      </c>
    </row>
    <row r="160" spans="1:5">
      <c r="A160" s="80" t="s">
        <v>21</v>
      </c>
      <c r="C160" s="79">
        <v>49</v>
      </c>
      <c r="D160" s="79">
        <v>24.390243902439025</v>
      </c>
      <c r="E160" s="79">
        <f t="shared" si="11"/>
        <v>0.49</v>
      </c>
    </row>
    <row r="161" spans="1:5">
      <c r="A161" s="79" t="s">
        <v>21</v>
      </c>
      <c r="C161" s="79">
        <v>45</v>
      </c>
      <c r="D161" s="79">
        <v>25</v>
      </c>
      <c r="E161" s="79">
        <f t="shared" si="11"/>
        <v>0.45</v>
      </c>
    </row>
    <row r="162" spans="1:5">
      <c r="A162" s="80" t="s">
        <v>21</v>
      </c>
      <c r="C162" s="79">
        <v>49</v>
      </c>
      <c r="D162" s="79">
        <v>24.085365853658537</v>
      </c>
      <c r="E162" s="79">
        <f t="shared" si="11"/>
        <v>0.49</v>
      </c>
    </row>
    <row r="163" spans="1:5">
      <c r="A163" s="79" t="s">
        <v>21</v>
      </c>
      <c r="C163" s="79">
        <v>50</v>
      </c>
      <c r="D163" s="79">
        <v>24.390243902439025</v>
      </c>
      <c r="E163" s="79">
        <f t="shared" si="11"/>
        <v>0.5</v>
      </c>
    </row>
    <row r="164" spans="1:5">
      <c r="A164" s="80" t="s">
        <v>21</v>
      </c>
      <c r="C164" s="79">
        <v>63</v>
      </c>
      <c r="D164" s="79">
        <v>25.914634146341466</v>
      </c>
      <c r="E164" s="79">
        <f t="shared" si="11"/>
        <v>0.63</v>
      </c>
    </row>
    <row r="165" spans="1:5">
      <c r="A165" s="79" t="s">
        <v>21</v>
      </c>
      <c r="B165" s="79" t="s">
        <v>98</v>
      </c>
      <c r="C165" s="79">
        <v>21</v>
      </c>
      <c r="D165" s="79">
        <v>19.81707317073171</v>
      </c>
      <c r="E165" s="79">
        <f t="shared" si="11"/>
        <v>0.21</v>
      </c>
    </row>
    <row r="166" spans="1:5">
      <c r="A166" s="80" t="s">
        <v>21</v>
      </c>
      <c r="B166" s="79" t="s">
        <v>122</v>
      </c>
      <c r="C166" s="79">
        <v>25</v>
      </c>
      <c r="D166" s="79">
        <v>19.207317073170731</v>
      </c>
      <c r="E166" s="79">
        <f t="shared" si="11"/>
        <v>0.25</v>
      </c>
    </row>
    <row r="167" spans="1:5">
      <c r="A167" s="79" t="s">
        <v>21</v>
      </c>
      <c r="B167" s="79" t="s">
        <v>93</v>
      </c>
      <c r="C167" s="79">
        <v>59</v>
      </c>
      <c r="D167" s="79">
        <v>26.829268292682929</v>
      </c>
      <c r="E167" s="79">
        <f t="shared" si="11"/>
        <v>0.59</v>
      </c>
    </row>
    <row r="168" spans="1:5">
      <c r="A168" s="80" t="s">
        <v>21</v>
      </c>
      <c r="C168" s="79">
        <v>38</v>
      </c>
      <c r="D168" s="79">
        <v>22.865853658536587</v>
      </c>
      <c r="E168" s="79">
        <f t="shared" si="11"/>
        <v>0.38</v>
      </c>
    </row>
    <row r="169" spans="1:5">
      <c r="A169" s="79" t="s">
        <v>21</v>
      </c>
      <c r="C169" s="79">
        <v>39</v>
      </c>
      <c r="D169" s="79">
        <v>25.304878048780488</v>
      </c>
      <c r="E169" s="79">
        <f t="shared" si="11"/>
        <v>0.39</v>
      </c>
    </row>
    <row r="170" spans="1:5">
      <c r="A170" s="80" t="s">
        <v>21</v>
      </c>
      <c r="C170" s="79">
        <v>83</v>
      </c>
      <c r="D170" s="79">
        <v>25.914634146341466</v>
      </c>
      <c r="E170" s="79">
        <f t="shared" si="11"/>
        <v>0.83</v>
      </c>
    </row>
    <row r="171" spans="1:5">
      <c r="A171" s="79" t="s">
        <v>21</v>
      </c>
      <c r="B171" s="79" t="s">
        <v>122</v>
      </c>
      <c r="C171" s="79">
        <v>32</v>
      </c>
      <c r="D171" s="79">
        <v>22.865853658536587</v>
      </c>
      <c r="E171" s="79">
        <f t="shared" si="11"/>
        <v>0.32</v>
      </c>
    </row>
    <row r="172" spans="1:5">
      <c r="A172" s="80" t="s">
        <v>21</v>
      </c>
      <c r="C172" s="79">
        <v>40</v>
      </c>
      <c r="D172" s="79">
        <v>23.475609756097562</v>
      </c>
      <c r="E172" s="79">
        <f t="shared" si="11"/>
        <v>0.4</v>
      </c>
    </row>
    <row r="173" spans="1:5">
      <c r="A173" s="79" t="s">
        <v>21</v>
      </c>
      <c r="C173" s="79">
        <v>29</v>
      </c>
      <c r="D173" s="79">
        <v>22.865853658536587</v>
      </c>
      <c r="E173" s="79">
        <f t="shared" si="11"/>
        <v>0.28999999999999998</v>
      </c>
    </row>
    <row r="174" spans="1:5">
      <c r="A174" s="80" t="s">
        <v>21</v>
      </c>
      <c r="B174" s="79" t="s">
        <v>122</v>
      </c>
      <c r="C174" s="79">
        <v>20</v>
      </c>
      <c r="D174" s="79">
        <v>19.207317073170731</v>
      </c>
      <c r="E174" s="79">
        <f t="shared" si="11"/>
        <v>0.2</v>
      </c>
    </row>
    <row r="175" spans="1:5">
      <c r="A175" s="79" t="s">
        <v>21</v>
      </c>
      <c r="B175" s="79" t="s">
        <v>90</v>
      </c>
      <c r="C175" s="79">
        <v>72</v>
      </c>
      <c r="D175" s="79">
        <v>28.04878048780488</v>
      </c>
      <c r="E175" s="79">
        <f t="shared" si="11"/>
        <v>0.72</v>
      </c>
    </row>
    <row r="176" spans="1:5">
      <c r="A176" s="80" t="s">
        <v>21</v>
      </c>
      <c r="B176" s="79" t="s">
        <v>98</v>
      </c>
      <c r="C176" s="79">
        <v>26</v>
      </c>
      <c r="D176" s="79">
        <v>14.02439024390244</v>
      </c>
      <c r="E176" s="79">
        <f t="shared" si="11"/>
        <v>0.26</v>
      </c>
    </row>
    <row r="177" spans="1:5">
      <c r="A177" s="79" t="s">
        <v>21</v>
      </c>
      <c r="B177" s="79" t="s">
        <v>88</v>
      </c>
      <c r="C177" s="79">
        <v>54</v>
      </c>
      <c r="D177" s="79">
        <v>27.134146341463417</v>
      </c>
      <c r="E177" s="79">
        <f t="shared" si="11"/>
        <v>0.54</v>
      </c>
    </row>
    <row r="178" spans="1:5">
      <c r="A178" s="80" t="s">
        <v>21</v>
      </c>
      <c r="B178" s="79" t="s">
        <v>93</v>
      </c>
      <c r="C178" s="79">
        <v>49</v>
      </c>
      <c r="D178" s="79">
        <v>24.695121951219512</v>
      </c>
      <c r="E178" s="79">
        <f t="shared" si="11"/>
        <v>0.49</v>
      </c>
    </row>
    <row r="179" spans="1:5">
      <c r="A179" s="79" t="s">
        <v>21</v>
      </c>
      <c r="B179" s="79" t="s">
        <v>88</v>
      </c>
      <c r="C179" s="79">
        <v>75</v>
      </c>
      <c r="D179" s="79">
        <v>23.170731707317074</v>
      </c>
      <c r="E179" s="79">
        <f t="shared" si="11"/>
        <v>0.75</v>
      </c>
    </row>
    <row r="180" spans="1:5">
      <c r="A180" s="80" t="s">
        <v>21</v>
      </c>
      <c r="C180" s="79">
        <v>38</v>
      </c>
      <c r="D180" s="79">
        <v>23.475609756097562</v>
      </c>
      <c r="E180" s="79">
        <f t="shared" si="11"/>
        <v>0.38</v>
      </c>
    </row>
    <row r="181" spans="1:5">
      <c r="A181" s="79" t="s">
        <v>21</v>
      </c>
      <c r="B181" s="79" t="s">
        <v>122</v>
      </c>
      <c r="C181" s="79">
        <v>25</v>
      </c>
      <c r="D181" s="79">
        <v>22.865853658536587</v>
      </c>
      <c r="E181" s="79">
        <f t="shared" si="11"/>
        <v>0.25</v>
      </c>
    </row>
    <row r="182" spans="1:5">
      <c r="A182" s="80" t="s">
        <v>21</v>
      </c>
      <c r="B182" s="79" t="s">
        <v>98</v>
      </c>
      <c r="C182" s="79">
        <v>33</v>
      </c>
      <c r="D182" s="79">
        <v>23.170731707317074</v>
      </c>
      <c r="E182" s="79">
        <f t="shared" si="11"/>
        <v>0.33</v>
      </c>
    </row>
    <row r="183" spans="1:5">
      <c r="A183" s="79" t="s">
        <v>21</v>
      </c>
      <c r="B183" s="79" t="s">
        <v>119</v>
      </c>
      <c r="C183" s="79">
        <v>20</v>
      </c>
      <c r="D183" s="79">
        <v>14.02439024390244</v>
      </c>
      <c r="E183" s="79">
        <f t="shared" si="11"/>
        <v>0.2</v>
      </c>
    </row>
    <row r="184" spans="1:5">
      <c r="A184" s="80" t="s">
        <v>23</v>
      </c>
      <c r="B184" s="79" t="s">
        <v>88</v>
      </c>
      <c r="C184" s="79">
        <v>47</v>
      </c>
      <c r="D184" s="79">
        <v>24.390243902439025</v>
      </c>
      <c r="E184" s="79">
        <f t="shared" si="11"/>
        <v>0.47</v>
      </c>
    </row>
    <row r="185" spans="1:5">
      <c r="A185" s="80" t="s">
        <v>23</v>
      </c>
      <c r="B185" s="79" t="s">
        <v>123</v>
      </c>
      <c r="C185" s="79">
        <v>55</v>
      </c>
      <c r="D185" s="79">
        <v>25.914634146341466</v>
      </c>
      <c r="E185" s="79">
        <f t="shared" si="11"/>
        <v>0.55000000000000004</v>
      </c>
    </row>
    <row r="186" spans="1:5">
      <c r="A186" s="80" t="s">
        <v>23</v>
      </c>
      <c r="B186" s="79" t="s">
        <v>88</v>
      </c>
      <c r="C186" s="79">
        <v>40</v>
      </c>
      <c r="D186" s="79">
        <v>26.524390243902442</v>
      </c>
      <c r="E186" s="79">
        <f t="shared" si="11"/>
        <v>0.4</v>
      </c>
    </row>
    <row r="187" spans="1:5">
      <c r="A187" s="80" t="s">
        <v>23</v>
      </c>
      <c r="B187" s="79" t="s">
        <v>88</v>
      </c>
      <c r="C187" s="79">
        <v>22</v>
      </c>
      <c r="D187" s="79">
        <v>18.902439024390244</v>
      </c>
      <c r="E187" s="79">
        <f t="shared" si="11"/>
        <v>0.22</v>
      </c>
    </row>
    <row r="188" spans="1:5">
      <c r="A188" s="80" t="s">
        <v>23</v>
      </c>
      <c r="B188" s="79" t="s">
        <v>88</v>
      </c>
      <c r="C188" s="79">
        <v>44</v>
      </c>
      <c r="D188" s="79">
        <v>25.914634146341466</v>
      </c>
      <c r="E188" s="79">
        <f t="shared" si="11"/>
        <v>0.44</v>
      </c>
    </row>
    <row r="189" spans="1:5">
      <c r="A189" s="80" t="s">
        <v>23</v>
      </c>
      <c r="B189" s="79" t="s">
        <v>88</v>
      </c>
      <c r="C189" s="79">
        <v>46</v>
      </c>
      <c r="D189" s="79">
        <v>25.304878048780488</v>
      </c>
      <c r="E189" s="79">
        <f t="shared" si="11"/>
        <v>0.46</v>
      </c>
    </row>
    <row r="190" spans="1:5">
      <c r="A190" s="80" t="s">
        <v>23</v>
      </c>
      <c r="B190" s="79" t="s">
        <v>88</v>
      </c>
      <c r="C190" s="79">
        <v>56</v>
      </c>
      <c r="D190" s="79">
        <v>26.524390243902442</v>
      </c>
      <c r="E190" s="79">
        <f t="shared" si="11"/>
        <v>0.56000000000000005</v>
      </c>
    </row>
    <row r="191" spans="1:5">
      <c r="A191" s="80" t="s">
        <v>23</v>
      </c>
      <c r="B191" s="79" t="s">
        <v>94</v>
      </c>
      <c r="C191" s="79">
        <v>48</v>
      </c>
      <c r="D191" s="79">
        <v>24.390243902439025</v>
      </c>
      <c r="E191" s="79">
        <f t="shared" si="11"/>
        <v>0.48</v>
      </c>
    </row>
    <row r="192" spans="1:5">
      <c r="A192" s="80" t="s">
        <v>23</v>
      </c>
      <c r="C192" s="79">
        <v>20</v>
      </c>
      <c r="D192" s="79">
        <v>13.719512195121952</v>
      </c>
      <c r="E192" s="79">
        <f t="shared" si="11"/>
        <v>0.2</v>
      </c>
    </row>
    <row r="193" spans="1:5">
      <c r="A193" s="80" t="s">
        <v>23</v>
      </c>
      <c r="B193" s="79" t="s">
        <v>122</v>
      </c>
      <c r="C193" s="79">
        <v>71</v>
      </c>
      <c r="D193" s="79">
        <v>27.743902439024392</v>
      </c>
      <c r="E193" s="79">
        <f t="shared" si="11"/>
        <v>0.71</v>
      </c>
    </row>
    <row r="194" spans="1:5">
      <c r="A194" s="80" t="s">
        <v>23</v>
      </c>
      <c r="B194" s="79" t="s">
        <v>94</v>
      </c>
      <c r="C194" s="79">
        <v>32</v>
      </c>
      <c r="D194" s="79">
        <v>16.158536585365855</v>
      </c>
      <c r="E194" s="79">
        <f t="shared" si="11"/>
        <v>0.32</v>
      </c>
    </row>
    <row r="195" spans="1:5">
      <c r="A195" s="80" t="s">
        <v>23</v>
      </c>
      <c r="B195" s="79" t="s">
        <v>88</v>
      </c>
      <c r="C195" s="79">
        <v>52</v>
      </c>
      <c r="D195" s="79">
        <v>28.353658536585368</v>
      </c>
      <c r="E195" s="79">
        <f t="shared" ref="E195:E258" si="12">C195/100</f>
        <v>0.52</v>
      </c>
    </row>
    <row r="196" spans="1:5">
      <c r="A196" s="80" t="s">
        <v>23</v>
      </c>
      <c r="B196" s="79" t="s">
        <v>88</v>
      </c>
      <c r="C196" s="79">
        <v>55</v>
      </c>
      <c r="D196" s="79">
        <v>28.658536585365855</v>
      </c>
      <c r="E196" s="79">
        <f t="shared" si="12"/>
        <v>0.55000000000000004</v>
      </c>
    </row>
    <row r="197" spans="1:5">
      <c r="A197" s="80" t="s">
        <v>23</v>
      </c>
      <c r="B197" s="79" t="s">
        <v>88</v>
      </c>
      <c r="C197" s="79">
        <v>46</v>
      </c>
      <c r="D197" s="79">
        <v>27.743902439024392</v>
      </c>
      <c r="E197" s="79">
        <f t="shared" si="12"/>
        <v>0.46</v>
      </c>
    </row>
    <row r="198" spans="1:5">
      <c r="A198" s="80" t="s">
        <v>23</v>
      </c>
      <c r="B198" s="79" t="s">
        <v>88</v>
      </c>
      <c r="C198" s="79">
        <v>26</v>
      </c>
      <c r="D198" s="79">
        <v>22.560975609756099</v>
      </c>
      <c r="E198" s="79">
        <f t="shared" si="12"/>
        <v>0.26</v>
      </c>
    </row>
    <row r="199" spans="1:5">
      <c r="A199" s="80" t="s">
        <v>23</v>
      </c>
      <c r="B199" s="79" t="s">
        <v>123</v>
      </c>
      <c r="C199" s="79">
        <v>44</v>
      </c>
      <c r="D199" s="79">
        <v>25.609756097560979</v>
      </c>
      <c r="E199" s="79">
        <f t="shared" si="12"/>
        <v>0.44</v>
      </c>
    </row>
    <row r="200" spans="1:5">
      <c r="A200" s="80" t="s">
        <v>23</v>
      </c>
      <c r="B200" s="79" t="s">
        <v>88</v>
      </c>
      <c r="C200" s="79">
        <v>47</v>
      </c>
      <c r="D200" s="79">
        <v>28.963414634146343</v>
      </c>
      <c r="E200" s="79">
        <f t="shared" si="12"/>
        <v>0.47</v>
      </c>
    </row>
    <row r="201" spans="1:5">
      <c r="A201" s="80" t="s">
        <v>23</v>
      </c>
      <c r="B201" s="79" t="s">
        <v>96</v>
      </c>
      <c r="C201" s="79">
        <v>24</v>
      </c>
      <c r="D201" s="79">
        <v>22.256097560975611</v>
      </c>
      <c r="E201" s="79">
        <f t="shared" si="12"/>
        <v>0.24</v>
      </c>
    </row>
    <row r="202" spans="1:5">
      <c r="A202" s="80" t="s">
        <v>23</v>
      </c>
      <c r="B202" s="79" t="s">
        <v>94</v>
      </c>
      <c r="C202" s="79">
        <v>23</v>
      </c>
      <c r="D202" s="79">
        <v>20.426829268292686</v>
      </c>
      <c r="E202" s="79">
        <f t="shared" si="12"/>
        <v>0.23</v>
      </c>
    </row>
    <row r="203" spans="1:5">
      <c r="A203" s="80" t="s">
        <v>23</v>
      </c>
      <c r="C203" s="79">
        <v>42</v>
      </c>
      <c r="D203" s="79">
        <v>21.951219512195124</v>
      </c>
      <c r="E203" s="79">
        <f t="shared" si="12"/>
        <v>0.42</v>
      </c>
    </row>
    <row r="204" spans="1:5">
      <c r="A204" s="80" t="s">
        <v>24</v>
      </c>
      <c r="B204" s="79" t="s">
        <v>96</v>
      </c>
      <c r="C204" s="79">
        <v>61</v>
      </c>
      <c r="D204" s="79">
        <v>29.878048780487806</v>
      </c>
      <c r="E204" s="79">
        <f t="shared" si="12"/>
        <v>0.61</v>
      </c>
    </row>
    <row r="205" spans="1:5">
      <c r="A205" s="80" t="s">
        <v>24</v>
      </c>
      <c r="B205" s="79" t="s">
        <v>88</v>
      </c>
      <c r="C205" s="79">
        <v>20</v>
      </c>
      <c r="D205" s="79">
        <v>19.81707317073171</v>
      </c>
      <c r="E205" s="79">
        <f t="shared" si="12"/>
        <v>0.2</v>
      </c>
    </row>
    <row r="206" spans="1:5">
      <c r="A206" s="80" t="s">
        <v>24</v>
      </c>
      <c r="C206" s="79">
        <v>26</v>
      </c>
      <c r="D206" s="79">
        <v>18.902439024390244</v>
      </c>
      <c r="E206" s="79">
        <f t="shared" si="12"/>
        <v>0.26</v>
      </c>
    </row>
    <row r="207" spans="1:5">
      <c r="A207" s="80" t="s">
        <v>24</v>
      </c>
      <c r="C207" s="79">
        <v>48</v>
      </c>
      <c r="D207" s="79">
        <v>25.609756097560979</v>
      </c>
      <c r="E207" s="79">
        <f t="shared" si="12"/>
        <v>0.48</v>
      </c>
    </row>
    <row r="208" spans="1:5">
      <c r="A208" s="80" t="s">
        <v>24</v>
      </c>
      <c r="B208" s="79" t="s">
        <v>88</v>
      </c>
      <c r="C208" s="79">
        <v>58</v>
      </c>
      <c r="D208" s="79">
        <v>30.487804878048781</v>
      </c>
      <c r="E208" s="79">
        <f t="shared" si="12"/>
        <v>0.57999999999999996</v>
      </c>
    </row>
    <row r="209" spans="1:5">
      <c r="A209" s="80" t="s">
        <v>24</v>
      </c>
      <c r="B209" s="79" t="s">
        <v>88</v>
      </c>
      <c r="C209" s="79">
        <v>57</v>
      </c>
      <c r="D209" s="79">
        <v>29.573170731707318</v>
      </c>
      <c r="E209" s="79">
        <f t="shared" si="12"/>
        <v>0.56999999999999995</v>
      </c>
    </row>
    <row r="210" spans="1:5">
      <c r="A210" s="80" t="s">
        <v>24</v>
      </c>
      <c r="C210" s="79">
        <v>29</v>
      </c>
      <c r="D210" s="79">
        <v>24.085365853658537</v>
      </c>
      <c r="E210" s="79">
        <f t="shared" si="12"/>
        <v>0.28999999999999998</v>
      </c>
    </row>
    <row r="211" spans="1:5">
      <c r="A211" s="80" t="s">
        <v>24</v>
      </c>
      <c r="B211" s="79" t="s">
        <v>88</v>
      </c>
      <c r="C211" s="79">
        <v>49</v>
      </c>
      <c r="D211" s="79">
        <v>31.097560975609756</v>
      </c>
      <c r="E211" s="79">
        <f t="shared" si="12"/>
        <v>0.49</v>
      </c>
    </row>
    <row r="212" spans="1:5">
      <c r="A212" s="80" t="s">
        <v>24</v>
      </c>
      <c r="B212" s="79" t="s">
        <v>94</v>
      </c>
      <c r="C212" s="79">
        <v>28</v>
      </c>
      <c r="D212" s="79">
        <v>22.560975609756099</v>
      </c>
      <c r="E212" s="79">
        <f t="shared" si="12"/>
        <v>0.28000000000000003</v>
      </c>
    </row>
    <row r="213" spans="1:5">
      <c r="A213" s="80" t="s">
        <v>24</v>
      </c>
      <c r="B213" s="79" t="s">
        <v>88</v>
      </c>
      <c r="C213" s="79">
        <v>55</v>
      </c>
      <c r="D213" s="79">
        <v>30.792682926829269</v>
      </c>
      <c r="E213" s="79">
        <f t="shared" si="12"/>
        <v>0.55000000000000004</v>
      </c>
    </row>
    <row r="214" spans="1:5">
      <c r="A214" s="80" t="s">
        <v>24</v>
      </c>
      <c r="C214" s="79">
        <v>37</v>
      </c>
      <c r="D214" s="79">
        <v>29.878048780487806</v>
      </c>
      <c r="E214" s="79">
        <f t="shared" si="12"/>
        <v>0.37</v>
      </c>
    </row>
    <row r="215" spans="1:5">
      <c r="A215" s="80" t="s">
        <v>24</v>
      </c>
      <c r="B215" s="79" t="s">
        <v>118</v>
      </c>
      <c r="C215" s="79">
        <v>23</v>
      </c>
      <c r="D215" s="79">
        <v>26.829268292682929</v>
      </c>
      <c r="E215" s="79">
        <f t="shared" si="12"/>
        <v>0.23</v>
      </c>
    </row>
    <row r="216" spans="1:5">
      <c r="A216" s="80" t="s">
        <v>24</v>
      </c>
      <c r="C216" s="79">
        <v>28</v>
      </c>
      <c r="D216" s="79">
        <v>25.914634146341466</v>
      </c>
      <c r="E216" s="79">
        <f t="shared" si="12"/>
        <v>0.28000000000000003</v>
      </c>
    </row>
    <row r="217" spans="1:5">
      <c r="A217" s="80" t="s">
        <v>24</v>
      </c>
      <c r="C217" s="79">
        <v>26</v>
      </c>
      <c r="D217" s="79">
        <v>23.475609756097562</v>
      </c>
      <c r="E217" s="79">
        <f t="shared" si="12"/>
        <v>0.26</v>
      </c>
    </row>
    <row r="218" spans="1:5">
      <c r="A218" s="80" t="s">
        <v>24</v>
      </c>
      <c r="C218" s="79">
        <v>137</v>
      </c>
      <c r="D218" s="79">
        <v>36.585365853658537</v>
      </c>
      <c r="E218" s="79">
        <f t="shared" si="12"/>
        <v>1.37</v>
      </c>
    </row>
    <row r="219" spans="1:5">
      <c r="A219" s="80" t="s">
        <v>24</v>
      </c>
      <c r="B219" s="79" t="s">
        <v>90</v>
      </c>
      <c r="C219" s="79">
        <v>84</v>
      </c>
      <c r="D219" s="79">
        <v>35.060975609756099</v>
      </c>
      <c r="E219" s="79">
        <f t="shared" si="12"/>
        <v>0.84</v>
      </c>
    </row>
    <row r="220" spans="1:5">
      <c r="A220" s="80" t="s">
        <v>24</v>
      </c>
      <c r="B220" s="79" t="s">
        <v>96</v>
      </c>
      <c r="C220" s="79">
        <v>40</v>
      </c>
      <c r="D220" s="79">
        <v>32.012195121951223</v>
      </c>
      <c r="E220" s="79">
        <f t="shared" si="12"/>
        <v>0.4</v>
      </c>
    </row>
    <row r="221" spans="1:5">
      <c r="A221" s="80" t="s">
        <v>24</v>
      </c>
      <c r="B221" s="79" t="s">
        <v>96</v>
      </c>
      <c r="C221" s="79">
        <v>58</v>
      </c>
      <c r="D221" s="79">
        <v>32.926829268292686</v>
      </c>
      <c r="E221" s="79">
        <f t="shared" si="12"/>
        <v>0.57999999999999996</v>
      </c>
    </row>
    <row r="222" spans="1:5">
      <c r="A222" s="80" t="s">
        <v>24</v>
      </c>
      <c r="B222" s="79" t="s">
        <v>88</v>
      </c>
      <c r="C222" s="79">
        <v>55</v>
      </c>
      <c r="D222" s="79">
        <v>33.536585365853661</v>
      </c>
      <c r="E222" s="79">
        <f t="shared" si="12"/>
        <v>0.55000000000000004</v>
      </c>
    </row>
    <row r="223" spans="1:5">
      <c r="A223" s="80" t="s">
        <v>24</v>
      </c>
      <c r="C223" s="79">
        <v>38</v>
      </c>
      <c r="D223" s="79">
        <v>36.585365853658537</v>
      </c>
      <c r="E223" s="79">
        <f t="shared" si="12"/>
        <v>0.38</v>
      </c>
    </row>
    <row r="224" spans="1:5">
      <c r="A224" s="80" t="s">
        <v>24</v>
      </c>
      <c r="B224" s="79" t="s">
        <v>122</v>
      </c>
      <c r="C224" s="79">
        <v>38</v>
      </c>
      <c r="D224" s="79">
        <v>25.304878048780488</v>
      </c>
      <c r="E224" s="79">
        <f t="shared" si="12"/>
        <v>0.38</v>
      </c>
    </row>
    <row r="225" spans="1:5">
      <c r="A225" s="80" t="s">
        <v>24</v>
      </c>
      <c r="B225" s="79" t="s">
        <v>88</v>
      </c>
      <c r="C225" s="79">
        <v>20</v>
      </c>
      <c r="D225" s="79">
        <v>18.597560975609756</v>
      </c>
      <c r="E225" s="79">
        <f t="shared" si="12"/>
        <v>0.2</v>
      </c>
    </row>
    <row r="226" spans="1:5">
      <c r="A226" s="80" t="s">
        <v>24</v>
      </c>
      <c r="B226" s="79" t="s">
        <v>88</v>
      </c>
      <c r="C226" s="79">
        <v>61</v>
      </c>
      <c r="D226" s="79">
        <v>28.658536585365855</v>
      </c>
      <c r="E226" s="79">
        <f t="shared" si="12"/>
        <v>0.61</v>
      </c>
    </row>
    <row r="227" spans="1:5">
      <c r="A227" s="80" t="s">
        <v>24</v>
      </c>
      <c r="B227" s="79" t="s">
        <v>98</v>
      </c>
      <c r="C227" s="79">
        <v>34</v>
      </c>
      <c r="D227" s="79">
        <v>25.304878048780488</v>
      </c>
      <c r="E227" s="79">
        <f t="shared" si="12"/>
        <v>0.34</v>
      </c>
    </row>
    <row r="228" spans="1:5">
      <c r="A228" s="80" t="s">
        <v>25</v>
      </c>
      <c r="B228" s="79" t="s">
        <v>90</v>
      </c>
      <c r="C228" s="79">
        <v>58</v>
      </c>
      <c r="D228" s="79">
        <v>27.439024390243905</v>
      </c>
      <c r="E228" s="79">
        <f t="shared" si="12"/>
        <v>0.57999999999999996</v>
      </c>
    </row>
    <row r="229" spans="1:5">
      <c r="A229" s="80" t="s">
        <v>25</v>
      </c>
      <c r="B229" s="79" t="s">
        <v>88</v>
      </c>
      <c r="C229" s="79">
        <v>26</v>
      </c>
      <c r="D229" s="79">
        <v>16.76829268292683</v>
      </c>
      <c r="E229" s="79">
        <f t="shared" si="12"/>
        <v>0.26</v>
      </c>
    </row>
    <row r="230" spans="1:5">
      <c r="A230" s="80" t="s">
        <v>25</v>
      </c>
      <c r="B230" s="79" t="s">
        <v>90</v>
      </c>
      <c r="C230" s="79">
        <v>65</v>
      </c>
      <c r="D230" s="79">
        <v>25.914634146341466</v>
      </c>
      <c r="E230" s="79">
        <f t="shared" si="12"/>
        <v>0.65</v>
      </c>
    </row>
    <row r="231" spans="1:5">
      <c r="A231" s="80" t="s">
        <v>25</v>
      </c>
      <c r="B231" s="79" t="s">
        <v>119</v>
      </c>
      <c r="C231" s="79">
        <v>77</v>
      </c>
      <c r="D231" s="79">
        <v>26.524390243902442</v>
      </c>
      <c r="E231" s="79">
        <f t="shared" si="12"/>
        <v>0.77</v>
      </c>
    </row>
    <row r="232" spans="1:5">
      <c r="A232" s="80" t="s">
        <v>25</v>
      </c>
      <c r="B232" s="79" t="s">
        <v>90</v>
      </c>
      <c r="C232" s="79">
        <v>56</v>
      </c>
      <c r="D232" s="79">
        <v>25.609756097560979</v>
      </c>
      <c r="E232" s="79">
        <f t="shared" si="12"/>
        <v>0.56000000000000005</v>
      </c>
    </row>
    <row r="233" spans="1:5">
      <c r="A233" s="80" t="s">
        <v>25</v>
      </c>
      <c r="B233" s="79" t="s">
        <v>90</v>
      </c>
      <c r="C233" s="79">
        <v>57</v>
      </c>
      <c r="D233" s="79">
        <v>26.219512195121954</v>
      </c>
      <c r="E233" s="79">
        <f t="shared" si="12"/>
        <v>0.56999999999999995</v>
      </c>
    </row>
    <row r="234" spans="1:5">
      <c r="A234" s="80" t="s">
        <v>25</v>
      </c>
      <c r="B234" s="79" t="s">
        <v>94</v>
      </c>
      <c r="C234" s="79">
        <v>25</v>
      </c>
      <c r="D234" s="79">
        <v>13.414634146341465</v>
      </c>
      <c r="E234" s="79">
        <f t="shared" si="12"/>
        <v>0.25</v>
      </c>
    </row>
    <row r="235" spans="1:5">
      <c r="A235" s="80" t="s">
        <v>25</v>
      </c>
      <c r="C235" s="79">
        <v>40</v>
      </c>
      <c r="D235" s="79">
        <v>20.731707317073173</v>
      </c>
      <c r="E235" s="79">
        <f t="shared" si="12"/>
        <v>0.4</v>
      </c>
    </row>
    <row r="236" spans="1:5">
      <c r="A236" s="80" t="s">
        <v>25</v>
      </c>
      <c r="C236" s="79">
        <v>20</v>
      </c>
      <c r="D236" s="79">
        <v>11.585365853658537</v>
      </c>
      <c r="E236" s="79">
        <f t="shared" si="12"/>
        <v>0.2</v>
      </c>
    </row>
    <row r="237" spans="1:5">
      <c r="A237" s="80" t="s">
        <v>25</v>
      </c>
      <c r="C237" s="79">
        <v>20</v>
      </c>
      <c r="D237" s="79">
        <v>11.280487804878049</v>
      </c>
      <c r="E237" s="79">
        <f t="shared" si="12"/>
        <v>0.2</v>
      </c>
    </row>
    <row r="238" spans="1:5">
      <c r="A238" s="80" t="s">
        <v>25</v>
      </c>
      <c r="B238" s="79" t="s">
        <v>90</v>
      </c>
      <c r="C238" s="79">
        <v>45</v>
      </c>
      <c r="D238" s="79">
        <v>23.780487804878049</v>
      </c>
      <c r="E238" s="79">
        <f t="shared" si="12"/>
        <v>0.45</v>
      </c>
    </row>
    <row r="239" spans="1:5">
      <c r="A239" s="80" t="s">
        <v>25</v>
      </c>
      <c r="B239" s="79" t="s">
        <v>90</v>
      </c>
      <c r="C239" s="79">
        <v>46</v>
      </c>
      <c r="D239" s="79">
        <v>25.609756097560979</v>
      </c>
      <c r="E239" s="79">
        <f t="shared" si="12"/>
        <v>0.46</v>
      </c>
    </row>
    <row r="240" spans="1:5">
      <c r="A240" s="80" t="s">
        <v>25</v>
      </c>
      <c r="C240" s="79">
        <v>22</v>
      </c>
      <c r="D240" s="79">
        <v>16.158536585365855</v>
      </c>
      <c r="E240" s="79">
        <f t="shared" si="12"/>
        <v>0.22</v>
      </c>
    </row>
    <row r="241" spans="1:5">
      <c r="A241" s="80" t="s">
        <v>25</v>
      </c>
      <c r="B241" s="79" t="s">
        <v>88</v>
      </c>
      <c r="C241" s="79">
        <v>52</v>
      </c>
      <c r="D241" s="79">
        <v>24.085365853658537</v>
      </c>
      <c r="E241" s="79">
        <f t="shared" si="12"/>
        <v>0.52</v>
      </c>
    </row>
    <row r="242" spans="1:5">
      <c r="A242" s="80" t="s">
        <v>25</v>
      </c>
      <c r="B242" s="79" t="s">
        <v>88</v>
      </c>
      <c r="C242" s="79">
        <v>38</v>
      </c>
      <c r="D242" s="79">
        <v>21.341463414634148</v>
      </c>
      <c r="E242" s="79">
        <f t="shared" si="12"/>
        <v>0.38</v>
      </c>
    </row>
    <row r="243" spans="1:5">
      <c r="A243" s="80" t="s">
        <v>25</v>
      </c>
      <c r="B243" s="79" t="s">
        <v>88</v>
      </c>
      <c r="C243" s="79">
        <v>45</v>
      </c>
      <c r="D243" s="79">
        <v>22.256097560975611</v>
      </c>
      <c r="E243" s="79">
        <f t="shared" si="12"/>
        <v>0.45</v>
      </c>
    </row>
    <row r="244" spans="1:5">
      <c r="A244" s="80" t="s">
        <v>25</v>
      </c>
      <c r="B244" s="79" t="s">
        <v>88</v>
      </c>
      <c r="C244" s="79">
        <v>34</v>
      </c>
      <c r="D244" s="79">
        <v>22.560975609756099</v>
      </c>
      <c r="E244" s="79">
        <f t="shared" si="12"/>
        <v>0.34</v>
      </c>
    </row>
    <row r="245" spans="1:5">
      <c r="A245" s="80" t="s">
        <v>25</v>
      </c>
      <c r="B245" s="79" t="s">
        <v>90</v>
      </c>
      <c r="C245" s="79">
        <v>32</v>
      </c>
      <c r="D245" s="79">
        <v>24.085365853658537</v>
      </c>
      <c r="E245" s="79">
        <f t="shared" si="12"/>
        <v>0.32</v>
      </c>
    </row>
    <row r="246" spans="1:5">
      <c r="A246" s="80" t="s">
        <v>25</v>
      </c>
      <c r="B246" s="79" t="s">
        <v>88</v>
      </c>
      <c r="C246" s="79">
        <v>35</v>
      </c>
      <c r="D246" s="79">
        <v>23.475609756097562</v>
      </c>
      <c r="E246" s="79">
        <f t="shared" si="12"/>
        <v>0.35</v>
      </c>
    </row>
    <row r="247" spans="1:5">
      <c r="A247" s="80" t="s">
        <v>25</v>
      </c>
      <c r="C247" s="79">
        <v>45</v>
      </c>
      <c r="D247" s="79">
        <v>20.731707317073173</v>
      </c>
      <c r="E247" s="79">
        <f t="shared" si="12"/>
        <v>0.45</v>
      </c>
    </row>
    <row r="248" spans="1:5">
      <c r="A248" s="80" t="s">
        <v>25</v>
      </c>
      <c r="C248" s="79">
        <v>41</v>
      </c>
      <c r="D248" s="79">
        <v>20.426829268292686</v>
      </c>
      <c r="E248" s="79">
        <f t="shared" si="12"/>
        <v>0.41</v>
      </c>
    </row>
    <row r="249" spans="1:5">
      <c r="A249" s="80" t="s">
        <v>25</v>
      </c>
      <c r="B249" s="79" t="s">
        <v>88</v>
      </c>
      <c r="C249" s="79">
        <v>22</v>
      </c>
      <c r="D249" s="79">
        <v>14.634146341463415</v>
      </c>
      <c r="E249" s="79">
        <f t="shared" si="12"/>
        <v>0.22</v>
      </c>
    </row>
    <row r="250" spans="1:5">
      <c r="A250" s="80" t="s">
        <v>25</v>
      </c>
      <c r="C250" s="79">
        <v>21</v>
      </c>
      <c r="D250" s="79">
        <v>14.329268292682928</v>
      </c>
      <c r="E250" s="79">
        <f t="shared" si="12"/>
        <v>0.21</v>
      </c>
    </row>
    <row r="251" spans="1:5">
      <c r="A251" s="80" t="s">
        <v>25</v>
      </c>
      <c r="B251" s="79" t="s">
        <v>119</v>
      </c>
      <c r="C251" s="79">
        <v>54</v>
      </c>
      <c r="D251" s="79">
        <v>27.134146341463417</v>
      </c>
      <c r="E251" s="79">
        <f t="shared" si="12"/>
        <v>0.54</v>
      </c>
    </row>
    <row r="252" spans="1:5">
      <c r="A252" s="80" t="s">
        <v>25</v>
      </c>
      <c r="C252" s="79">
        <v>25</v>
      </c>
      <c r="D252" s="79">
        <v>5.4878048780487809</v>
      </c>
      <c r="E252" s="79">
        <f t="shared" si="12"/>
        <v>0.25</v>
      </c>
    </row>
    <row r="253" spans="1:5">
      <c r="A253" s="80" t="s">
        <v>25</v>
      </c>
      <c r="B253" s="79" t="s">
        <v>96</v>
      </c>
      <c r="C253" s="79">
        <v>81</v>
      </c>
      <c r="D253" s="79">
        <v>28.658536585365855</v>
      </c>
      <c r="E253" s="79">
        <f t="shared" si="12"/>
        <v>0.81</v>
      </c>
    </row>
    <row r="254" spans="1:5">
      <c r="A254" s="80" t="s">
        <v>25</v>
      </c>
      <c r="C254" s="79">
        <v>33</v>
      </c>
      <c r="D254" s="79">
        <v>17.378048780487806</v>
      </c>
      <c r="E254" s="79">
        <f t="shared" si="12"/>
        <v>0.33</v>
      </c>
    </row>
    <row r="255" spans="1:5">
      <c r="A255" s="80" t="s">
        <v>25</v>
      </c>
      <c r="C255" s="79">
        <v>27.5</v>
      </c>
      <c r="D255" s="79">
        <v>12.195121951219512</v>
      </c>
      <c r="E255" s="79">
        <f t="shared" si="12"/>
        <v>0.27500000000000002</v>
      </c>
    </row>
    <row r="256" spans="1:5">
      <c r="A256" s="80" t="s">
        <v>25</v>
      </c>
      <c r="B256" s="79" t="s">
        <v>88</v>
      </c>
      <c r="C256" s="79">
        <v>53</v>
      </c>
      <c r="D256" s="79">
        <v>17.987804878048781</v>
      </c>
      <c r="E256" s="79">
        <f t="shared" si="12"/>
        <v>0.53</v>
      </c>
    </row>
    <row r="257" spans="1:5">
      <c r="A257" s="80" t="s">
        <v>25</v>
      </c>
      <c r="B257" s="79" t="s">
        <v>88</v>
      </c>
      <c r="C257" s="79">
        <v>44</v>
      </c>
      <c r="D257" s="79">
        <v>12.804878048780489</v>
      </c>
      <c r="E257" s="79">
        <f t="shared" si="12"/>
        <v>0.44</v>
      </c>
    </row>
    <row r="258" spans="1:5">
      <c r="A258" s="80" t="s">
        <v>25</v>
      </c>
      <c r="B258" s="79" t="s">
        <v>124</v>
      </c>
      <c r="C258" s="79">
        <v>36</v>
      </c>
      <c r="D258" s="79">
        <v>18.597560975609756</v>
      </c>
      <c r="E258" s="79">
        <f t="shared" si="12"/>
        <v>0.36</v>
      </c>
    </row>
    <row r="259" spans="1:5">
      <c r="A259" s="80" t="s">
        <v>25</v>
      </c>
      <c r="B259" s="79" t="s">
        <v>88</v>
      </c>
      <c r="C259" s="79">
        <v>55</v>
      </c>
      <c r="D259" s="79">
        <v>20.731707317073173</v>
      </c>
      <c r="E259" s="79">
        <f t="shared" ref="E259:E322" si="13">C259/100</f>
        <v>0.55000000000000004</v>
      </c>
    </row>
    <row r="260" spans="1:5">
      <c r="A260" s="80" t="s">
        <v>26</v>
      </c>
      <c r="C260" s="79">
        <v>44</v>
      </c>
      <c r="D260" s="79">
        <v>13.719512195121952</v>
      </c>
      <c r="E260" s="79">
        <f t="shared" si="13"/>
        <v>0.44</v>
      </c>
    </row>
    <row r="261" spans="1:5">
      <c r="A261" s="80" t="s">
        <v>26</v>
      </c>
      <c r="B261" s="79" t="s">
        <v>88</v>
      </c>
      <c r="C261" s="79">
        <v>52</v>
      </c>
      <c r="D261" s="79">
        <v>25.914634146341466</v>
      </c>
      <c r="E261" s="79">
        <f t="shared" si="13"/>
        <v>0.52</v>
      </c>
    </row>
    <row r="262" spans="1:5">
      <c r="A262" s="80" t="s">
        <v>26</v>
      </c>
      <c r="B262" s="79" t="s">
        <v>90</v>
      </c>
      <c r="C262" s="79">
        <v>90</v>
      </c>
      <c r="D262" s="79">
        <v>32.012195121951223</v>
      </c>
      <c r="E262" s="79">
        <f t="shared" si="13"/>
        <v>0.9</v>
      </c>
    </row>
    <row r="263" spans="1:5">
      <c r="A263" s="80" t="s">
        <v>26</v>
      </c>
      <c r="B263" s="79" t="s">
        <v>98</v>
      </c>
      <c r="C263" s="79">
        <v>43</v>
      </c>
      <c r="D263" s="79">
        <v>22.865853658536587</v>
      </c>
      <c r="E263" s="79">
        <f t="shared" si="13"/>
        <v>0.43</v>
      </c>
    </row>
    <row r="264" spans="1:5">
      <c r="A264" s="80" t="s">
        <v>26</v>
      </c>
      <c r="C264" s="79">
        <v>36</v>
      </c>
      <c r="D264" s="79">
        <v>21.951219512195124</v>
      </c>
      <c r="E264" s="79">
        <f t="shared" si="13"/>
        <v>0.36</v>
      </c>
    </row>
    <row r="265" spans="1:5">
      <c r="A265" s="80" t="s">
        <v>26</v>
      </c>
      <c r="C265" s="79">
        <v>60</v>
      </c>
      <c r="D265" s="79">
        <v>23.170731707317074</v>
      </c>
      <c r="E265" s="79">
        <f t="shared" si="13"/>
        <v>0.6</v>
      </c>
    </row>
    <row r="266" spans="1:5">
      <c r="A266" s="80" t="s">
        <v>26</v>
      </c>
      <c r="C266" s="79">
        <v>31</v>
      </c>
      <c r="D266" s="79">
        <v>22.256097560975611</v>
      </c>
      <c r="E266" s="79">
        <f t="shared" si="13"/>
        <v>0.31</v>
      </c>
    </row>
    <row r="267" spans="1:5">
      <c r="A267" s="80" t="s">
        <v>26</v>
      </c>
      <c r="B267" s="79" t="s">
        <v>98</v>
      </c>
      <c r="C267" s="79">
        <v>29</v>
      </c>
      <c r="D267" s="79">
        <v>21.646341463414636</v>
      </c>
      <c r="E267" s="79">
        <f t="shared" si="13"/>
        <v>0.28999999999999998</v>
      </c>
    </row>
    <row r="268" spans="1:5">
      <c r="A268" s="80" t="s">
        <v>26</v>
      </c>
      <c r="B268" s="79" t="s">
        <v>88</v>
      </c>
      <c r="C268" s="79">
        <v>58</v>
      </c>
      <c r="D268" s="79">
        <v>25.914634146341466</v>
      </c>
      <c r="E268" s="79">
        <f t="shared" si="13"/>
        <v>0.57999999999999996</v>
      </c>
    </row>
    <row r="269" spans="1:5">
      <c r="A269" s="80" t="s">
        <v>26</v>
      </c>
      <c r="B269" s="79" t="s">
        <v>88</v>
      </c>
      <c r="C269" s="79">
        <v>36</v>
      </c>
      <c r="D269" s="79">
        <v>25.914634146341466</v>
      </c>
      <c r="E269" s="79">
        <f t="shared" si="13"/>
        <v>0.36</v>
      </c>
    </row>
    <row r="270" spans="1:5">
      <c r="A270" s="80" t="s">
        <v>26</v>
      </c>
      <c r="C270" s="79">
        <v>30</v>
      </c>
      <c r="D270" s="79">
        <v>24.695121951219512</v>
      </c>
      <c r="E270" s="79">
        <f t="shared" si="13"/>
        <v>0.3</v>
      </c>
    </row>
    <row r="271" spans="1:5">
      <c r="A271" s="80" t="s">
        <v>26</v>
      </c>
      <c r="B271" s="79" t="s">
        <v>122</v>
      </c>
      <c r="C271" s="79">
        <v>32</v>
      </c>
      <c r="D271" s="79">
        <v>23.780487804878049</v>
      </c>
      <c r="E271" s="79">
        <f t="shared" si="13"/>
        <v>0.32</v>
      </c>
    </row>
    <row r="272" spans="1:5">
      <c r="A272" s="80" t="s">
        <v>26</v>
      </c>
      <c r="B272" s="79" t="s">
        <v>94</v>
      </c>
      <c r="C272" s="79">
        <v>37</v>
      </c>
      <c r="D272" s="79">
        <v>24.085365853658537</v>
      </c>
      <c r="E272" s="79">
        <f t="shared" si="13"/>
        <v>0.37</v>
      </c>
    </row>
    <row r="273" spans="1:5">
      <c r="A273" s="80" t="s">
        <v>26</v>
      </c>
      <c r="B273" s="79" t="s">
        <v>88</v>
      </c>
      <c r="C273" s="79">
        <v>48</v>
      </c>
      <c r="D273" s="79">
        <v>23.475609756097562</v>
      </c>
      <c r="E273" s="79">
        <f t="shared" si="13"/>
        <v>0.48</v>
      </c>
    </row>
    <row r="274" spans="1:5">
      <c r="A274" s="80" t="s">
        <v>26</v>
      </c>
      <c r="B274" s="79" t="s">
        <v>119</v>
      </c>
      <c r="C274" s="79">
        <v>61</v>
      </c>
      <c r="D274" s="79">
        <v>27.134146341463417</v>
      </c>
      <c r="E274" s="79">
        <f t="shared" si="13"/>
        <v>0.61</v>
      </c>
    </row>
    <row r="275" spans="1:5">
      <c r="A275" s="80" t="s">
        <v>26</v>
      </c>
      <c r="C275" s="79">
        <v>38</v>
      </c>
      <c r="D275" s="79">
        <v>20.731707317073173</v>
      </c>
      <c r="E275" s="79">
        <f t="shared" si="13"/>
        <v>0.38</v>
      </c>
    </row>
    <row r="276" spans="1:5">
      <c r="A276" s="80" t="s">
        <v>26</v>
      </c>
      <c r="B276" s="79" t="s">
        <v>88</v>
      </c>
      <c r="C276" s="79">
        <v>63</v>
      </c>
      <c r="D276" s="79">
        <v>27.439024390243905</v>
      </c>
      <c r="E276" s="79">
        <f t="shared" si="13"/>
        <v>0.63</v>
      </c>
    </row>
    <row r="277" spans="1:5">
      <c r="A277" s="80" t="s">
        <v>26</v>
      </c>
      <c r="B277" s="79" t="s">
        <v>119</v>
      </c>
      <c r="C277" s="79">
        <v>51</v>
      </c>
      <c r="D277" s="79">
        <v>28.353658536585368</v>
      </c>
      <c r="E277" s="79">
        <f t="shared" si="13"/>
        <v>0.51</v>
      </c>
    </row>
    <row r="278" spans="1:5">
      <c r="A278" s="80" t="s">
        <v>26</v>
      </c>
      <c r="B278" s="79" t="s">
        <v>88</v>
      </c>
      <c r="C278" s="79">
        <v>40</v>
      </c>
      <c r="D278" s="79">
        <v>28.04878048780488</v>
      </c>
      <c r="E278" s="79">
        <f t="shared" si="13"/>
        <v>0.4</v>
      </c>
    </row>
    <row r="279" spans="1:5">
      <c r="A279" s="80" t="s">
        <v>26</v>
      </c>
      <c r="B279" s="79" t="s">
        <v>88</v>
      </c>
      <c r="C279" s="79">
        <v>44</v>
      </c>
      <c r="D279" s="79">
        <v>27.134146341463417</v>
      </c>
      <c r="E279" s="79">
        <f t="shared" si="13"/>
        <v>0.44</v>
      </c>
    </row>
    <row r="280" spans="1:5">
      <c r="A280" s="80" t="s">
        <v>26</v>
      </c>
      <c r="C280" s="79">
        <v>76</v>
      </c>
      <c r="D280" s="79">
        <v>22.560975609756099</v>
      </c>
      <c r="E280" s="79">
        <f t="shared" si="13"/>
        <v>0.76</v>
      </c>
    </row>
    <row r="281" spans="1:5">
      <c r="A281" s="80" t="s">
        <v>26</v>
      </c>
      <c r="C281" s="79">
        <v>25</v>
      </c>
      <c r="D281" s="79">
        <v>13.719512195121952</v>
      </c>
      <c r="E281" s="79">
        <f t="shared" si="13"/>
        <v>0.25</v>
      </c>
    </row>
    <row r="282" spans="1:5">
      <c r="A282" s="80" t="s">
        <v>26</v>
      </c>
      <c r="C282" s="79">
        <v>43</v>
      </c>
      <c r="D282" s="79">
        <v>26.524390243902442</v>
      </c>
      <c r="E282" s="79">
        <f t="shared" si="13"/>
        <v>0.43</v>
      </c>
    </row>
    <row r="283" spans="1:5">
      <c r="A283" s="80" t="s">
        <v>26</v>
      </c>
      <c r="C283" s="79">
        <v>51</v>
      </c>
      <c r="D283" s="79">
        <v>25.914634146341466</v>
      </c>
      <c r="E283" s="79">
        <f t="shared" si="13"/>
        <v>0.51</v>
      </c>
    </row>
    <row r="284" spans="1:5">
      <c r="A284" s="80" t="s">
        <v>26</v>
      </c>
      <c r="C284" s="79">
        <v>28</v>
      </c>
      <c r="D284" s="79">
        <v>21.036585365853661</v>
      </c>
      <c r="E284" s="79">
        <f t="shared" si="13"/>
        <v>0.28000000000000003</v>
      </c>
    </row>
    <row r="285" spans="1:5">
      <c r="A285" s="80" t="s">
        <v>32</v>
      </c>
      <c r="B285" s="82" t="s">
        <v>125</v>
      </c>
      <c r="C285" s="85">
        <v>26</v>
      </c>
      <c r="D285" s="83">
        <v>12.804878048780489</v>
      </c>
      <c r="E285" s="79">
        <f t="shared" si="13"/>
        <v>0.26</v>
      </c>
    </row>
    <row r="286" spans="1:5">
      <c r="A286" s="80" t="s">
        <v>32</v>
      </c>
      <c r="B286" s="82" t="s">
        <v>88</v>
      </c>
      <c r="C286" s="85">
        <v>22</v>
      </c>
      <c r="D286" s="83">
        <v>13.414634146341465</v>
      </c>
      <c r="E286" s="79">
        <f t="shared" si="13"/>
        <v>0.22</v>
      </c>
    </row>
    <row r="287" spans="1:5">
      <c r="A287" s="80" t="s">
        <v>32</v>
      </c>
      <c r="B287" s="82" t="s">
        <v>88</v>
      </c>
      <c r="C287" s="85">
        <v>31.2</v>
      </c>
      <c r="D287" s="83">
        <v>12.195121951219512</v>
      </c>
      <c r="E287" s="79">
        <f t="shared" si="13"/>
        <v>0.312</v>
      </c>
    </row>
    <row r="288" spans="1:5">
      <c r="A288" s="80" t="s">
        <v>32</v>
      </c>
      <c r="B288" s="82" t="s">
        <v>88</v>
      </c>
      <c r="C288" s="85">
        <v>42</v>
      </c>
      <c r="D288" s="83">
        <v>16.463414634146343</v>
      </c>
      <c r="E288" s="79">
        <f t="shared" si="13"/>
        <v>0.42</v>
      </c>
    </row>
    <row r="289" spans="1:5">
      <c r="A289" s="80" t="s">
        <v>32</v>
      </c>
      <c r="B289" s="82" t="s">
        <v>88</v>
      </c>
      <c r="C289" s="85">
        <v>33.5</v>
      </c>
      <c r="D289" s="83">
        <v>17.378048780487806</v>
      </c>
      <c r="E289" s="79">
        <f t="shared" si="13"/>
        <v>0.33500000000000002</v>
      </c>
    </row>
    <row r="290" spans="1:5">
      <c r="A290" s="80" t="s">
        <v>32</v>
      </c>
      <c r="B290" s="82" t="s">
        <v>88</v>
      </c>
      <c r="C290" s="85">
        <v>24</v>
      </c>
      <c r="D290" s="83">
        <v>11.890243902439025</v>
      </c>
      <c r="E290" s="79">
        <f t="shared" si="13"/>
        <v>0.24</v>
      </c>
    </row>
    <row r="291" spans="1:5">
      <c r="A291" s="80" t="s">
        <v>32</v>
      </c>
      <c r="B291" s="82" t="s">
        <v>88</v>
      </c>
      <c r="C291" s="85">
        <v>27.5</v>
      </c>
      <c r="D291" s="83">
        <v>15.853658536585368</v>
      </c>
      <c r="E291" s="79">
        <f t="shared" si="13"/>
        <v>0.27500000000000002</v>
      </c>
    </row>
    <row r="292" spans="1:5">
      <c r="A292" s="80" t="s">
        <v>32</v>
      </c>
      <c r="B292" s="82" t="s">
        <v>88</v>
      </c>
      <c r="C292" s="85">
        <v>29</v>
      </c>
      <c r="D292" s="83">
        <v>19.207317073170731</v>
      </c>
      <c r="E292" s="79">
        <f t="shared" si="13"/>
        <v>0.28999999999999998</v>
      </c>
    </row>
    <row r="293" spans="1:5">
      <c r="A293" s="80" t="s">
        <v>32</v>
      </c>
      <c r="B293" s="82" t="s">
        <v>88</v>
      </c>
      <c r="C293" s="85">
        <v>30.1</v>
      </c>
      <c r="D293" s="83">
        <v>20.731707317073173</v>
      </c>
      <c r="E293" s="79">
        <f t="shared" si="13"/>
        <v>0.30099999999999999</v>
      </c>
    </row>
    <row r="294" spans="1:5">
      <c r="A294" s="80" t="s">
        <v>32</v>
      </c>
      <c r="B294" s="82" t="s">
        <v>88</v>
      </c>
      <c r="C294" s="85">
        <v>23.5</v>
      </c>
      <c r="D294" s="83">
        <v>20.121951219512198</v>
      </c>
      <c r="E294" s="79">
        <f t="shared" si="13"/>
        <v>0.23499999999999999</v>
      </c>
    </row>
    <row r="295" spans="1:5">
      <c r="A295" s="80" t="s">
        <v>32</v>
      </c>
      <c r="B295" s="82" t="s">
        <v>88</v>
      </c>
      <c r="C295" s="85">
        <v>26.6</v>
      </c>
      <c r="D295" s="83">
        <v>19.512195121951219</v>
      </c>
      <c r="E295" s="79">
        <f t="shared" si="13"/>
        <v>0.26600000000000001</v>
      </c>
    </row>
    <row r="296" spans="1:5">
      <c r="A296" s="80" t="s">
        <v>32</v>
      </c>
      <c r="B296" s="82" t="s">
        <v>88</v>
      </c>
      <c r="C296" s="85">
        <v>20.100000000000001</v>
      </c>
      <c r="D296" s="83">
        <v>18.902439024390244</v>
      </c>
      <c r="E296" s="79">
        <f t="shared" si="13"/>
        <v>0.20100000000000001</v>
      </c>
    </row>
    <row r="297" spans="1:5">
      <c r="A297" s="80" t="s">
        <v>32</v>
      </c>
      <c r="B297" s="82" t="s">
        <v>88</v>
      </c>
      <c r="C297" s="85">
        <v>33.700000000000003</v>
      </c>
      <c r="D297" s="83">
        <v>21.036585365853661</v>
      </c>
      <c r="E297" s="79">
        <f t="shared" si="13"/>
        <v>0.33700000000000002</v>
      </c>
    </row>
    <row r="298" spans="1:5">
      <c r="A298" s="80" t="s">
        <v>32</v>
      </c>
      <c r="B298" s="82" t="s">
        <v>88</v>
      </c>
      <c r="C298" s="85">
        <v>26</v>
      </c>
      <c r="D298" s="83">
        <v>21.951219512195124</v>
      </c>
      <c r="E298" s="79">
        <f t="shared" si="13"/>
        <v>0.26</v>
      </c>
    </row>
    <row r="299" spans="1:5">
      <c r="A299" s="80" t="s">
        <v>32</v>
      </c>
      <c r="B299" s="82" t="s">
        <v>88</v>
      </c>
      <c r="C299" s="85">
        <v>23.4</v>
      </c>
      <c r="D299" s="83">
        <v>22.256097560975611</v>
      </c>
      <c r="E299" s="79">
        <f t="shared" si="13"/>
        <v>0.23399999999999999</v>
      </c>
    </row>
    <row r="300" spans="1:5">
      <c r="A300" s="80" t="s">
        <v>32</v>
      </c>
      <c r="B300" s="82" t="s">
        <v>88</v>
      </c>
      <c r="C300" s="85">
        <v>23.8</v>
      </c>
      <c r="D300" s="83">
        <v>21.646341463414636</v>
      </c>
      <c r="E300" s="79">
        <f t="shared" si="13"/>
        <v>0.23800000000000002</v>
      </c>
    </row>
    <row r="301" spans="1:5">
      <c r="A301" s="80" t="s">
        <v>32</v>
      </c>
      <c r="B301" s="82" t="s">
        <v>88</v>
      </c>
      <c r="C301" s="85">
        <v>35.299999999999997</v>
      </c>
      <c r="D301" s="83">
        <v>17.378048780487806</v>
      </c>
      <c r="E301" s="79">
        <f t="shared" si="13"/>
        <v>0.35299999999999998</v>
      </c>
    </row>
    <row r="302" spans="1:5">
      <c r="A302" s="80" t="s">
        <v>32</v>
      </c>
      <c r="B302" s="82" t="s">
        <v>88</v>
      </c>
      <c r="C302" s="85">
        <v>26.2</v>
      </c>
      <c r="D302" s="83">
        <v>17.682926829268293</v>
      </c>
      <c r="E302" s="79">
        <f t="shared" si="13"/>
        <v>0.26200000000000001</v>
      </c>
    </row>
    <row r="303" spans="1:5">
      <c r="A303" s="80" t="s">
        <v>32</v>
      </c>
      <c r="B303" s="82" t="s">
        <v>88</v>
      </c>
      <c r="C303" s="85">
        <v>40</v>
      </c>
      <c r="D303" s="83">
        <v>16.158536585365855</v>
      </c>
      <c r="E303" s="79">
        <f t="shared" si="13"/>
        <v>0.4</v>
      </c>
    </row>
    <row r="304" spans="1:5">
      <c r="A304" s="80" t="s">
        <v>32</v>
      </c>
      <c r="B304" s="82" t="s">
        <v>88</v>
      </c>
      <c r="C304" s="85">
        <v>22</v>
      </c>
      <c r="D304" s="83">
        <v>13.902439024390246</v>
      </c>
      <c r="E304" s="79">
        <f t="shared" si="13"/>
        <v>0.22</v>
      </c>
    </row>
    <row r="305" spans="1:5">
      <c r="A305" s="80" t="s">
        <v>32</v>
      </c>
      <c r="B305" s="82" t="s">
        <v>88</v>
      </c>
      <c r="C305" s="85">
        <v>27.7</v>
      </c>
      <c r="D305" s="83">
        <v>16.859756097560975</v>
      </c>
      <c r="E305" s="79">
        <f t="shared" si="13"/>
        <v>0.27699999999999997</v>
      </c>
    </row>
    <row r="306" spans="1:5">
      <c r="A306" s="80" t="s">
        <v>32</v>
      </c>
      <c r="B306" s="82" t="s">
        <v>88</v>
      </c>
      <c r="C306" s="85">
        <v>33.200000000000003</v>
      </c>
      <c r="D306" s="83">
        <v>17.804878048780488</v>
      </c>
      <c r="E306" s="79">
        <f t="shared" si="13"/>
        <v>0.33200000000000002</v>
      </c>
    </row>
    <row r="307" spans="1:5">
      <c r="A307" s="80" t="s">
        <v>32</v>
      </c>
      <c r="B307" s="82" t="s">
        <v>88</v>
      </c>
      <c r="C307" s="85">
        <v>32</v>
      </c>
      <c r="D307" s="83">
        <v>17.713414634146343</v>
      </c>
      <c r="E307" s="79">
        <f t="shared" si="13"/>
        <v>0.32</v>
      </c>
    </row>
    <row r="308" spans="1:5">
      <c r="A308" s="80" t="s">
        <v>32</v>
      </c>
      <c r="B308" s="82" t="s">
        <v>125</v>
      </c>
      <c r="C308" s="85">
        <v>29.4</v>
      </c>
      <c r="D308" s="83">
        <v>16.829268292682929</v>
      </c>
      <c r="E308" s="79">
        <f t="shared" si="13"/>
        <v>0.29399999999999998</v>
      </c>
    </row>
    <row r="309" spans="1:5">
      <c r="A309" s="80" t="s">
        <v>32</v>
      </c>
      <c r="B309" s="82" t="s">
        <v>88</v>
      </c>
      <c r="C309" s="85">
        <v>26.2</v>
      </c>
      <c r="D309" s="83">
        <v>18.993902439024392</v>
      </c>
      <c r="E309" s="79">
        <f t="shared" si="13"/>
        <v>0.26200000000000001</v>
      </c>
    </row>
    <row r="310" spans="1:5">
      <c r="A310" s="80" t="s">
        <v>32</v>
      </c>
      <c r="B310" s="82" t="s">
        <v>88</v>
      </c>
      <c r="C310" s="85">
        <v>22</v>
      </c>
      <c r="D310" s="83">
        <v>18.902439024390244</v>
      </c>
      <c r="E310" s="79">
        <f t="shared" si="13"/>
        <v>0.22</v>
      </c>
    </row>
    <row r="311" spans="1:5">
      <c r="A311" s="80" t="s">
        <v>32</v>
      </c>
      <c r="B311" s="82" t="s">
        <v>88</v>
      </c>
      <c r="C311" s="85">
        <v>24.4</v>
      </c>
      <c r="D311" s="83">
        <v>19.81707317073171</v>
      </c>
      <c r="E311" s="79">
        <f t="shared" si="13"/>
        <v>0.24399999999999999</v>
      </c>
    </row>
    <row r="312" spans="1:5">
      <c r="A312" s="80" t="s">
        <v>32</v>
      </c>
      <c r="B312" s="82" t="s">
        <v>88</v>
      </c>
      <c r="C312" s="85">
        <v>26.5</v>
      </c>
      <c r="D312" s="83">
        <v>14.939024390243903</v>
      </c>
      <c r="E312" s="79">
        <f t="shared" si="13"/>
        <v>0.26500000000000001</v>
      </c>
    </row>
    <row r="313" spans="1:5">
      <c r="A313" s="80" t="s">
        <v>33</v>
      </c>
      <c r="C313" s="83">
        <v>30.6</v>
      </c>
      <c r="D313" s="83">
        <v>18.902439024390244</v>
      </c>
      <c r="E313" s="79">
        <f t="shared" si="13"/>
        <v>0.30599999999999999</v>
      </c>
    </row>
    <row r="314" spans="1:5">
      <c r="A314" s="80" t="s">
        <v>33</v>
      </c>
      <c r="C314" s="83">
        <v>25.1</v>
      </c>
      <c r="D314" s="83">
        <v>17.987804878048781</v>
      </c>
      <c r="E314" s="79">
        <f t="shared" si="13"/>
        <v>0.251</v>
      </c>
    </row>
    <row r="315" spans="1:5">
      <c r="A315" s="80" t="s">
        <v>33</v>
      </c>
      <c r="C315" s="83">
        <v>21.9</v>
      </c>
      <c r="D315" s="83">
        <v>7.9268292682926838</v>
      </c>
      <c r="E315" s="79">
        <f t="shared" si="13"/>
        <v>0.21899999999999997</v>
      </c>
    </row>
    <row r="316" spans="1:5">
      <c r="A316" s="80" t="s">
        <v>33</v>
      </c>
      <c r="C316" s="83">
        <v>20.2</v>
      </c>
      <c r="D316" s="83">
        <v>16.463414634146343</v>
      </c>
      <c r="E316" s="79">
        <f t="shared" si="13"/>
        <v>0.20199999999999999</v>
      </c>
    </row>
    <row r="317" spans="1:5">
      <c r="A317" s="80" t="s">
        <v>33</v>
      </c>
      <c r="C317" s="83">
        <v>30.6</v>
      </c>
      <c r="D317" s="83">
        <v>17.378048780487806</v>
      </c>
      <c r="E317" s="79">
        <f t="shared" si="13"/>
        <v>0.30599999999999999</v>
      </c>
    </row>
    <row r="318" spans="1:5">
      <c r="A318" s="80" t="s">
        <v>33</v>
      </c>
      <c r="C318" s="83">
        <v>26.2</v>
      </c>
      <c r="D318" s="83">
        <v>14.939024390243903</v>
      </c>
      <c r="E318" s="79">
        <f t="shared" si="13"/>
        <v>0.26200000000000001</v>
      </c>
    </row>
    <row r="319" spans="1:5">
      <c r="A319" s="80" t="s">
        <v>33</v>
      </c>
      <c r="C319" s="83">
        <v>34</v>
      </c>
      <c r="D319" s="83">
        <v>15.853658536585368</v>
      </c>
      <c r="E319" s="79">
        <f t="shared" si="13"/>
        <v>0.34</v>
      </c>
    </row>
    <row r="320" spans="1:5">
      <c r="A320" s="80" t="s">
        <v>33</v>
      </c>
      <c r="C320" s="83">
        <v>28</v>
      </c>
      <c r="D320" s="83">
        <v>21.646341463414636</v>
      </c>
      <c r="E320" s="79">
        <f t="shared" si="13"/>
        <v>0.28000000000000003</v>
      </c>
    </row>
    <row r="321" spans="1:5">
      <c r="A321" s="80" t="s">
        <v>33</v>
      </c>
      <c r="C321" s="83">
        <v>30.5</v>
      </c>
      <c r="D321" s="83">
        <v>22.865853658536587</v>
      </c>
      <c r="E321" s="79">
        <f t="shared" si="13"/>
        <v>0.30499999999999999</v>
      </c>
    </row>
    <row r="322" spans="1:5">
      <c r="A322" s="80" t="s">
        <v>33</v>
      </c>
      <c r="C322" s="83">
        <v>23.5</v>
      </c>
      <c r="D322" s="83">
        <v>16.76829268292683</v>
      </c>
      <c r="E322" s="79">
        <f t="shared" si="13"/>
        <v>0.23499999999999999</v>
      </c>
    </row>
    <row r="323" spans="1:5">
      <c r="A323" s="80" t="s">
        <v>33</v>
      </c>
      <c r="C323" s="83">
        <v>24</v>
      </c>
      <c r="D323" s="83">
        <v>18.597560975609756</v>
      </c>
      <c r="E323" s="79">
        <f t="shared" ref="E323:E386" si="14">C323/100</f>
        <v>0.24</v>
      </c>
    </row>
    <row r="324" spans="1:5">
      <c r="A324" s="80" t="s">
        <v>33</v>
      </c>
      <c r="C324" s="83">
        <v>34</v>
      </c>
      <c r="D324" s="83">
        <v>23.780487804878049</v>
      </c>
      <c r="E324" s="79">
        <f t="shared" si="14"/>
        <v>0.34</v>
      </c>
    </row>
    <row r="325" spans="1:5">
      <c r="A325" s="80" t="s">
        <v>33</v>
      </c>
      <c r="C325" s="83">
        <v>20.9</v>
      </c>
      <c r="D325" s="83">
        <v>19.207317073170731</v>
      </c>
      <c r="E325" s="79">
        <f t="shared" si="14"/>
        <v>0.20899999999999999</v>
      </c>
    </row>
    <row r="326" spans="1:5">
      <c r="A326" s="80" t="s">
        <v>33</v>
      </c>
      <c r="C326" s="83">
        <v>21.2</v>
      </c>
      <c r="D326" s="83">
        <v>15.853658536585368</v>
      </c>
      <c r="E326" s="79">
        <f t="shared" si="14"/>
        <v>0.21199999999999999</v>
      </c>
    </row>
    <row r="327" spans="1:5">
      <c r="A327" s="80" t="s">
        <v>33</v>
      </c>
      <c r="C327" s="83">
        <v>34</v>
      </c>
      <c r="D327" s="83">
        <v>24.085365853658537</v>
      </c>
      <c r="E327" s="79">
        <f t="shared" si="14"/>
        <v>0.34</v>
      </c>
    </row>
    <row r="328" spans="1:5">
      <c r="A328" s="80" t="s">
        <v>33</v>
      </c>
      <c r="C328" s="83">
        <v>39.700000000000003</v>
      </c>
      <c r="D328" s="83">
        <v>24.695121951219512</v>
      </c>
      <c r="E328" s="79">
        <f t="shared" si="14"/>
        <v>0.39700000000000002</v>
      </c>
    </row>
    <row r="329" spans="1:5">
      <c r="A329" s="80" t="s">
        <v>33</v>
      </c>
      <c r="C329" s="83">
        <v>20.8</v>
      </c>
      <c r="D329" s="83">
        <v>18.597560975609756</v>
      </c>
      <c r="E329" s="79">
        <f t="shared" si="14"/>
        <v>0.20800000000000002</v>
      </c>
    </row>
    <row r="330" spans="1:5">
      <c r="A330" s="80" t="s">
        <v>33</v>
      </c>
      <c r="C330" s="83">
        <v>28.2</v>
      </c>
      <c r="D330" s="83">
        <v>17.987804878048781</v>
      </c>
      <c r="E330" s="79">
        <f t="shared" si="14"/>
        <v>0.28199999999999997</v>
      </c>
    </row>
    <row r="331" spans="1:5">
      <c r="A331" s="80" t="s">
        <v>33</v>
      </c>
      <c r="C331" s="83">
        <v>22.2</v>
      </c>
      <c r="D331" s="83">
        <v>18.902439024390244</v>
      </c>
      <c r="E331" s="79">
        <f t="shared" si="14"/>
        <v>0.222</v>
      </c>
    </row>
    <row r="332" spans="1:5">
      <c r="A332" s="80" t="s">
        <v>33</v>
      </c>
      <c r="C332" s="83">
        <v>24.2</v>
      </c>
      <c r="D332" s="83">
        <v>20.426829268292686</v>
      </c>
      <c r="E332" s="79">
        <f t="shared" si="14"/>
        <v>0.24199999999999999</v>
      </c>
    </row>
    <row r="333" spans="1:5">
      <c r="A333" s="80" t="s">
        <v>33</v>
      </c>
      <c r="C333" s="83">
        <v>20.8</v>
      </c>
      <c r="D333" s="83">
        <v>21.036585365853661</v>
      </c>
      <c r="E333" s="79">
        <f t="shared" si="14"/>
        <v>0.20800000000000002</v>
      </c>
    </row>
    <row r="334" spans="1:5">
      <c r="A334" s="80" t="s">
        <v>33</v>
      </c>
      <c r="C334" s="83">
        <v>24</v>
      </c>
      <c r="D334" s="83">
        <v>22.256097560975611</v>
      </c>
      <c r="E334" s="79">
        <f t="shared" si="14"/>
        <v>0.24</v>
      </c>
    </row>
    <row r="335" spans="1:5">
      <c r="A335" s="80" t="s">
        <v>33</v>
      </c>
      <c r="C335" s="83">
        <v>21.3</v>
      </c>
      <c r="D335" s="83">
        <v>15.548780487804878</v>
      </c>
      <c r="E335" s="79">
        <f t="shared" si="14"/>
        <v>0.21299999999999999</v>
      </c>
    </row>
    <row r="336" spans="1:5">
      <c r="A336" s="80" t="s">
        <v>34</v>
      </c>
      <c r="C336" s="83">
        <v>24</v>
      </c>
      <c r="D336" s="83">
        <v>14.939024390243903</v>
      </c>
      <c r="E336" s="79">
        <f t="shared" si="14"/>
        <v>0.24</v>
      </c>
    </row>
    <row r="337" spans="1:5">
      <c r="A337" s="80" t="s">
        <v>34</v>
      </c>
      <c r="C337" s="83">
        <v>20</v>
      </c>
      <c r="D337" s="83">
        <v>15.426829268292684</v>
      </c>
      <c r="E337" s="79">
        <f t="shared" si="14"/>
        <v>0.2</v>
      </c>
    </row>
    <row r="338" spans="1:5">
      <c r="A338" s="80" t="s">
        <v>34</v>
      </c>
      <c r="C338" s="83">
        <v>23.2</v>
      </c>
      <c r="D338" s="83">
        <v>17.469512195121951</v>
      </c>
      <c r="E338" s="79">
        <f t="shared" si="14"/>
        <v>0.23199999999999998</v>
      </c>
    </row>
    <row r="339" spans="1:5">
      <c r="A339" s="80" t="s">
        <v>34</v>
      </c>
      <c r="C339" s="83">
        <v>34</v>
      </c>
      <c r="D339" s="83">
        <v>14.329268292682928</v>
      </c>
      <c r="E339" s="79">
        <f t="shared" si="14"/>
        <v>0.34</v>
      </c>
    </row>
    <row r="340" spans="1:5">
      <c r="A340" s="80" t="s">
        <v>34</v>
      </c>
      <c r="C340" s="83">
        <v>26</v>
      </c>
      <c r="D340" s="83">
        <v>8.536585365853659</v>
      </c>
      <c r="E340" s="79">
        <f t="shared" si="14"/>
        <v>0.26</v>
      </c>
    </row>
    <row r="341" spans="1:5">
      <c r="A341" s="80" t="s">
        <v>34</v>
      </c>
      <c r="C341" s="83">
        <v>25.3</v>
      </c>
      <c r="D341" s="83">
        <v>8.2926829268292686</v>
      </c>
      <c r="E341" s="79">
        <f t="shared" si="14"/>
        <v>0.253</v>
      </c>
    </row>
    <row r="342" spans="1:5">
      <c r="A342" s="80" t="s">
        <v>34</v>
      </c>
      <c r="C342" s="83">
        <v>45</v>
      </c>
      <c r="D342" s="83">
        <v>14.298780487804878</v>
      </c>
      <c r="E342" s="79">
        <f t="shared" si="14"/>
        <v>0.45</v>
      </c>
    </row>
    <row r="343" spans="1:5">
      <c r="A343" s="80" t="s">
        <v>34</v>
      </c>
      <c r="C343" s="83">
        <v>43.1</v>
      </c>
      <c r="D343" s="83">
        <v>16.463414634146343</v>
      </c>
      <c r="E343" s="79">
        <f t="shared" si="14"/>
        <v>0.43099999999999999</v>
      </c>
    </row>
    <row r="344" spans="1:5">
      <c r="A344" s="80" t="s">
        <v>34</v>
      </c>
      <c r="C344" s="83">
        <v>45.2</v>
      </c>
      <c r="D344" s="83">
        <v>21.036585365853661</v>
      </c>
      <c r="E344" s="79">
        <f t="shared" si="14"/>
        <v>0.45200000000000001</v>
      </c>
    </row>
    <row r="345" spans="1:5">
      <c r="A345" s="80" t="s">
        <v>34</v>
      </c>
      <c r="C345" s="83">
        <v>39.4</v>
      </c>
      <c r="D345" s="83">
        <v>20.54878048780488</v>
      </c>
      <c r="E345" s="79">
        <f t="shared" si="14"/>
        <v>0.39399999999999996</v>
      </c>
    </row>
    <row r="346" spans="1:5">
      <c r="A346" s="80" t="s">
        <v>34</v>
      </c>
      <c r="C346" s="83">
        <v>44.5</v>
      </c>
      <c r="D346" s="83">
        <v>20.823170731707318</v>
      </c>
      <c r="E346" s="79">
        <f t="shared" si="14"/>
        <v>0.44500000000000001</v>
      </c>
    </row>
    <row r="347" spans="1:5">
      <c r="A347" s="80" t="s">
        <v>34</v>
      </c>
      <c r="C347" s="83">
        <v>20.2</v>
      </c>
      <c r="D347" s="83">
        <v>20.274390243902442</v>
      </c>
      <c r="E347" s="79">
        <f t="shared" si="14"/>
        <v>0.20199999999999999</v>
      </c>
    </row>
    <row r="348" spans="1:5">
      <c r="A348" s="80" t="s">
        <v>34</v>
      </c>
      <c r="C348" s="83">
        <v>24.1</v>
      </c>
      <c r="D348" s="83">
        <v>12.5</v>
      </c>
      <c r="E348" s="79">
        <f t="shared" si="14"/>
        <v>0.24100000000000002</v>
      </c>
    </row>
    <row r="349" spans="1:5">
      <c r="A349" s="80" t="s">
        <v>34</v>
      </c>
      <c r="C349" s="83">
        <v>29.7</v>
      </c>
      <c r="D349" s="83">
        <v>19.207317073170731</v>
      </c>
      <c r="E349" s="79">
        <f t="shared" si="14"/>
        <v>0.29699999999999999</v>
      </c>
    </row>
    <row r="350" spans="1:5">
      <c r="A350" s="80" t="s">
        <v>34</v>
      </c>
      <c r="C350" s="83">
        <v>31.1</v>
      </c>
      <c r="D350" s="83">
        <v>19.908536585365855</v>
      </c>
      <c r="E350" s="79">
        <f t="shared" si="14"/>
        <v>0.311</v>
      </c>
    </row>
    <row r="351" spans="1:5">
      <c r="A351" s="80" t="s">
        <v>34</v>
      </c>
      <c r="C351" s="83">
        <v>28.3</v>
      </c>
      <c r="D351" s="83">
        <v>21.646341463414636</v>
      </c>
      <c r="E351" s="79">
        <f t="shared" si="14"/>
        <v>0.28300000000000003</v>
      </c>
    </row>
    <row r="352" spans="1:5">
      <c r="A352" s="80" t="s">
        <v>34</v>
      </c>
      <c r="C352" s="83">
        <v>25.8</v>
      </c>
      <c r="D352" s="83">
        <v>21.524390243902438</v>
      </c>
      <c r="E352" s="79">
        <f t="shared" si="14"/>
        <v>0.25800000000000001</v>
      </c>
    </row>
    <row r="353" spans="1:5">
      <c r="A353" s="80" t="s">
        <v>34</v>
      </c>
      <c r="C353" s="83">
        <v>35.299999999999997</v>
      </c>
      <c r="D353" s="83">
        <v>18.597560975609756</v>
      </c>
      <c r="E353" s="79">
        <f t="shared" si="14"/>
        <v>0.35299999999999998</v>
      </c>
    </row>
    <row r="354" spans="1:5">
      <c r="A354" s="80" t="s">
        <v>35</v>
      </c>
      <c r="C354" s="83">
        <v>42.7</v>
      </c>
      <c r="D354" s="83">
        <v>22.256097560975611</v>
      </c>
      <c r="E354" s="79">
        <f t="shared" si="14"/>
        <v>0.42700000000000005</v>
      </c>
    </row>
    <row r="355" spans="1:5">
      <c r="A355" s="80" t="s">
        <v>35</v>
      </c>
      <c r="C355" s="83">
        <v>32.6</v>
      </c>
      <c r="D355" s="83">
        <v>18.079268292682926</v>
      </c>
      <c r="E355" s="79">
        <f t="shared" si="14"/>
        <v>0.32600000000000001</v>
      </c>
    </row>
    <row r="356" spans="1:5">
      <c r="A356" s="80" t="s">
        <v>35</v>
      </c>
      <c r="C356" s="83">
        <v>30.7</v>
      </c>
      <c r="D356" s="83">
        <v>14.786585365853659</v>
      </c>
      <c r="E356" s="79">
        <f t="shared" si="14"/>
        <v>0.307</v>
      </c>
    </row>
    <row r="357" spans="1:5">
      <c r="A357" s="80" t="s">
        <v>35</v>
      </c>
      <c r="C357" s="83">
        <v>39.799999999999997</v>
      </c>
      <c r="D357" s="83">
        <v>18.810975609756099</v>
      </c>
      <c r="E357" s="79">
        <f t="shared" si="14"/>
        <v>0.39799999999999996</v>
      </c>
    </row>
    <row r="358" spans="1:5">
      <c r="A358" s="80" t="s">
        <v>35</v>
      </c>
      <c r="C358" s="83">
        <v>38.5</v>
      </c>
      <c r="D358" s="83">
        <v>15.000000000000002</v>
      </c>
      <c r="E358" s="79">
        <f t="shared" si="14"/>
        <v>0.38500000000000001</v>
      </c>
    </row>
    <row r="359" spans="1:5">
      <c r="A359" s="80" t="s">
        <v>35</v>
      </c>
      <c r="C359" s="83">
        <v>27.2</v>
      </c>
      <c r="D359" s="83">
        <v>17.408536585365855</v>
      </c>
      <c r="E359" s="79">
        <f t="shared" si="14"/>
        <v>0.27200000000000002</v>
      </c>
    </row>
    <row r="360" spans="1:5">
      <c r="A360" s="80" t="s">
        <v>35</v>
      </c>
      <c r="C360" s="83">
        <v>27.3</v>
      </c>
      <c r="D360" s="83">
        <v>21.646341463414636</v>
      </c>
      <c r="E360" s="79">
        <f t="shared" si="14"/>
        <v>0.27300000000000002</v>
      </c>
    </row>
    <row r="361" spans="1:5">
      <c r="A361" s="80" t="s">
        <v>35</v>
      </c>
      <c r="C361" s="83">
        <v>37.200000000000003</v>
      </c>
      <c r="D361" s="83">
        <v>17.378048780487806</v>
      </c>
      <c r="E361" s="79">
        <f t="shared" si="14"/>
        <v>0.37200000000000005</v>
      </c>
    </row>
    <row r="362" spans="1:5">
      <c r="A362" s="80" t="s">
        <v>35</v>
      </c>
      <c r="C362" s="83">
        <v>26.6</v>
      </c>
      <c r="D362" s="83">
        <v>14.634146341463415</v>
      </c>
      <c r="E362" s="79">
        <f t="shared" si="14"/>
        <v>0.26600000000000001</v>
      </c>
    </row>
    <row r="363" spans="1:5">
      <c r="A363" s="80" t="s">
        <v>35</v>
      </c>
      <c r="C363" s="83">
        <v>33.9</v>
      </c>
      <c r="D363" s="83">
        <v>20.945121951219516</v>
      </c>
      <c r="E363" s="79">
        <f t="shared" si="14"/>
        <v>0.33899999999999997</v>
      </c>
    </row>
    <row r="364" spans="1:5">
      <c r="A364" s="80" t="s">
        <v>35</v>
      </c>
      <c r="C364" s="83">
        <v>32.700000000000003</v>
      </c>
      <c r="D364" s="83">
        <v>18.75</v>
      </c>
      <c r="E364" s="79">
        <f t="shared" si="14"/>
        <v>0.32700000000000001</v>
      </c>
    </row>
    <row r="365" spans="1:5">
      <c r="A365" s="80" t="s">
        <v>35</v>
      </c>
      <c r="C365" s="83">
        <v>38.799999999999997</v>
      </c>
      <c r="D365" s="83">
        <v>9.1158536585365848</v>
      </c>
      <c r="E365" s="79">
        <f t="shared" si="14"/>
        <v>0.38799999999999996</v>
      </c>
    </row>
    <row r="366" spans="1:5">
      <c r="A366" s="80" t="s">
        <v>35</v>
      </c>
      <c r="C366" s="83">
        <v>23.1</v>
      </c>
      <c r="D366" s="83">
        <v>21.036585365853661</v>
      </c>
      <c r="E366" s="79">
        <f t="shared" si="14"/>
        <v>0.23100000000000001</v>
      </c>
    </row>
    <row r="367" spans="1:5">
      <c r="A367" s="80" t="s">
        <v>35</v>
      </c>
      <c r="C367" s="83">
        <v>31.3</v>
      </c>
      <c r="D367" s="83">
        <v>11.280487804878049</v>
      </c>
      <c r="E367" s="79">
        <f t="shared" si="14"/>
        <v>0.313</v>
      </c>
    </row>
    <row r="368" spans="1:5">
      <c r="A368" s="80" t="s">
        <v>35</v>
      </c>
      <c r="C368" s="83">
        <v>38.200000000000003</v>
      </c>
      <c r="D368" s="83">
        <v>20.426829268292686</v>
      </c>
      <c r="E368" s="79">
        <f t="shared" si="14"/>
        <v>0.38200000000000001</v>
      </c>
    </row>
    <row r="369" spans="1:5">
      <c r="A369" s="80" t="s">
        <v>35</v>
      </c>
      <c r="C369" s="83">
        <v>20</v>
      </c>
      <c r="D369" s="83">
        <v>11.615853658536587</v>
      </c>
      <c r="E369" s="79">
        <f t="shared" si="14"/>
        <v>0.2</v>
      </c>
    </row>
    <row r="370" spans="1:5">
      <c r="A370" s="80" t="s">
        <v>35</v>
      </c>
      <c r="C370" s="83">
        <v>34.299999999999997</v>
      </c>
      <c r="D370" s="83">
        <v>21.158536585365855</v>
      </c>
      <c r="E370" s="79">
        <f t="shared" si="14"/>
        <v>0.34299999999999997</v>
      </c>
    </row>
    <row r="371" spans="1:5">
      <c r="A371" s="80" t="s">
        <v>35</v>
      </c>
      <c r="C371" s="83">
        <v>29.6</v>
      </c>
      <c r="D371" s="83">
        <v>18.689024390243901</v>
      </c>
      <c r="E371" s="79">
        <f t="shared" si="14"/>
        <v>0.29600000000000004</v>
      </c>
    </row>
    <row r="372" spans="1:5">
      <c r="A372" s="80" t="s">
        <v>35</v>
      </c>
      <c r="C372" s="83">
        <v>32.799999999999997</v>
      </c>
      <c r="D372" s="83">
        <v>19.329268292682926</v>
      </c>
      <c r="E372" s="79">
        <f t="shared" si="14"/>
        <v>0.32799999999999996</v>
      </c>
    </row>
    <row r="373" spans="1:5">
      <c r="A373" s="80" t="s">
        <v>35</v>
      </c>
      <c r="C373" s="83">
        <v>26.5</v>
      </c>
      <c r="D373" s="83">
        <v>17.682926829268293</v>
      </c>
      <c r="E373" s="79">
        <f t="shared" si="14"/>
        <v>0.26500000000000001</v>
      </c>
    </row>
    <row r="374" spans="1:5">
      <c r="A374" s="80" t="s">
        <v>35</v>
      </c>
      <c r="C374" s="83">
        <v>21.9</v>
      </c>
      <c r="D374" s="83">
        <v>14.329268292682928</v>
      </c>
      <c r="E374" s="79">
        <f t="shared" si="14"/>
        <v>0.21899999999999997</v>
      </c>
    </row>
    <row r="375" spans="1:5">
      <c r="A375" s="80" t="s">
        <v>35</v>
      </c>
      <c r="C375" s="83">
        <v>28.3</v>
      </c>
      <c r="D375" s="83">
        <v>22.31707317073171</v>
      </c>
      <c r="E375" s="79">
        <f t="shared" si="14"/>
        <v>0.28300000000000003</v>
      </c>
    </row>
    <row r="376" spans="1:5">
      <c r="A376" s="80" t="s">
        <v>35</v>
      </c>
      <c r="C376" s="83">
        <v>34.200000000000003</v>
      </c>
      <c r="D376" s="83">
        <v>7.3170731707317076</v>
      </c>
      <c r="E376" s="79">
        <f t="shared" si="14"/>
        <v>0.34200000000000003</v>
      </c>
    </row>
    <row r="377" spans="1:5">
      <c r="A377" s="80" t="s">
        <v>35</v>
      </c>
      <c r="C377" s="83">
        <v>22.1</v>
      </c>
      <c r="D377" s="83">
        <v>16.158536585365855</v>
      </c>
      <c r="E377" s="79">
        <f t="shared" si="14"/>
        <v>0.221</v>
      </c>
    </row>
    <row r="378" spans="1:5">
      <c r="A378" s="80" t="s">
        <v>35</v>
      </c>
      <c r="C378" s="83">
        <v>26.7</v>
      </c>
      <c r="D378" s="83">
        <v>23.475609756097562</v>
      </c>
      <c r="E378" s="79">
        <f t="shared" si="14"/>
        <v>0.26700000000000002</v>
      </c>
    </row>
    <row r="379" spans="1:5">
      <c r="A379" s="80" t="s">
        <v>35</v>
      </c>
      <c r="C379" s="83">
        <v>35.5</v>
      </c>
      <c r="D379" s="83">
        <v>23.170731707317074</v>
      </c>
      <c r="E379" s="79">
        <f t="shared" si="14"/>
        <v>0.35499999999999998</v>
      </c>
    </row>
    <row r="380" spans="1:5">
      <c r="A380" s="80" t="s">
        <v>35</v>
      </c>
      <c r="C380" s="83">
        <v>20.100000000000001</v>
      </c>
      <c r="D380" s="83">
        <v>20.731707317073173</v>
      </c>
      <c r="E380" s="79">
        <f t="shared" si="14"/>
        <v>0.20100000000000001</v>
      </c>
    </row>
    <row r="381" spans="1:5">
      <c r="A381" s="80" t="s">
        <v>35</v>
      </c>
      <c r="C381" s="83">
        <v>26.9</v>
      </c>
      <c r="D381" s="83">
        <v>20.243902439024392</v>
      </c>
      <c r="E381" s="79">
        <f t="shared" si="14"/>
        <v>0.26899999999999996</v>
      </c>
    </row>
    <row r="382" spans="1:5">
      <c r="A382" s="80" t="s">
        <v>35</v>
      </c>
      <c r="C382" s="83">
        <v>33.799999999999997</v>
      </c>
      <c r="D382" s="83">
        <v>24.756097560975611</v>
      </c>
      <c r="E382" s="79">
        <f t="shared" si="14"/>
        <v>0.33799999999999997</v>
      </c>
    </row>
    <row r="383" spans="1:5">
      <c r="A383" s="80" t="s">
        <v>38</v>
      </c>
      <c r="C383" s="84">
        <v>41</v>
      </c>
      <c r="D383" s="84">
        <v>20</v>
      </c>
      <c r="E383" s="79">
        <f t="shared" si="14"/>
        <v>0.41</v>
      </c>
    </row>
    <row r="384" spans="1:5">
      <c r="A384" s="80" t="s">
        <v>38</v>
      </c>
      <c r="C384" s="84">
        <v>27.2</v>
      </c>
      <c r="D384" s="84">
        <f>C384/3.28</f>
        <v>8.2926829268292686</v>
      </c>
      <c r="E384" s="79">
        <f t="shared" si="14"/>
        <v>0.27200000000000002</v>
      </c>
    </row>
    <row r="385" spans="1:5">
      <c r="A385" s="80" t="s">
        <v>38</v>
      </c>
      <c r="C385" s="84">
        <v>33.299999999999997</v>
      </c>
      <c r="D385" s="84">
        <v>26</v>
      </c>
      <c r="E385" s="79">
        <f t="shared" si="14"/>
        <v>0.33299999999999996</v>
      </c>
    </row>
    <row r="386" spans="1:5">
      <c r="A386" s="80" t="s">
        <v>38</v>
      </c>
      <c r="C386" s="84">
        <v>20.5</v>
      </c>
      <c r="D386" s="84">
        <f t="shared" ref="D386:D406" si="15">C386/3.28</f>
        <v>6.25</v>
      </c>
      <c r="E386" s="79">
        <f t="shared" si="14"/>
        <v>0.20499999999999999</v>
      </c>
    </row>
    <row r="387" spans="1:5">
      <c r="A387" s="80" t="s">
        <v>38</v>
      </c>
      <c r="C387" s="84">
        <v>31.8</v>
      </c>
      <c r="D387" s="84">
        <f t="shared" si="15"/>
        <v>9.6951219512195124</v>
      </c>
      <c r="E387" s="79">
        <f t="shared" ref="E387:E450" si="16">C387/100</f>
        <v>0.318</v>
      </c>
    </row>
    <row r="388" spans="1:5">
      <c r="A388" s="80" t="s">
        <v>38</v>
      </c>
      <c r="C388" s="84">
        <v>25.8</v>
      </c>
      <c r="D388" s="84">
        <f t="shared" si="15"/>
        <v>7.8658536585365857</v>
      </c>
      <c r="E388" s="79">
        <f t="shared" si="16"/>
        <v>0.25800000000000001</v>
      </c>
    </row>
    <row r="389" spans="1:5">
      <c r="A389" s="80" t="s">
        <v>38</v>
      </c>
      <c r="C389" s="84">
        <v>25</v>
      </c>
      <c r="D389" s="84">
        <f t="shared" si="15"/>
        <v>7.6219512195121952</v>
      </c>
      <c r="E389" s="79">
        <f t="shared" si="16"/>
        <v>0.25</v>
      </c>
    </row>
    <row r="390" spans="1:5">
      <c r="A390" s="80" t="s">
        <v>38</v>
      </c>
      <c r="C390" s="84">
        <v>46.8</v>
      </c>
      <c r="D390" s="84">
        <f t="shared" si="15"/>
        <v>14.268292682926829</v>
      </c>
      <c r="E390" s="79">
        <f t="shared" si="16"/>
        <v>0.46799999999999997</v>
      </c>
    </row>
    <row r="391" spans="1:5">
      <c r="A391" s="80" t="s">
        <v>38</v>
      </c>
      <c r="C391" s="84">
        <v>25.8</v>
      </c>
      <c r="D391" s="84">
        <f t="shared" si="15"/>
        <v>7.8658536585365857</v>
      </c>
      <c r="E391" s="79">
        <f t="shared" si="16"/>
        <v>0.25800000000000001</v>
      </c>
    </row>
    <row r="392" spans="1:5">
      <c r="A392" s="80" t="s">
        <v>38</v>
      </c>
      <c r="C392" s="84">
        <v>46.8</v>
      </c>
      <c r="D392" s="84">
        <f t="shared" si="15"/>
        <v>14.268292682926829</v>
      </c>
      <c r="E392" s="79">
        <f t="shared" si="16"/>
        <v>0.46799999999999997</v>
      </c>
    </row>
    <row r="393" spans="1:5">
      <c r="A393" s="80" t="s">
        <v>38</v>
      </c>
      <c r="C393" s="84">
        <v>65.3</v>
      </c>
      <c r="D393" s="84">
        <f t="shared" si="15"/>
        <v>19.908536585365855</v>
      </c>
      <c r="E393" s="79">
        <f t="shared" si="16"/>
        <v>0.65300000000000002</v>
      </c>
    </row>
    <row r="394" spans="1:5">
      <c r="A394" s="80" t="s">
        <v>38</v>
      </c>
      <c r="C394" s="84">
        <v>30.8</v>
      </c>
      <c r="D394" s="84">
        <f t="shared" si="15"/>
        <v>9.3902439024390247</v>
      </c>
      <c r="E394" s="79">
        <f t="shared" si="16"/>
        <v>0.308</v>
      </c>
    </row>
    <row r="395" spans="1:5">
      <c r="A395" s="80" t="s">
        <v>38</v>
      </c>
      <c r="C395" s="84">
        <v>25</v>
      </c>
      <c r="D395" s="84">
        <f t="shared" si="15"/>
        <v>7.6219512195121952</v>
      </c>
      <c r="E395" s="79">
        <f t="shared" si="16"/>
        <v>0.25</v>
      </c>
    </row>
    <row r="396" spans="1:5">
      <c r="A396" s="80" t="s">
        <v>38</v>
      </c>
      <c r="C396" s="84">
        <v>20.8</v>
      </c>
      <c r="D396" s="84">
        <f t="shared" si="15"/>
        <v>6.3414634146341466</v>
      </c>
      <c r="E396" s="79">
        <f t="shared" si="16"/>
        <v>0.20800000000000002</v>
      </c>
    </row>
    <row r="397" spans="1:5">
      <c r="A397" s="80" t="s">
        <v>38</v>
      </c>
      <c r="C397" s="84">
        <v>49</v>
      </c>
      <c r="D397" s="84">
        <f t="shared" si="15"/>
        <v>14.939024390243903</v>
      </c>
      <c r="E397" s="79">
        <f t="shared" si="16"/>
        <v>0.49</v>
      </c>
    </row>
    <row r="398" spans="1:5">
      <c r="A398" s="80" t="s">
        <v>38</v>
      </c>
      <c r="C398" s="84">
        <v>53</v>
      </c>
      <c r="D398" s="84">
        <f t="shared" si="15"/>
        <v>16.158536585365855</v>
      </c>
      <c r="E398" s="79">
        <f t="shared" si="16"/>
        <v>0.53</v>
      </c>
    </row>
    <row r="399" spans="1:5">
      <c r="A399" s="80" t="s">
        <v>38</v>
      </c>
      <c r="C399" s="84">
        <v>40.299999999999997</v>
      </c>
      <c r="D399" s="84">
        <f t="shared" si="15"/>
        <v>12.286585365853659</v>
      </c>
      <c r="E399" s="79">
        <f t="shared" si="16"/>
        <v>0.40299999999999997</v>
      </c>
    </row>
    <row r="400" spans="1:5">
      <c r="A400" s="80" t="s">
        <v>38</v>
      </c>
      <c r="C400" s="84">
        <v>31.5</v>
      </c>
      <c r="D400" s="84">
        <f t="shared" si="15"/>
        <v>9.6036585365853657</v>
      </c>
      <c r="E400" s="79">
        <f t="shared" si="16"/>
        <v>0.315</v>
      </c>
    </row>
    <row r="401" spans="1:5">
      <c r="A401" s="80" t="s">
        <v>38</v>
      </c>
      <c r="C401" s="84">
        <v>25.8</v>
      </c>
      <c r="D401" s="84">
        <f t="shared" si="15"/>
        <v>7.8658536585365857</v>
      </c>
      <c r="E401" s="79">
        <f t="shared" si="16"/>
        <v>0.25800000000000001</v>
      </c>
    </row>
    <row r="402" spans="1:5">
      <c r="A402" s="80" t="s">
        <v>38</v>
      </c>
      <c r="C402" s="84">
        <v>25.3</v>
      </c>
      <c r="D402" s="84">
        <f t="shared" si="15"/>
        <v>7.7134146341463419</v>
      </c>
      <c r="E402" s="79">
        <f t="shared" si="16"/>
        <v>0.253</v>
      </c>
    </row>
    <row r="403" spans="1:5">
      <c r="A403" s="80" t="s">
        <v>38</v>
      </c>
      <c r="C403" s="84">
        <v>82.8</v>
      </c>
      <c r="D403" s="84">
        <f t="shared" si="15"/>
        <v>25.243902439024392</v>
      </c>
      <c r="E403" s="79">
        <f t="shared" si="16"/>
        <v>0.82799999999999996</v>
      </c>
    </row>
    <row r="404" spans="1:5">
      <c r="A404" s="80" t="s">
        <v>38</v>
      </c>
      <c r="C404" s="84">
        <v>54.5</v>
      </c>
      <c r="D404" s="84">
        <f t="shared" si="15"/>
        <v>16.615853658536587</v>
      </c>
      <c r="E404" s="79">
        <f t="shared" si="16"/>
        <v>0.54500000000000004</v>
      </c>
    </row>
    <row r="405" spans="1:5">
      <c r="A405" s="80" t="s">
        <v>38</v>
      </c>
      <c r="C405" s="84">
        <v>25</v>
      </c>
      <c r="D405" s="84">
        <f t="shared" si="15"/>
        <v>7.6219512195121952</v>
      </c>
      <c r="E405" s="79">
        <f t="shared" si="16"/>
        <v>0.25</v>
      </c>
    </row>
    <row r="406" spans="1:5">
      <c r="A406" s="80" t="s">
        <v>38</v>
      </c>
      <c r="C406" s="84">
        <v>58</v>
      </c>
      <c r="D406" s="84">
        <f t="shared" si="15"/>
        <v>17.682926829268293</v>
      </c>
      <c r="E406" s="79">
        <f t="shared" si="16"/>
        <v>0.57999999999999996</v>
      </c>
    </row>
    <row r="407" spans="1:5">
      <c r="A407" s="80" t="s">
        <v>39</v>
      </c>
      <c r="C407" s="83">
        <v>20</v>
      </c>
      <c r="D407" s="83">
        <v>12.195121951219512</v>
      </c>
      <c r="E407" s="79">
        <f t="shared" si="16"/>
        <v>0.2</v>
      </c>
    </row>
    <row r="408" spans="1:5">
      <c r="A408" s="80" t="s">
        <v>39</v>
      </c>
      <c r="C408" s="83">
        <v>24.2</v>
      </c>
      <c r="D408" s="83">
        <v>16.158536585365855</v>
      </c>
      <c r="E408" s="79">
        <f t="shared" si="16"/>
        <v>0.24199999999999999</v>
      </c>
    </row>
    <row r="409" spans="1:5">
      <c r="A409" s="80" t="s">
        <v>39</v>
      </c>
      <c r="C409" s="83">
        <v>22.3</v>
      </c>
      <c r="D409" s="83">
        <v>15.853658536585368</v>
      </c>
      <c r="E409" s="79">
        <f t="shared" si="16"/>
        <v>0.223</v>
      </c>
    </row>
    <row r="410" spans="1:5">
      <c r="A410" s="80" t="s">
        <v>39</v>
      </c>
      <c r="C410" s="83">
        <v>27</v>
      </c>
      <c r="D410" s="83">
        <v>15.24390243902439</v>
      </c>
      <c r="E410" s="79">
        <f t="shared" si="16"/>
        <v>0.27</v>
      </c>
    </row>
    <row r="411" spans="1:5">
      <c r="A411" s="80" t="s">
        <v>39</v>
      </c>
      <c r="C411" s="83">
        <v>31</v>
      </c>
      <c r="D411" s="83">
        <v>14.634146341463415</v>
      </c>
      <c r="E411" s="79">
        <f t="shared" si="16"/>
        <v>0.31</v>
      </c>
    </row>
    <row r="412" spans="1:5">
      <c r="A412" s="80" t="s">
        <v>39</v>
      </c>
      <c r="C412" s="83">
        <v>29.5</v>
      </c>
      <c r="D412" s="83">
        <v>14.329268292682928</v>
      </c>
      <c r="E412" s="79">
        <f t="shared" si="16"/>
        <v>0.29499999999999998</v>
      </c>
    </row>
    <row r="413" spans="1:5">
      <c r="A413" s="80" t="s">
        <v>39</v>
      </c>
      <c r="C413" s="83">
        <v>45</v>
      </c>
      <c r="D413" s="83">
        <v>16.76829268292683</v>
      </c>
      <c r="E413" s="79">
        <f t="shared" si="16"/>
        <v>0.45</v>
      </c>
    </row>
    <row r="414" spans="1:5">
      <c r="A414" s="80" t="s">
        <v>39</v>
      </c>
      <c r="C414" s="83">
        <v>48</v>
      </c>
      <c r="D414" s="83">
        <v>15.24390243902439</v>
      </c>
      <c r="E414" s="79">
        <f t="shared" si="16"/>
        <v>0.48</v>
      </c>
    </row>
    <row r="415" spans="1:5">
      <c r="A415" s="80" t="s">
        <v>39</v>
      </c>
      <c r="C415" s="83">
        <v>20</v>
      </c>
      <c r="D415" s="83">
        <v>12.195121951219512</v>
      </c>
      <c r="E415" s="79">
        <f t="shared" si="16"/>
        <v>0.2</v>
      </c>
    </row>
    <row r="416" spans="1:5">
      <c r="A416" s="80" t="s">
        <v>39</v>
      </c>
      <c r="C416" s="83">
        <v>33</v>
      </c>
      <c r="D416" s="83">
        <v>13.719512195121952</v>
      </c>
      <c r="E416" s="79">
        <f t="shared" si="16"/>
        <v>0.33</v>
      </c>
    </row>
    <row r="417" spans="1:5">
      <c r="A417" s="80" t="s">
        <v>39</v>
      </c>
      <c r="C417" s="83">
        <v>34</v>
      </c>
      <c r="D417" s="83">
        <v>16.158536585365855</v>
      </c>
      <c r="E417" s="79">
        <f t="shared" si="16"/>
        <v>0.34</v>
      </c>
    </row>
    <row r="418" spans="1:5">
      <c r="A418" s="80" t="s">
        <v>39</v>
      </c>
      <c r="C418" s="83">
        <v>46.8</v>
      </c>
      <c r="D418" s="83">
        <v>17.073170731707318</v>
      </c>
      <c r="E418" s="79">
        <f t="shared" si="16"/>
        <v>0.46799999999999997</v>
      </c>
    </row>
    <row r="419" spans="1:5">
      <c r="A419" s="80" t="s">
        <v>39</v>
      </c>
      <c r="C419" s="83">
        <v>40</v>
      </c>
      <c r="D419" s="83">
        <v>15.24390243902439</v>
      </c>
      <c r="E419" s="79">
        <f t="shared" si="16"/>
        <v>0.4</v>
      </c>
    </row>
    <row r="420" spans="1:5">
      <c r="A420" s="80" t="s">
        <v>39</v>
      </c>
      <c r="C420" s="83">
        <v>49</v>
      </c>
      <c r="D420" s="83">
        <v>18.902439024390244</v>
      </c>
      <c r="E420" s="79">
        <f t="shared" si="16"/>
        <v>0.49</v>
      </c>
    </row>
    <row r="421" spans="1:5">
      <c r="A421" s="80" t="s">
        <v>39</v>
      </c>
      <c r="C421" s="83">
        <v>29</v>
      </c>
      <c r="D421" s="83">
        <v>14.634146341463415</v>
      </c>
      <c r="E421" s="79">
        <f t="shared" si="16"/>
        <v>0.28999999999999998</v>
      </c>
    </row>
    <row r="422" spans="1:5">
      <c r="A422" s="80" t="s">
        <v>39</v>
      </c>
      <c r="C422" s="83">
        <v>28</v>
      </c>
      <c r="D422" s="83">
        <v>9.7560975609756095</v>
      </c>
      <c r="E422" s="79">
        <f t="shared" si="16"/>
        <v>0.28000000000000003</v>
      </c>
    </row>
    <row r="423" spans="1:5">
      <c r="A423" s="80" t="s">
        <v>39</v>
      </c>
      <c r="C423" s="83">
        <v>46</v>
      </c>
      <c r="D423" s="83">
        <v>17.073170731707318</v>
      </c>
      <c r="E423" s="79">
        <f t="shared" si="16"/>
        <v>0.46</v>
      </c>
    </row>
    <row r="424" spans="1:5">
      <c r="A424" s="80" t="s">
        <v>39</v>
      </c>
      <c r="C424" s="83">
        <v>26</v>
      </c>
      <c r="D424" s="83">
        <v>11.280487804878049</v>
      </c>
      <c r="E424" s="79">
        <f t="shared" si="16"/>
        <v>0.26</v>
      </c>
    </row>
    <row r="425" spans="1:5">
      <c r="A425" s="80" t="s">
        <v>39</v>
      </c>
      <c r="C425" s="83">
        <v>35</v>
      </c>
      <c r="D425" s="83">
        <v>14.329268292682928</v>
      </c>
      <c r="E425" s="79">
        <f t="shared" si="16"/>
        <v>0.35</v>
      </c>
    </row>
    <row r="426" spans="1:5">
      <c r="A426" s="80" t="s">
        <v>39</v>
      </c>
      <c r="C426" s="83">
        <v>49</v>
      </c>
      <c r="D426" s="83">
        <v>16.463414634146343</v>
      </c>
      <c r="E426" s="79">
        <f t="shared" si="16"/>
        <v>0.49</v>
      </c>
    </row>
    <row r="427" spans="1:5">
      <c r="A427" s="80" t="s">
        <v>39</v>
      </c>
      <c r="C427" s="83">
        <v>47</v>
      </c>
      <c r="D427" s="83">
        <v>17.073170731707318</v>
      </c>
      <c r="E427" s="79">
        <f t="shared" si="16"/>
        <v>0.47</v>
      </c>
    </row>
    <row r="428" spans="1:5">
      <c r="A428" s="80" t="s">
        <v>39</v>
      </c>
      <c r="C428" s="83">
        <v>35</v>
      </c>
      <c r="D428" s="83">
        <v>14.02439024390244</v>
      </c>
      <c r="E428" s="79">
        <f t="shared" si="16"/>
        <v>0.35</v>
      </c>
    </row>
    <row r="429" spans="1:5">
      <c r="A429" s="80" t="s">
        <v>39</v>
      </c>
      <c r="C429" s="83">
        <v>50</v>
      </c>
      <c r="D429" s="83">
        <v>16.158536585365855</v>
      </c>
      <c r="E429" s="79">
        <f t="shared" si="16"/>
        <v>0.5</v>
      </c>
    </row>
    <row r="430" spans="1:5">
      <c r="A430" s="80" t="s">
        <v>39</v>
      </c>
      <c r="C430" s="83">
        <v>33</v>
      </c>
      <c r="D430" s="83">
        <v>10.670731707317074</v>
      </c>
      <c r="E430" s="79">
        <f t="shared" si="16"/>
        <v>0.33</v>
      </c>
    </row>
    <row r="431" spans="1:5">
      <c r="A431" s="80" t="s">
        <v>39</v>
      </c>
      <c r="C431" s="83">
        <v>37</v>
      </c>
      <c r="D431" s="83">
        <v>12.195121951219512</v>
      </c>
      <c r="E431" s="79">
        <f t="shared" si="16"/>
        <v>0.37</v>
      </c>
    </row>
    <row r="432" spans="1:5">
      <c r="A432" s="80" t="s">
        <v>39</v>
      </c>
      <c r="C432" s="83">
        <v>30</v>
      </c>
      <c r="D432" s="83">
        <v>12.195121951219512</v>
      </c>
      <c r="E432" s="79">
        <f t="shared" si="16"/>
        <v>0.3</v>
      </c>
    </row>
    <row r="433" spans="1:5">
      <c r="A433" s="80" t="s">
        <v>40</v>
      </c>
      <c r="C433" s="83">
        <v>49.6</v>
      </c>
      <c r="D433" s="83">
        <v>23.780487804878049</v>
      </c>
      <c r="E433" s="79">
        <f t="shared" si="16"/>
        <v>0.496</v>
      </c>
    </row>
    <row r="434" spans="1:5">
      <c r="A434" s="80" t="s">
        <v>40</v>
      </c>
      <c r="C434" s="83">
        <v>30</v>
      </c>
      <c r="D434" s="83">
        <v>22.865853658536587</v>
      </c>
      <c r="E434" s="79">
        <f t="shared" si="16"/>
        <v>0.3</v>
      </c>
    </row>
    <row r="435" spans="1:5">
      <c r="A435" s="80" t="s">
        <v>40</v>
      </c>
      <c r="C435" s="83">
        <v>41.5</v>
      </c>
      <c r="D435" s="83">
        <v>19.512195121951219</v>
      </c>
      <c r="E435" s="79">
        <f t="shared" si="16"/>
        <v>0.41499999999999998</v>
      </c>
    </row>
    <row r="436" spans="1:5">
      <c r="A436" s="80" t="s">
        <v>40</v>
      </c>
      <c r="C436" s="83">
        <v>44</v>
      </c>
      <c r="D436" s="83">
        <v>24.390243902439025</v>
      </c>
      <c r="E436" s="79">
        <f t="shared" si="16"/>
        <v>0.44</v>
      </c>
    </row>
    <row r="437" spans="1:5">
      <c r="A437" s="80" t="s">
        <v>40</v>
      </c>
      <c r="C437" s="83">
        <v>56.5</v>
      </c>
      <c r="D437" s="83">
        <v>25</v>
      </c>
      <c r="E437" s="79">
        <f t="shared" si="16"/>
        <v>0.56499999999999995</v>
      </c>
    </row>
    <row r="438" spans="1:5">
      <c r="A438" s="80" t="s">
        <v>40</v>
      </c>
      <c r="C438" s="83">
        <v>62.5</v>
      </c>
      <c r="D438" s="83">
        <v>26.524390243902442</v>
      </c>
      <c r="E438" s="79">
        <f t="shared" si="16"/>
        <v>0.625</v>
      </c>
    </row>
    <row r="439" spans="1:5">
      <c r="A439" s="80" t="s">
        <v>40</v>
      </c>
      <c r="C439" s="83">
        <v>51.5</v>
      </c>
      <c r="D439" s="83">
        <v>21.036585365853661</v>
      </c>
      <c r="E439" s="79">
        <f t="shared" si="16"/>
        <v>0.51500000000000001</v>
      </c>
    </row>
    <row r="440" spans="1:5">
      <c r="A440" s="80" t="s">
        <v>40</v>
      </c>
      <c r="C440" s="83">
        <v>22.5</v>
      </c>
      <c r="D440" s="83">
        <v>21.646341463414636</v>
      </c>
      <c r="E440" s="79">
        <f t="shared" si="16"/>
        <v>0.22500000000000001</v>
      </c>
    </row>
    <row r="441" spans="1:5">
      <c r="A441" s="80" t="s">
        <v>40</v>
      </c>
      <c r="C441" s="83">
        <v>49.7</v>
      </c>
      <c r="D441" s="83">
        <v>23.475609756097562</v>
      </c>
      <c r="E441" s="79">
        <f t="shared" si="16"/>
        <v>0.49700000000000005</v>
      </c>
    </row>
    <row r="442" spans="1:5">
      <c r="A442" s="80" t="s">
        <v>40</v>
      </c>
      <c r="C442" s="83">
        <v>69</v>
      </c>
      <c r="D442" s="83">
        <v>25.304878048780488</v>
      </c>
      <c r="E442" s="79">
        <f t="shared" si="16"/>
        <v>0.69</v>
      </c>
    </row>
    <row r="443" spans="1:5">
      <c r="A443" s="80" t="s">
        <v>40</v>
      </c>
      <c r="C443" s="83">
        <v>48</v>
      </c>
      <c r="D443" s="83">
        <v>28.658536585365855</v>
      </c>
      <c r="E443" s="79">
        <f t="shared" si="16"/>
        <v>0.48</v>
      </c>
    </row>
    <row r="444" spans="1:5">
      <c r="A444" s="80" t="s">
        <v>40</v>
      </c>
      <c r="C444" s="83">
        <v>42.6</v>
      </c>
      <c r="D444" s="83">
        <v>29.26829268292683</v>
      </c>
      <c r="E444" s="79">
        <f t="shared" si="16"/>
        <v>0.42599999999999999</v>
      </c>
    </row>
    <row r="445" spans="1:5">
      <c r="A445" s="80" t="s">
        <v>40</v>
      </c>
      <c r="C445" s="83">
        <v>39.700000000000003</v>
      </c>
      <c r="D445" s="83">
        <v>14.939024390243903</v>
      </c>
      <c r="E445" s="79">
        <f t="shared" si="16"/>
        <v>0.39700000000000002</v>
      </c>
    </row>
    <row r="446" spans="1:5">
      <c r="A446" s="80" t="s">
        <v>40</v>
      </c>
      <c r="C446" s="83">
        <v>22.1</v>
      </c>
      <c r="D446" s="83">
        <v>14.329268292682928</v>
      </c>
      <c r="E446" s="79">
        <f t="shared" si="16"/>
        <v>0.221</v>
      </c>
    </row>
    <row r="447" spans="1:5">
      <c r="A447" s="80" t="s">
        <v>40</v>
      </c>
      <c r="C447" s="83">
        <v>58.7</v>
      </c>
      <c r="D447" s="83">
        <v>33.231707317073173</v>
      </c>
      <c r="E447" s="79">
        <f t="shared" si="16"/>
        <v>0.58700000000000008</v>
      </c>
    </row>
    <row r="448" spans="1:5">
      <c r="A448" s="80" t="s">
        <v>40</v>
      </c>
      <c r="C448" s="83">
        <v>26.6</v>
      </c>
      <c r="D448" s="83">
        <v>15.853658536585368</v>
      </c>
      <c r="E448" s="79">
        <f t="shared" si="16"/>
        <v>0.26600000000000001</v>
      </c>
    </row>
    <row r="449" spans="1:5">
      <c r="A449" s="80" t="s">
        <v>40</v>
      </c>
      <c r="C449" s="83">
        <v>54</v>
      </c>
      <c r="D449" s="83">
        <v>29.26829268292683</v>
      </c>
      <c r="E449" s="79">
        <f t="shared" si="16"/>
        <v>0.54</v>
      </c>
    </row>
    <row r="450" spans="1:5">
      <c r="A450" s="80" t="s">
        <v>40</v>
      </c>
      <c r="C450" s="83">
        <v>55.3</v>
      </c>
      <c r="D450" s="83">
        <v>34.146341463414636</v>
      </c>
      <c r="E450" s="79">
        <f t="shared" si="16"/>
        <v>0.55299999999999994</v>
      </c>
    </row>
    <row r="451" spans="1:5">
      <c r="A451" s="80" t="s">
        <v>40</v>
      </c>
      <c r="C451" s="83">
        <v>22.5</v>
      </c>
      <c r="D451" s="83">
        <v>27.134146341463417</v>
      </c>
      <c r="E451" s="79">
        <f t="shared" ref="E451:E514" si="17">C451/100</f>
        <v>0.22500000000000001</v>
      </c>
    </row>
    <row r="452" spans="1:5">
      <c r="A452" s="80" t="s">
        <v>40</v>
      </c>
      <c r="C452" s="83">
        <v>30.8</v>
      </c>
      <c r="D452" s="83">
        <v>20.121951219512198</v>
      </c>
      <c r="E452" s="79">
        <f t="shared" si="17"/>
        <v>0.308</v>
      </c>
    </row>
    <row r="453" spans="1:5">
      <c r="A453" s="80" t="s">
        <v>40</v>
      </c>
      <c r="C453" s="83">
        <v>38.4</v>
      </c>
      <c r="D453" s="83">
        <v>29.878048780487806</v>
      </c>
      <c r="E453" s="79">
        <f t="shared" si="17"/>
        <v>0.38400000000000001</v>
      </c>
    </row>
    <row r="454" spans="1:5">
      <c r="A454" s="80" t="s">
        <v>40</v>
      </c>
      <c r="C454" s="83">
        <v>46.5</v>
      </c>
      <c r="D454" s="83">
        <v>28.963414634146343</v>
      </c>
      <c r="E454" s="79">
        <f t="shared" si="17"/>
        <v>0.46500000000000002</v>
      </c>
    </row>
    <row r="455" spans="1:5">
      <c r="A455" s="80" t="s">
        <v>40</v>
      </c>
      <c r="C455" s="83">
        <v>33</v>
      </c>
      <c r="D455" s="83">
        <v>28.353658536585368</v>
      </c>
      <c r="E455" s="79">
        <f t="shared" si="17"/>
        <v>0.33</v>
      </c>
    </row>
    <row r="456" spans="1:5">
      <c r="A456" s="80" t="s">
        <v>40</v>
      </c>
      <c r="C456" s="83">
        <v>30</v>
      </c>
      <c r="D456" s="83">
        <v>34.146341463414636</v>
      </c>
      <c r="E456" s="79">
        <f t="shared" si="17"/>
        <v>0.3</v>
      </c>
    </row>
    <row r="457" spans="1:5">
      <c r="A457" s="80" t="s">
        <v>40</v>
      </c>
      <c r="C457" s="83">
        <v>30</v>
      </c>
      <c r="D457" s="83">
        <v>30.182926829268293</v>
      </c>
      <c r="E457" s="79">
        <f t="shared" si="17"/>
        <v>0.3</v>
      </c>
    </row>
    <row r="458" spans="1:5">
      <c r="A458" s="80" t="s">
        <v>40</v>
      </c>
      <c r="C458" s="83">
        <v>20</v>
      </c>
      <c r="D458" s="83">
        <v>13.109756097560977</v>
      </c>
      <c r="E458" s="79">
        <f t="shared" si="17"/>
        <v>0.2</v>
      </c>
    </row>
    <row r="459" spans="1:5">
      <c r="A459" s="80" t="s">
        <v>40</v>
      </c>
      <c r="C459" s="83">
        <v>51.5</v>
      </c>
      <c r="D459" s="83">
        <v>32.621951219512198</v>
      </c>
      <c r="E459" s="79">
        <f t="shared" si="17"/>
        <v>0.51500000000000001</v>
      </c>
    </row>
    <row r="460" spans="1:5">
      <c r="A460" s="80" t="s">
        <v>40</v>
      </c>
      <c r="C460" s="83">
        <v>24</v>
      </c>
      <c r="D460" s="83">
        <v>10.365853658536587</v>
      </c>
      <c r="E460" s="79">
        <f t="shared" si="17"/>
        <v>0.24</v>
      </c>
    </row>
    <row r="461" spans="1:5">
      <c r="A461" s="80" t="s">
        <v>40</v>
      </c>
      <c r="C461" s="83">
        <v>23.6</v>
      </c>
      <c r="D461" s="83">
        <v>14.634146341463415</v>
      </c>
      <c r="E461" s="79">
        <f t="shared" si="17"/>
        <v>0.23600000000000002</v>
      </c>
    </row>
    <row r="462" spans="1:5">
      <c r="A462" s="80" t="s">
        <v>40</v>
      </c>
      <c r="C462" s="83">
        <v>51.3</v>
      </c>
      <c r="D462" s="83">
        <v>28.04878048780488</v>
      </c>
      <c r="E462" s="79">
        <f t="shared" si="17"/>
        <v>0.51300000000000001</v>
      </c>
    </row>
    <row r="463" spans="1:5">
      <c r="A463" s="80" t="s">
        <v>40</v>
      </c>
      <c r="C463" s="83">
        <v>29</v>
      </c>
      <c r="D463" s="83">
        <v>24.085365853658537</v>
      </c>
      <c r="E463" s="79">
        <f t="shared" si="17"/>
        <v>0.28999999999999998</v>
      </c>
    </row>
    <row r="464" spans="1:5">
      <c r="A464" s="80" t="s">
        <v>40</v>
      </c>
      <c r="C464" s="83">
        <v>25</v>
      </c>
      <c r="D464" s="83">
        <v>16.463414634146343</v>
      </c>
      <c r="E464" s="79">
        <f t="shared" si="17"/>
        <v>0.25</v>
      </c>
    </row>
    <row r="465" spans="1:5">
      <c r="A465" s="80" t="s">
        <v>40</v>
      </c>
      <c r="C465" s="83">
        <v>21.3</v>
      </c>
      <c r="D465" s="83">
        <v>14.329268292682928</v>
      </c>
      <c r="E465" s="79">
        <f t="shared" si="17"/>
        <v>0.21299999999999999</v>
      </c>
    </row>
    <row r="466" spans="1:5">
      <c r="A466" s="80" t="s">
        <v>42</v>
      </c>
      <c r="C466" s="83">
        <v>57.4</v>
      </c>
      <c r="D466" s="83">
        <v>25.304878048780488</v>
      </c>
      <c r="E466" s="79">
        <f t="shared" si="17"/>
        <v>0.57399999999999995</v>
      </c>
    </row>
    <row r="467" spans="1:5">
      <c r="A467" s="80" t="s">
        <v>42</v>
      </c>
      <c r="C467" s="83">
        <v>85.5</v>
      </c>
      <c r="D467" s="83">
        <v>29.573170731707318</v>
      </c>
      <c r="E467" s="79">
        <f t="shared" si="17"/>
        <v>0.85499999999999998</v>
      </c>
    </row>
    <row r="468" spans="1:5">
      <c r="A468" s="80" t="s">
        <v>42</v>
      </c>
      <c r="C468" s="83">
        <v>28.5</v>
      </c>
      <c r="D468" s="83">
        <v>13.719512195121952</v>
      </c>
      <c r="E468" s="79">
        <f t="shared" si="17"/>
        <v>0.28499999999999998</v>
      </c>
    </row>
    <row r="469" spans="1:5">
      <c r="A469" s="80" t="s">
        <v>42</v>
      </c>
      <c r="C469" s="83">
        <v>23</v>
      </c>
      <c r="D469" s="83">
        <v>14.329268292682928</v>
      </c>
      <c r="E469" s="79">
        <f t="shared" si="17"/>
        <v>0.23</v>
      </c>
    </row>
    <row r="470" spans="1:5">
      <c r="A470" s="80" t="s">
        <v>42</v>
      </c>
      <c r="C470" s="83">
        <v>45.3</v>
      </c>
      <c r="D470" s="83">
        <v>22.865853658536587</v>
      </c>
      <c r="E470" s="79">
        <f t="shared" si="17"/>
        <v>0.45299999999999996</v>
      </c>
    </row>
    <row r="471" spans="1:5">
      <c r="A471" s="80" t="s">
        <v>42</v>
      </c>
      <c r="C471" s="83">
        <v>45.2</v>
      </c>
      <c r="D471" s="83">
        <v>23.170731707317074</v>
      </c>
      <c r="E471" s="79">
        <f t="shared" si="17"/>
        <v>0.45200000000000001</v>
      </c>
    </row>
    <row r="472" spans="1:5">
      <c r="A472" s="80" t="s">
        <v>42</v>
      </c>
      <c r="C472" s="83">
        <v>60.6</v>
      </c>
      <c r="D472" s="83">
        <v>20.731707317073173</v>
      </c>
      <c r="E472" s="79">
        <f t="shared" si="17"/>
        <v>0.60599999999999998</v>
      </c>
    </row>
    <row r="473" spans="1:5">
      <c r="A473" s="80" t="s">
        <v>42</v>
      </c>
      <c r="C473" s="83">
        <v>35.4</v>
      </c>
      <c r="D473" s="83">
        <v>18.902439024390244</v>
      </c>
      <c r="E473" s="79">
        <f t="shared" si="17"/>
        <v>0.35399999999999998</v>
      </c>
    </row>
    <row r="474" spans="1:5">
      <c r="A474" s="80" t="s">
        <v>42</v>
      </c>
      <c r="C474" s="83">
        <v>21</v>
      </c>
      <c r="D474" s="83">
        <v>15.853658536585368</v>
      </c>
      <c r="E474" s="79">
        <f t="shared" si="17"/>
        <v>0.21</v>
      </c>
    </row>
    <row r="475" spans="1:5">
      <c r="A475" s="80" t="s">
        <v>42</v>
      </c>
      <c r="C475" s="83">
        <v>25</v>
      </c>
      <c r="D475" s="83">
        <v>16.463414634146343</v>
      </c>
      <c r="E475" s="79">
        <f t="shared" si="17"/>
        <v>0.25</v>
      </c>
    </row>
    <row r="476" spans="1:5">
      <c r="A476" s="80" t="s">
        <v>42</v>
      </c>
      <c r="C476" s="83">
        <v>23.6</v>
      </c>
      <c r="D476" s="83">
        <v>14.02439024390244</v>
      </c>
      <c r="E476" s="79">
        <f t="shared" si="17"/>
        <v>0.23600000000000002</v>
      </c>
    </row>
    <row r="477" spans="1:5">
      <c r="A477" s="80" t="s">
        <v>42</v>
      </c>
      <c r="C477" s="83">
        <v>28.7</v>
      </c>
      <c r="D477" s="83">
        <v>13.109756097560977</v>
      </c>
      <c r="E477" s="79">
        <f t="shared" si="17"/>
        <v>0.28699999999999998</v>
      </c>
    </row>
    <row r="478" spans="1:5">
      <c r="A478" s="80" t="s">
        <v>42</v>
      </c>
      <c r="C478" s="83">
        <v>30.2</v>
      </c>
      <c r="D478" s="83">
        <v>16.76829268292683</v>
      </c>
      <c r="E478" s="79">
        <f t="shared" si="17"/>
        <v>0.30199999999999999</v>
      </c>
    </row>
    <row r="479" spans="1:5">
      <c r="A479" s="80" t="s">
        <v>42</v>
      </c>
      <c r="C479" s="83">
        <v>22</v>
      </c>
      <c r="D479" s="83">
        <v>14.634146341463415</v>
      </c>
      <c r="E479" s="79">
        <f t="shared" si="17"/>
        <v>0.22</v>
      </c>
    </row>
    <row r="480" spans="1:5">
      <c r="A480" s="80" t="s">
        <v>42</v>
      </c>
      <c r="C480" s="83">
        <v>32</v>
      </c>
      <c r="D480" s="83">
        <v>17.682926829268293</v>
      </c>
      <c r="E480" s="79">
        <f t="shared" si="17"/>
        <v>0.32</v>
      </c>
    </row>
    <row r="481" spans="1:5">
      <c r="A481" s="80" t="s">
        <v>42</v>
      </c>
      <c r="C481" s="83">
        <v>36.4</v>
      </c>
      <c r="D481" s="83">
        <v>18.902439024390244</v>
      </c>
      <c r="E481" s="79">
        <f t="shared" si="17"/>
        <v>0.36399999999999999</v>
      </c>
    </row>
    <row r="482" spans="1:5">
      <c r="A482" s="80" t="s">
        <v>42</v>
      </c>
      <c r="C482" s="83">
        <v>44</v>
      </c>
      <c r="D482" s="83">
        <v>16.76829268292683</v>
      </c>
      <c r="E482" s="79">
        <f t="shared" si="17"/>
        <v>0.44</v>
      </c>
    </row>
    <row r="483" spans="1:5">
      <c r="A483" s="80" t="s">
        <v>42</v>
      </c>
      <c r="C483" s="83">
        <v>25.5</v>
      </c>
      <c r="D483" s="83">
        <v>20.121951219512198</v>
      </c>
      <c r="E483" s="79">
        <f t="shared" si="17"/>
        <v>0.255</v>
      </c>
    </row>
    <row r="484" spans="1:5">
      <c r="A484" s="80" t="s">
        <v>42</v>
      </c>
      <c r="C484" s="83">
        <v>35.799999999999997</v>
      </c>
      <c r="D484" s="83">
        <v>15.853658536585368</v>
      </c>
      <c r="E484" s="79">
        <f t="shared" si="17"/>
        <v>0.35799999999999998</v>
      </c>
    </row>
    <row r="485" spans="1:5">
      <c r="A485" s="80" t="s">
        <v>42</v>
      </c>
      <c r="C485" s="83">
        <v>22.9</v>
      </c>
      <c r="D485" s="83">
        <v>7.6219512195121952</v>
      </c>
      <c r="E485" s="79">
        <f t="shared" si="17"/>
        <v>0.22899999999999998</v>
      </c>
    </row>
    <row r="486" spans="1:5">
      <c r="A486" s="80" t="s">
        <v>42</v>
      </c>
      <c r="C486" s="83">
        <v>32.5</v>
      </c>
      <c r="D486" s="83">
        <v>20.731707317073173</v>
      </c>
      <c r="E486" s="79">
        <f t="shared" si="17"/>
        <v>0.32500000000000001</v>
      </c>
    </row>
    <row r="487" spans="1:5">
      <c r="A487" s="80" t="s">
        <v>42</v>
      </c>
      <c r="C487" s="83">
        <v>61</v>
      </c>
      <c r="D487" s="83">
        <v>19.81707317073171</v>
      </c>
      <c r="E487" s="79">
        <f t="shared" si="17"/>
        <v>0.61</v>
      </c>
    </row>
    <row r="488" spans="1:5">
      <c r="A488" s="80" t="s">
        <v>42</v>
      </c>
      <c r="C488" s="83">
        <v>30</v>
      </c>
      <c r="D488" s="83">
        <v>14.634146341463415</v>
      </c>
      <c r="E488" s="79">
        <f t="shared" si="17"/>
        <v>0.3</v>
      </c>
    </row>
    <row r="489" spans="1:5">
      <c r="A489" s="80" t="s">
        <v>42</v>
      </c>
      <c r="C489" s="83">
        <v>31.7</v>
      </c>
      <c r="D489" s="83">
        <v>19.81707317073171</v>
      </c>
      <c r="E489" s="79">
        <f t="shared" si="17"/>
        <v>0.317</v>
      </c>
    </row>
    <row r="490" spans="1:5">
      <c r="A490" s="80" t="s">
        <v>42</v>
      </c>
      <c r="C490" s="83">
        <v>50.8</v>
      </c>
      <c r="D490" s="83">
        <v>21.951219512195124</v>
      </c>
      <c r="E490" s="79">
        <f t="shared" si="17"/>
        <v>0.50800000000000001</v>
      </c>
    </row>
    <row r="491" spans="1:5">
      <c r="A491" s="80" t="s">
        <v>42</v>
      </c>
      <c r="C491" s="83">
        <v>42.9</v>
      </c>
      <c r="D491" s="83">
        <v>19.81707317073171</v>
      </c>
      <c r="E491" s="79">
        <f t="shared" si="17"/>
        <v>0.42899999999999999</v>
      </c>
    </row>
    <row r="492" spans="1:5">
      <c r="A492" s="80" t="s">
        <v>42</v>
      </c>
      <c r="C492" s="83">
        <v>40.9</v>
      </c>
      <c r="D492" s="83">
        <v>22.560975609756099</v>
      </c>
      <c r="E492" s="79">
        <f t="shared" si="17"/>
        <v>0.40899999999999997</v>
      </c>
    </row>
    <row r="493" spans="1:5">
      <c r="A493" s="80" t="s">
        <v>42</v>
      </c>
      <c r="C493" s="83">
        <v>27</v>
      </c>
      <c r="D493" s="83">
        <v>20.731707317073173</v>
      </c>
      <c r="E493" s="79">
        <f t="shared" si="17"/>
        <v>0.27</v>
      </c>
    </row>
    <row r="494" spans="1:5">
      <c r="A494" s="80" t="s">
        <v>42</v>
      </c>
      <c r="C494" s="83">
        <v>30.2</v>
      </c>
      <c r="D494" s="83">
        <v>21.646341463414636</v>
      </c>
      <c r="E494" s="79">
        <f t="shared" si="17"/>
        <v>0.30199999999999999</v>
      </c>
    </row>
    <row r="495" spans="1:5">
      <c r="A495" s="80" t="s">
        <v>42</v>
      </c>
      <c r="C495" s="83">
        <v>46</v>
      </c>
      <c r="D495" s="83">
        <v>21.951219512195124</v>
      </c>
      <c r="E495" s="79">
        <f t="shared" si="17"/>
        <v>0.46</v>
      </c>
    </row>
    <row r="496" spans="1:5">
      <c r="A496" s="80" t="s">
        <v>42</v>
      </c>
      <c r="C496" s="83">
        <v>29</v>
      </c>
      <c r="D496" s="83">
        <v>20.121951219512198</v>
      </c>
      <c r="E496" s="79">
        <f t="shared" si="17"/>
        <v>0.28999999999999998</v>
      </c>
    </row>
    <row r="497" spans="1:5">
      <c r="A497" s="80" t="s">
        <v>42</v>
      </c>
      <c r="C497" s="83">
        <v>30.6</v>
      </c>
      <c r="D497" s="83">
        <v>13.109756097560977</v>
      </c>
      <c r="E497" s="79">
        <f t="shared" si="17"/>
        <v>0.30599999999999999</v>
      </c>
    </row>
    <row r="498" spans="1:5">
      <c r="A498" s="80" t="s">
        <v>42</v>
      </c>
      <c r="C498" s="83">
        <v>43.7</v>
      </c>
      <c r="D498" s="83">
        <v>20.731707317073173</v>
      </c>
      <c r="E498" s="79">
        <f t="shared" si="17"/>
        <v>0.43700000000000006</v>
      </c>
    </row>
    <row r="499" spans="1:5">
      <c r="A499" s="80" t="s">
        <v>42</v>
      </c>
      <c r="C499" s="83">
        <v>74.5</v>
      </c>
      <c r="D499" s="83">
        <v>21.951219512195124</v>
      </c>
      <c r="E499" s="79">
        <f t="shared" si="17"/>
        <v>0.745</v>
      </c>
    </row>
    <row r="500" spans="1:5">
      <c r="A500" s="80" t="s">
        <v>42</v>
      </c>
      <c r="C500" s="83">
        <v>27.5</v>
      </c>
      <c r="D500" s="83">
        <v>13.414634146341465</v>
      </c>
      <c r="E500" s="79">
        <f t="shared" si="17"/>
        <v>0.27500000000000002</v>
      </c>
    </row>
    <row r="501" spans="1:5">
      <c r="A501" s="80" t="s">
        <v>42</v>
      </c>
      <c r="C501" s="83">
        <v>40.200000000000003</v>
      </c>
      <c r="D501" s="83">
        <v>18.902439024390244</v>
      </c>
      <c r="E501" s="79">
        <f t="shared" si="17"/>
        <v>0.40200000000000002</v>
      </c>
    </row>
    <row r="502" spans="1:5">
      <c r="A502" s="80" t="s">
        <v>42</v>
      </c>
      <c r="C502" s="83">
        <v>39.700000000000003</v>
      </c>
      <c r="D502" s="83">
        <v>17.682926829268293</v>
      </c>
      <c r="E502" s="79">
        <f t="shared" si="17"/>
        <v>0.39700000000000002</v>
      </c>
    </row>
    <row r="503" spans="1:5">
      <c r="A503" s="80" t="s">
        <v>43</v>
      </c>
      <c r="C503" s="83">
        <v>31.9</v>
      </c>
      <c r="D503" s="83">
        <v>15.853658536585368</v>
      </c>
      <c r="E503" s="79">
        <f t="shared" si="17"/>
        <v>0.31900000000000001</v>
      </c>
    </row>
    <row r="504" spans="1:5">
      <c r="A504" s="80" t="s">
        <v>43</v>
      </c>
      <c r="C504" s="83">
        <v>72</v>
      </c>
      <c r="D504" s="83">
        <v>22.256097560975611</v>
      </c>
      <c r="E504" s="79">
        <f t="shared" si="17"/>
        <v>0.72</v>
      </c>
    </row>
    <row r="505" spans="1:5">
      <c r="A505" s="80" t="s">
        <v>43</v>
      </c>
      <c r="C505" s="83">
        <v>27.8</v>
      </c>
      <c r="D505" s="83">
        <v>13.109756097560977</v>
      </c>
      <c r="E505" s="79">
        <f t="shared" si="17"/>
        <v>0.27800000000000002</v>
      </c>
    </row>
    <row r="506" spans="1:5">
      <c r="A506" s="80" t="s">
        <v>43</v>
      </c>
      <c r="C506" s="83">
        <v>57.7</v>
      </c>
      <c r="D506" s="83">
        <v>19.512195121951219</v>
      </c>
      <c r="E506" s="79">
        <f t="shared" si="17"/>
        <v>0.57700000000000007</v>
      </c>
    </row>
    <row r="507" spans="1:5">
      <c r="A507" s="80" t="s">
        <v>43</v>
      </c>
      <c r="C507" s="83">
        <v>26.9</v>
      </c>
      <c r="D507" s="83">
        <v>15.24390243902439</v>
      </c>
      <c r="E507" s="79">
        <f t="shared" si="17"/>
        <v>0.26899999999999996</v>
      </c>
    </row>
    <row r="508" spans="1:5">
      <c r="A508" s="80" t="s">
        <v>43</v>
      </c>
      <c r="C508" s="83">
        <v>56</v>
      </c>
      <c r="D508" s="83">
        <v>28.04878048780488</v>
      </c>
      <c r="E508" s="79">
        <f t="shared" si="17"/>
        <v>0.56000000000000005</v>
      </c>
    </row>
    <row r="509" spans="1:5">
      <c r="A509" s="80" t="s">
        <v>43</v>
      </c>
      <c r="C509" s="83">
        <v>37.200000000000003</v>
      </c>
      <c r="D509" s="83">
        <v>27.439024390243905</v>
      </c>
      <c r="E509" s="79">
        <f t="shared" si="17"/>
        <v>0.37200000000000005</v>
      </c>
    </row>
    <row r="510" spans="1:5">
      <c r="A510" s="80" t="s">
        <v>43</v>
      </c>
      <c r="C510" s="83">
        <v>49.2</v>
      </c>
      <c r="D510" s="83">
        <v>17.073170731707318</v>
      </c>
      <c r="E510" s="79">
        <f t="shared" si="17"/>
        <v>0.49200000000000005</v>
      </c>
    </row>
    <row r="511" spans="1:5">
      <c r="A511" s="80" t="s">
        <v>43</v>
      </c>
      <c r="C511" s="83">
        <v>28.5</v>
      </c>
      <c r="D511" s="83">
        <v>12.195121951219512</v>
      </c>
      <c r="E511" s="79">
        <f t="shared" si="17"/>
        <v>0.28499999999999998</v>
      </c>
    </row>
    <row r="512" spans="1:5">
      <c r="A512" s="80" t="s">
        <v>43</v>
      </c>
      <c r="C512" s="83">
        <v>51.4</v>
      </c>
      <c r="D512" s="83">
        <v>21.951219512195124</v>
      </c>
      <c r="E512" s="79">
        <f t="shared" si="17"/>
        <v>0.51400000000000001</v>
      </c>
    </row>
    <row r="513" spans="1:5">
      <c r="A513" s="80" t="s">
        <v>43</v>
      </c>
      <c r="C513" s="83">
        <v>37.700000000000003</v>
      </c>
      <c r="D513" s="83">
        <v>11.890243902439025</v>
      </c>
      <c r="E513" s="79">
        <f t="shared" si="17"/>
        <v>0.377</v>
      </c>
    </row>
    <row r="514" spans="1:5">
      <c r="A514" s="80" t="s">
        <v>43</v>
      </c>
      <c r="C514" s="83">
        <v>28.5</v>
      </c>
      <c r="D514" s="83">
        <v>21.036585365853661</v>
      </c>
      <c r="E514" s="79">
        <f t="shared" si="17"/>
        <v>0.28499999999999998</v>
      </c>
    </row>
    <row r="515" spans="1:5">
      <c r="A515" s="80" t="s">
        <v>43</v>
      </c>
      <c r="C515" s="83">
        <v>52.2</v>
      </c>
      <c r="D515" s="83">
        <v>15.853658536585368</v>
      </c>
      <c r="E515" s="79">
        <f t="shared" ref="E515:E528" si="18">C515/100</f>
        <v>0.52200000000000002</v>
      </c>
    </row>
    <row r="516" spans="1:5">
      <c r="A516" s="80" t="s">
        <v>43</v>
      </c>
      <c r="C516" s="83">
        <v>20.9</v>
      </c>
      <c r="D516" s="83">
        <v>15.548780487804878</v>
      </c>
      <c r="E516" s="79">
        <f t="shared" si="18"/>
        <v>0.20899999999999999</v>
      </c>
    </row>
    <row r="517" spans="1:5">
      <c r="A517" s="80" t="s">
        <v>43</v>
      </c>
      <c r="C517" s="83">
        <v>21.5</v>
      </c>
      <c r="D517" s="83">
        <v>13.414634146341465</v>
      </c>
      <c r="E517" s="79">
        <f t="shared" si="18"/>
        <v>0.215</v>
      </c>
    </row>
    <row r="518" spans="1:5">
      <c r="A518" s="80" t="s">
        <v>43</v>
      </c>
      <c r="C518" s="83">
        <v>61.7</v>
      </c>
      <c r="D518" s="83">
        <v>24.085365853658537</v>
      </c>
      <c r="E518" s="79">
        <f t="shared" si="18"/>
        <v>0.61699999999999999</v>
      </c>
    </row>
    <row r="519" spans="1:5">
      <c r="A519" s="80" t="s">
        <v>43</v>
      </c>
      <c r="C519" s="83">
        <v>20.5</v>
      </c>
      <c r="D519" s="83">
        <v>16.158536585365855</v>
      </c>
      <c r="E519" s="79">
        <f t="shared" si="18"/>
        <v>0.20499999999999999</v>
      </c>
    </row>
    <row r="520" spans="1:5">
      <c r="A520" s="80" t="s">
        <v>43</v>
      </c>
      <c r="C520" s="83">
        <v>22.7</v>
      </c>
      <c r="D520" s="83">
        <v>14.329268292682928</v>
      </c>
      <c r="E520" s="79">
        <f t="shared" si="18"/>
        <v>0.22699999999999998</v>
      </c>
    </row>
    <row r="521" spans="1:5">
      <c r="A521" s="80" t="s">
        <v>43</v>
      </c>
      <c r="C521" s="83">
        <v>37.1</v>
      </c>
      <c r="D521" s="83">
        <v>21.951219512195124</v>
      </c>
      <c r="E521" s="79">
        <f t="shared" si="18"/>
        <v>0.371</v>
      </c>
    </row>
    <row r="522" spans="1:5">
      <c r="A522" s="80" t="s">
        <v>43</v>
      </c>
      <c r="C522" s="83">
        <v>55.5</v>
      </c>
      <c r="D522" s="83">
        <v>13.719512195121952</v>
      </c>
      <c r="E522" s="79">
        <f t="shared" si="18"/>
        <v>0.55500000000000005</v>
      </c>
    </row>
    <row r="523" spans="1:5">
      <c r="A523" s="80" t="s">
        <v>43</v>
      </c>
      <c r="C523" s="83">
        <v>40.200000000000003</v>
      </c>
      <c r="D523" s="83">
        <v>15.548780487804878</v>
      </c>
      <c r="E523" s="79">
        <f t="shared" si="18"/>
        <v>0.40200000000000002</v>
      </c>
    </row>
    <row r="524" spans="1:5">
      <c r="A524" s="80" t="s">
        <v>43</v>
      </c>
      <c r="C524" s="83">
        <v>37.700000000000003</v>
      </c>
      <c r="D524" s="83">
        <v>28.963414634146343</v>
      </c>
      <c r="E524" s="79">
        <f t="shared" si="18"/>
        <v>0.377</v>
      </c>
    </row>
    <row r="525" spans="1:5">
      <c r="A525" s="80" t="s">
        <v>43</v>
      </c>
      <c r="C525" s="83">
        <v>46.2</v>
      </c>
      <c r="D525" s="83">
        <v>29.878048780487806</v>
      </c>
      <c r="E525" s="79">
        <f t="shared" si="18"/>
        <v>0.46200000000000002</v>
      </c>
    </row>
    <row r="526" spans="1:5">
      <c r="A526" s="80" t="s">
        <v>43</v>
      </c>
      <c r="C526" s="83">
        <v>45.8</v>
      </c>
      <c r="D526" s="83">
        <v>26.219512195121954</v>
      </c>
      <c r="E526" s="79">
        <f t="shared" si="18"/>
        <v>0.45799999999999996</v>
      </c>
    </row>
    <row r="527" spans="1:5">
      <c r="A527" s="80" t="s">
        <v>43</v>
      </c>
      <c r="C527" s="83">
        <v>59.2</v>
      </c>
      <c r="D527" s="83">
        <v>22.560975609756099</v>
      </c>
      <c r="E527" s="79">
        <f t="shared" si="18"/>
        <v>0.59200000000000008</v>
      </c>
    </row>
    <row r="528" spans="1:5">
      <c r="A528" s="80" t="s">
        <v>43</v>
      </c>
      <c r="C528" s="83">
        <v>22.8</v>
      </c>
      <c r="D528" s="83">
        <v>14.634146341463415</v>
      </c>
      <c r="E528" s="79">
        <f t="shared" si="18"/>
        <v>0.22800000000000001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topLeftCell="A16" workbookViewId="0">
      <selection activeCell="B5" sqref="B5"/>
    </sheetView>
  </sheetViews>
  <sheetFormatPr defaultRowHeight="15"/>
  <cols>
    <col min="1" max="1" width="19.42578125" customWidth="1"/>
    <col min="3" max="3" width="16.85546875" customWidth="1"/>
  </cols>
  <sheetData>
    <row r="1" spans="1:5">
      <c r="A1" t="s">
        <v>5</v>
      </c>
      <c r="B1" t="s">
        <v>799</v>
      </c>
      <c r="C1" t="s">
        <v>800</v>
      </c>
      <c r="D1" t="s">
        <v>801</v>
      </c>
      <c r="E1" t="s">
        <v>802</v>
      </c>
    </row>
    <row r="2" spans="1:5">
      <c r="A2">
        <v>17</v>
      </c>
      <c r="B2">
        <v>12</v>
      </c>
      <c r="C2">
        <v>59396</v>
      </c>
    </row>
    <row r="5" spans="1:5">
      <c r="A5" t="s">
        <v>803</v>
      </c>
      <c r="B5">
        <f>(A2/B2)*C2*0.3*5</f>
        <v>126216.50000000001</v>
      </c>
    </row>
    <row r="6" spans="1:5">
      <c r="A6" t="s">
        <v>804</v>
      </c>
      <c r="B6">
        <f>A2*C2/50</f>
        <v>20194.64</v>
      </c>
      <c r="D6">
        <f>63-51</f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73"/>
  <sheetViews>
    <sheetView topLeftCell="G1" zoomScale="85" zoomScaleNormal="85" workbookViewId="0">
      <selection activeCell="S22" sqref="S22:S28"/>
    </sheetView>
  </sheetViews>
  <sheetFormatPr defaultRowHeight="15"/>
  <cols>
    <col min="2" max="5" width="9.140625" style="79"/>
    <col min="7" max="7" width="10.85546875" bestFit="1" customWidth="1"/>
    <col min="15" max="15" width="29.5703125" bestFit="1" customWidth="1"/>
    <col min="16" max="16" width="10" bestFit="1" customWidth="1"/>
    <col min="20" max="20" width="19.42578125" bestFit="1" customWidth="1"/>
    <col min="21" max="21" width="12.85546875" bestFit="1" customWidth="1"/>
    <col min="23" max="23" width="26.85546875" bestFit="1" customWidth="1"/>
    <col min="27" max="27" width="10.140625" bestFit="1" customWidth="1"/>
    <col min="30" max="30" width="12" bestFit="1" customWidth="1"/>
    <col min="31" max="31" width="12.5703125" bestFit="1" customWidth="1"/>
  </cols>
  <sheetData>
    <row r="1" spans="1:31">
      <c r="A1" s="79" t="s">
        <v>65</v>
      </c>
      <c r="B1" s="79" t="s">
        <v>66</v>
      </c>
      <c r="C1" s="79" t="s">
        <v>67</v>
      </c>
      <c r="D1" s="79" t="s">
        <v>68</v>
      </c>
      <c r="E1" s="80" t="s">
        <v>69</v>
      </c>
      <c r="F1" s="79"/>
      <c r="G1" s="86" t="s">
        <v>70</v>
      </c>
      <c r="H1" s="86" t="s">
        <v>74</v>
      </c>
      <c r="I1" s="86" t="s">
        <v>76</v>
      </c>
      <c r="J1" s="86" t="s">
        <v>77</v>
      </c>
      <c r="K1" s="86" t="s">
        <v>78</v>
      </c>
      <c r="L1" s="86" t="s">
        <v>79</v>
      </c>
      <c r="M1" s="86" t="s">
        <v>80</v>
      </c>
      <c r="O1" s="102" t="s">
        <v>81</v>
      </c>
      <c r="P1" t="s">
        <v>70</v>
      </c>
      <c r="Q1" t="s">
        <v>74</v>
      </c>
      <c r="R1" t="s">
        <v>76</v>
      </c>
      <c r="S1" t="s">
        <v>78</v>
      </c>
      <c r="X1" t="s">
        <v>74</v>
      </c>
      <c r="Y1" t="s">
        <v>76</v>
      </c>
      <c r="Z1" t="s">
        <v>78</v>
      </c>
      <c r="AA1" t="s">
        <v>80</v>
      </c>
      <c r="AB1" t="s">
        <v>82</v>
      </c>
      <c r="AC1" t="s">
        <v>83</v>
      </c>
      <c r="AD1" t="s">
        <v>84</v>
      </c>
      <c r="AE1" t="s">
        <v>85</v>
      </c>
    </row>
    <row r="2" spans="1:31">
      <c r="A2" t="s">
        <v>11</v>
      </c>
      <c r="B2" s="44" t="s">
        <v>86</v>
      </c>
      <c r="C2" s="88">
        <v>18</v>
      </c>
      <c r="D2" s="88">
        <v>12.195121951219512</v>
      </c>
      <c r="E2" s="91">
        <f>C2/100</f>
        <v>0.18</v>
      </c>
      <c r="G2" s="86" t="s">
        <v>11</v>
      </c>
      <c r="H2" s="87">
        <f>AVERAGEIF($A$2:$A$73, "Plot 54_1",$C$2:$C$73)</f>
        <v>13.8</v>
      </c>
      <c r="I2" s="87">
        <f>AVERAGEIF($A$2:$A$73, "Plot 54_1",$D$2:$D$73)</f>
        <v>9.5528455284552827</v>
      </c>
      <c r="J2" s="86">
        <v>15</v>
      </c>
      <c r="K2" s="86">
        <f>J2/0.0625</f>
        <v>240</v>
      </c>
      <c r="L2" s="87">
        <f>SUMIF($A$2:$A$73, "Plot 54_1",$E$2:$E$73)</f>
        <v>2.0700000000000007</v>
      </c>
      <c r="M2" s="87">
        <f>L2/0.0125</f>
        <v>165.60000000000005</v>
      </c>
      <c r="O2" t="s">
        <v>312</v>
      </c>
      <c r="P2" t="s">
        <v>11</v>
      </c>
      <c r="Q2" s="99">
        <f>H2</f>
        <v>13.8</v>
      </c>
      <c r="R2" s="87">
        <f>I2</f>
        <v>9.5528455284552827</v>
      </c>
      <c r="S2">
        <f>K2</f>
        <v>240</v>
      </c>
      <c r="T2" s="101"/>
      <c r="U2" s="101"/>
      <c r="V2" s="101"/>
      <c r="W2" t="s">
        <v>87</v>
      </c>
      <c r="X2" s="101">
        <v>11.973333333333333</v>
      </c>
      <c r="Y2" s="101">
        <v>8.183943089430894</v>
      </c>
      <c r="Z2" s="101">
        <v>136</v>
      </c>
      <c r="AA2" s="101">
        <v>37.440000000000005</v>
      </c>
      <c r="AB2" s="101">
        <v>1.5202485176955629</v>
      </c>
      <c r="AC2" s="101">
        <v>1.3591476991105289</v>
      </c>
      <c r="AD2" s="101">
        <v>56.944417344166986</v>
      </c>
      <c r="AE2" s="101">
        <v>15.867361329331217</v>
      </c>
    </row>
    <row r="3" spans="1:31">
      <c r="A3" t="s">
        <v>11</v>
      </c>
      <c r="B3" s="44" t="s">
        <v>86</v>
      </c>
      <c r="C3" s="88">
        <v>16</v>
      </c>
      <c r="D3" s="88">
        <v>10.060975609756099</v>
      </c>
      <c r="E3" s="91">
        <f t="shared" ref="E3:E65" si="0">C3/100</f>
        <v>0.16</v>
      </c>
      <c r="G3" s="86" t="s">
        <v>13</v>
      </c>
      <c r="H3" s="87">
        <f>AVERAGEIF($A$2:$A$73, "Plot 54_2",$C$2:$C$73)</f>
        <v>13</v>
      </c>
      <c r="I3" s="87">
        <f>AVERAGEIF($A$2:$A$73, "Plot 54_2",$D$2:$D$73)</f>
        <v>10.060975609756099</v>
      </c>
      <c r="J3" s="86">
        <v>1</v>
      </c>
      <c r="K3" s="86">
        <f t="shared" ref="K3:K20" si="1">J3/0.0625</f>
        <v>16</v>
      </c>
      <c r="L3" s="87">
        <f>SUMIF($A$2:$A$73, "Plot 54_2",$E$2:$E$73)</f>
        <v>0.13</v>
      </c>
      <c r="M3" s="87">
        <f t="shared" ref="M3:M20" si="2">L3/0.0125</f>
        <v>10.4</v>
      </c>
      <c r="O3" t="s">
        <v>87</v>
      </c>
      <c r="P3" t="s">
        <v>13</v>
      </c>
      <c r="Q3" s="99">
        <f>H3</f>
        <v>13</v>
      </c>
      <c r="R3" s="87">
        <f t="shared" ref="R3:R11" si="3">I3</f>
        <v>10.060975609756099</v>
      </c>
      <c r="S3">
        <f t="shared" ref="S3:S11" si="4">K3</f>
        <v>16</v>
      </c>
      <c r="T3" s="101"/>
      <c r="U3" s="101"/>
      <c r="V3" s="101"/>
      <c r="W3" t="s">
        <v>349</v>
      </c>
      <c r="X3" s="101">
        <v>14.495833333333334</v>
      </c>
      <c r="Y3" s="101">
        <v>11.641260162601627</v>
      </c>
      <c r="Z3" s="101">
        <v>230</v>
      </c>
      <c r="AA3" s="101">
        <v>66.8</v>
      </c>
      <c r="AB3" s="101">
        <v>0.39274563262300533</v>
      </c>
      <c r="AC3" s="101">
        <v>0.47158673834162751</v>
      </c>
      <c r="AD3" s="101">
        <v>35.707142142714247</v>
      </c>
      <c r="AE3" s="101">
        <v>10.940786077791662</v>
      </c>
    </row>
    <row r="4" spans="1:31">
      <c r="A4" t="s">
        <v>11</v>
      </c>
      <c r="B4" s="44" t="s">
        <v>86</v>
      </c>
      <c r="C4" s="88">
        <v>11.5</v>
      </c>
      <c r="D4" s="88">
        <v>10.060975609756099</v>
      </c>
      <c r="E4" s="91">
        <f t="shared" si="0"/>
        <v>0.115</v>
      </c>
      <c r="G4" s="86" t="s">
        <v>15</v>
      </c>
      <c r="H4" s="87">
        <f>AVERAGEIF($A$2:$A$73, "Plot 55_3",$C$2:$C$73)</f>
        <v>17.5</v>
      </c>
      <c r="I4" s="87">
        <f>AVERAGEIF($A$2:$A$73, "Plot 55_3",$D$2:$D$73)</f>
        <v>11.432926829268293</v>
      </c>
      <c r="J4" s="86">
        <v>2</v>
      </c>
      <c r="K4" s="86">
        <f t="shared" si="1"/>
        <v>32</v>
      </c>
      <c r="L4" s="87">
        <f>SUMIF($A$2:$A$73, "Plot 55_3",$E$2:$E$73)</f>
        <v>0.35</v>
      </c>
      <c r="M4" s="87">
        <f t="shared" si="2"/>
        <v>27.999999999999996</v>
      </c>
      <c r="O4" t="s">
        <v>87</v>
      </c>
      <c r="P4" t="s">
        <v>15</v>
      </c>
      <c r="Q4" s="99">
        <f>H4</f>
        <v>17.5</v>
      </c>
      <c r="R4" s="87">
        <f t="shared" si="3"/>
        <v>11.432926829268293</v>
      </c>
      <c r="S4">
        <f t="shared" si="4"/>
        <v>32</v>
      </c>
      <c r="T4" s="101"/>
      <c r="U4" s="101"/>
      <c r="V4" s="101"/>
      <c r="W4" t="s">
        <v>91</v>
      </c>
      <c r="X4" s="101">
        <v>10.940000000000001</v>
      </c>
      <c r="Y4" s="101">
        <v>6.536585365853659</v>
      </c>
      <c r="Z4" s="101">
        <v>104</v>
      </c>
      <c r="AA4" s="101">
        <v>31.215999999999998</v>
      </c>
      <c r="AB4" s="101">
        <v>2.8015352933704047</v>
      </c>
      <c r="AC4" s="101">
        <v>2.0206906762397443</v>
      </c>
      <c r="AD4" s="101">
        <v>74.4043009509531</v>
      </c>
      <c r="AE4" s="101">
        <v>23.484618285166992</v>
      </c>
    </row>
    <row r="5" spans="1:31">
      <c r="A5" t="s">
        <v>11</v>
      </c>
      <c r="B5" s="44" t="s">
        <v>86</v>
      </c>
      <c r="C5" s="88">
        <v>14</v>
      </c>
      <c r="D5" s="88">
        <v>8.536585365853659</v>
      </c>
      <c r="E5" s="91">
        <f t="shared" si="0"/>
        <v>0.14000000000000001</v>
      </c>
      <c r="G5" s="86" t="s">
        <v>16</v>
      </c>
      <c r="H5" s="87">
        <v>0</v>
      </c>
      <c r="I5" s="87">
        <v>0</v>
      </c>
      <c r="J5" s="86">
        <v>0</v>
      </c>
      <c r="K5" s="86">
        <f t="shared" si="1"/>
        <v>0</v>
      </c>
      <c r="L5" s="87">
        <f>SUMIF($A$2:$A$73, "Plot 55_4",$E$2:$E$73)</f>
        <v>0</v>
      </c>
      <c r="M5" s="87">
        <f t="shared" si="2"/>
        <v>0</v>
      </c>
      <c r="O5" t="s">
        <v>87</v>
      </c>
      <c r="P5" t="s">
        <v>16</v>
      </c>
      <c r="Q5" s="99">
        <f>H5</f>
        <v>0</v>
      </c>
      <c r="R5" s="87">
        <f t="shared" si="3"/>
        <v>0</v>
      </c>
      <c r="S5">
        <f t="shared" si="4"/>
        <v>0</v>
      </c>
      <c r="T5" s="101"/>
      <c r="U5" s="101"/>
      <c r="V5" s="101"/>
    </row>
    <row r="6" spans="1:31">
      <c r="A6" t="s">
        <v>11</v>
      </c>
      <c r="B6" s="44" t="s">
        <v>314</v>
      </c>
      <c r="C6" s="88">
        <v>15</v>
      </c>
      <c r="D6" s="88">
        <v>11.585365853658537</v>
      </c>
      <c r="E6" s="91">
        <f t="shared" si="0"/>
        <v>0.15</v>
      </c>
      <c r="G6" s="86" t="s">
        <v>19</v>
      </c>
      <c r="H6" s="87">
        <f>AVERAGEIF($A$2:$A$73, "Plot 60_5",$C$2:$C$73)</f>
        <v>10</v>
      </c>
      <c r="I6" s="87">
        <f>AVERAGEIF($A$2:$A$73, "Plot 60_5",$D$2:$D$73)</f>
        <v>5.4878048780487809</v>
      </c>
      <c r="J6" s="86">
        <v>1</v>
      </c>
      <c r="K6" s="86">
        <f t="shared" si="1"/>
        <v>16</v>
      </c>
      <c r="L6" s="87">
        <f>SUMIF($A$2:$A$73, "Plot 60_5",$E$2:$E$73)</f>
        <v>0.1</v>
      </c>
      <c r="M6" s="87">
        <f t="shared" si="2"/>
        <v>8</v>
      </c>
      <c r="O6" t="s">
        <v>87</v>
      </c>
      <c r="P6" t="s">
        <v>19</v>
      </c>
      <c r="Q6" s="99">
        <f t="shared" ref="Q6:Q11" si="5">H6</f>
        <v>10</v>
      </c>
      <c r="R6" s="87">
        <f t="shared" si="3"/>
        <v>5.4878048780487809</v>
      </c>
      <c r="S6">
        <f t="shared" si="4"/>
        <v>16</v>
      </c>
      <c r="T6" s="101"/>
      <c r="U6" s="101"/>
      <c r="V6" s="101"/>
    </row>
    <row r="7" spans="1:31">
      <c r="A7" t="s">
        <v>11</v>
      </c>
      <c r="B7" s="44" t="s">
        <v>86</v>
      </c>
      <c r="C7" s="88">
        <v>15</v>
      </c>
      <c r="D7" s="88">
        <v>8.536585365853659</v>
      </c>
      <c r="E7" s="91">
        <f t="shared" si="0"/>
        <v>0.15</v>
      </c>
      <c r="G7" s="86" t="s">
        <v>21</v>
      </c>
      <c r="H7" s="87">
        <f>AVERAGEIF($A$2:$A$73, "Plot 60_6",$C$2:$C$73)</f>
        <v>10</v>
      </c>
      <c r="I7" s="87">
        <f>AVERAGEIF($A$2:$A$73, "Plot 60_6",$D$2:$D$73)</f>
        <v>4.5731707317073171</v>
      </c>
      <c r="J7" s="86">
        <v>1</v>
      </c>
      <c r="K7" s="86">
        <f t="shared" si="1"/>
        <v>16</v>
      </c>
      <c r="L7" s="87">
        <f>SUMIF($A$2:$A$73, "Plot 60_6",$E$2:$E$73)</f>
        <v>0.1</v>
      </c>
      <c r="M7" s="87">
        <f t="shared" si="2"/>
        <v>8</v>
      </c>
      <c r="O7" t="s">
        <v>87</v>
      </c>
      <c r="P7" t="s">
        <v>21</v>
      </c>
      <c r="Q7" s="99">
        <f t="shared" si="5"/>
        <v>10</v>
      </c>
      <c r="R7" s="87">
        <f t="shared" si="3"/>
        <v>4.5731707317073171</v>
      </c>
      <c r="S7">
        <f t="shared" si="4"/>
        <v>16</v>
      </c>
      <c r="T7" s="101"/>
      <c r="U7" s="101"/>
      <c r="V7" s="101"/>
    </row>
    <row r="8" spans="1:31">
      <c r="A8" t="s">
        <v>11</v>
      </c>
      <c r="B8" s="44" t="s">
        <v>86</v>
      </c>
      <c r="C8" s="88">
        <v>14</v>
      </c>
      <c r="D8" s="88">
        <v>8.536585365853659</v>
      </c>
      <c r="E8" s="91">
        <f t="shared" si="0"/>
        <v>0.14000000000000001</v>
      </c>
      <c r="G8" s="86" t="s">
        <v>23</v>
      </c>
      <c r="H8" s="87">
        <f>AVERAGEIF($A$2:$A$73, "Plot 61_7",$C$2:$C$73)</f>
        <v>11.6</v>
      </c>
      <c r="I8" s="87">
        <f>AVERAGEIF($A$2:$A$73, "Plot 61_7",$D$2:$D$73)</f>
        <v>5.3658536585365857</v>
      </c>
      <c r="J8" s="86">
        <v>5</v>
      </c>
      <c r="K8" s="86">
        <f t="shared" si="1"/>
        <v>80</v>
      </c>
      <c r="L8" s="87">
        <f>SUMIF($A$2:$A$73, "Plot 61_7",$E$2:$E$73)</f>
        <v>0.57999999999999996</v>
      </c>
      <c r="M8" s="87">
        <f t="shared" si="2"/>
        <v>46.399999999999991</v>
      </c>
      <c r="O8" t="s">
        <v>87</v>
      </c>
      <c r="P8" t="s">
        <v>23</v>
      </c>
      <c r="Q8" s="99">
        <f t="shared" si="5"/>
        <v>11.6</v>
      </c>
      <c r="R8" s="87">
        <f t="shared" si="3"/>
        <v>5.3658536585365857</v>
      </c>
      <c r="S8">
        <f t="shared" si="4"/>
        <v>80</v>
      </c>
      <c r="T8" s="101"/>
      <c r="U8" s="101"/>
      <c r="V8" s="101"/>
    </row>
    <row r="9" spans="1:31">
      <c r="A9" t="s">
        <v>11</v>
      </c>
      <c r="B9" s="44" t="s">
        <v>86</v>
      </c>
      <c r="C9" s="88">
        <v>12</v>
      </c>
      <c r="D9" s="88">
        <v>8.536585365853659</v>
      </c>
      <c r="E9" s="91">
        <f t="shared" si="0"/>
        <v>0.12</v>
      </c>
      <c r="G9" s="86" t="s">
        <v>24</v>
      </c>
      <c r="H9" s="87">
        <f>AVERAGEIF($A$2:$A$73, "Plot 61_8",$C$2:$C$73)</f>
        <v>14.5</v>
      </c>
      <c r="I9" s="87">
        <f>AVERAGEIF($A$2:$A$73, "Plot 61_8",$D$2:$D$73)</f>
        <v>11.432926829268293</v>
      </c>
      <c r="J9" s="86">
        <v>2</v>
      </c>
      <c r="K9" s="86">
        <f t="shared" si="1"/>
        <v>32</v>
      </c>
      <c r="L9" s="87">
        <f>SUMIF($A$2:$A$73, "Plot 61_8",$E$2:$E$73)</f>
        <v>0.29000000000000004</v>
      </c>
      <c r="M9" s="87">
        <f t="shared" si="2"/>
        <v>23.200000000000003</v>
      </c>
      <c r="O9" t="s">
        <v>87</v>
      </c>
      <c r="P9" t="s">
        <v>24</v>
      </c>
      <c r="Q9" s="99">
        <f t="shared" si="5"/>
        <v>14.5</v>
      </c>
      <c r="R9" s="87">
        <f t="shared" si="3"/>
        <v>11.432926829268293</v>
      </c>
      <c r="S9">
        <f t="shared" si="4"/>
        <v>32</v>
      </c>
      <c r="T9" s="101"/>
      <c r="U9" s="101"/>
      <c r="V9" s="101"/>
    </row>
    <row r="10" spans="1:31">
      <c r="A10" t="s">
        <v>11</v>
      </c>
      <c r="B10" s="44" t="s">
        <v>86</v>
      </c>
      <c r="C10" s="88">
        <v>14</v>
      </c>
      <c r="D10" s="88">
        <v>9.1463414634146343</v>
      </c>
      <c r="E10" s="91">
        <f t="shared" si="0"/>
        <v>0.14000000000000001</v>
      </c>
      <c r="G10" s="86" t="s">
        <v>25</v>
      </c>
      <c r="H10" s="87">
        <f>AVERAGEIF($A$2:$A$73, "Plot 64_9",$C$2:$C$73)</f>
        <v>15.333333333333334</v>
      </c>
      <c r="I10" s="87">
        <f>AVERAGEIF($A$2:$A$73, "Plot 64_9",$D$2:$D$73)</f>
        <v>14.786585365853655</v>
      </c>
      <c r="J10" s="86">
        <v>6</v>
      </c>
      <c r="K10" s="86">
        <f t="shared" si="1"/>
        <v>96</v>
      </c>
      <c r="L10" s="87">
        <f>SUMIF($A$2:$A$73, "Plot 64_9",$E$2:$E$73)</f>
        <v>0.91999999999999993</v>
      </c>
      <c r="M10" s="87">
        <f t="shared" si="2"/>
        <v>73.599999999999994</v>
      </c>
      <c r="O10" t="s">
        <v>87</v>
      </c>
      <c r="P10" t="s">
        <v>25</v>
      </c>
      <c r="Q10" s="99">
        <f t="shared" si="5"/>
        <v>15.333333333333334</v>
      </c>
      <c r="R10" s="87">
        <f t="shared" si="3"/>
        <v>14.786585365853655</v>
      </c>
      <c r="S10">
        <f t="shared" si="4"/>
        <v>96</v>
      </c>
      <c r="T10" s="101"/>
      <c r="U10" s="101"/>
      <c r="V10" s="101"/>
    </row>
    <row r="11" spans="1:31">
      <c r="A11" t="s">
        <v>11</v>
      </c>
      <c r="B11" s="44" t="s">
        <v>86</v>
      </c>
      <c r="C11" s="88">
        <v>12</v>
      </c>
      <c r="D11" s="88">
        <v>8.536585365853659</v>
      </c>
      <c r="E11" s="91">
        <f t="shared" si="0"/>
        <v>0.12</v>
      </c>
      <c r="G11" s="86" t="s">
        <v>26</v>
      </c>
      <c r="H11" s="87">
        <f>AVERAGEIF($A$2:$A$73, "Plot 64_10",$C$2:$C$73)</f>
        <v>14</v>
      </c>
      <c r="I11" s="87">
        <f>AVERAGEIF($A$2:$A$73, "Plot 64_10",$D$2:$D$73)</f>
        <v>9.1463414634146343</v>
      </c>
      <c r="J11" s="86">
        <v>1</v>
      </c>
      <c r="K11" s="86">
        <f t="shared" si="1"/>
        <v>16</v>
      </c>
      <c r="L11" s="87">
        <f>SUMIF($A$2:$A$73, "Plot 64_10",$E$2:$E$73)</f>
        <v>0.14000000000000001</v>
      </c>
      <c r="M11" s="87">
        <f t="shared" si="2"/>
        <v>11.200000000000001</v>
      </c>
      <c r="O11" t="s">
        <v>87</v>
      </c>
      <c r="P11" t="s">
        <v>26</v>
      </c>
      <c r="Q11" s="99">
        <f t="shared" si="5"/>
        <v>14</v>
      </c>
      <c r="R11" s="87">
        <f t="shared" si="3"/>
        <v>9.1463414634146343</v>
      </c>
      <c r="S11">
        <f t="shared" si="4"/>
        <v>16</v>
      </c>
      <c r="T11" s="101"/>
      <c r="U11" s="101"/>
      <c r="V11" s="101"/>
    </row>
    <row r="12" spans="1:31">
      <c r="A12" t="s">
        <v>11</v>
      </c>
      <c r="B12" s="44" t="s">
        <v>86</v>
      </c>
      <c r="C12" s="88">
        <v>13</v>
      </c>
      <c r="D12" s="88">
        <v>8.536585365853659</v>
      </c>
      <c r="E12" s="91">
        <f t="shared" si="0"/>
        <v>0.13</v>
      </c>
      <c r="G12" s="86" t="s">
        <v>315</v>
      </c>
      <c r="H12" s="87">
        <f>AVERAGEIF($A$2:$A$73, "Plot 13_1",$C$2:$C$73)</f>
        <v>13.166666666666666</v>
      </c>
      <c r="I12" s="87">
        <f>AVERAGEIF($A$2:$A$73, "Plot 13_1",$D$2:$D$73)</f>
        <v>10.426829268292684</v>
      </c>
      <c r="J12" s="86">
        <v>6</v>
      </c>
      <c r="K12" s="86">
        <f t="shared" si="1"/>
        <v>96</v>
      </c>
      <c r="L12" s="87">
        <f>SUMIF($A$2:$A$73, "Plot 13_1",$E$2:$E$73)</f>
        <v>0.78999999999999992</v>
      </c>
      <c r="M12" s="87">
        <f t="shared" si="2"/>
        <v>63.199999999999989</v>
      </c>
      <c r="Q12" s="100">
        <f>AVERAGE(Q2:Q11)</f>
        <v>11.973333333333333</v>
      </c>
      <c r="R12" s="100">
        <f t="shared" ref="R12:T12" si="6">AVERAGE(R2:R11)</f>
        <v>8.183943089430894</v>
      </c>
      <c r="S12" s="100">
        <f>AVERAGE(S2:S11)</f>
        <v>54.4</v>
      </c>
      <c r="T12" s="100" t="e">
        <f t="shared" si="6"/>
        <v>#DIV/0!</v>
      </c>
      <c r="U12" s="101"/>
      <c r="V12" s="101"/>
    </row>
    <row r="13" spans="1:31">
      <c r="A13" t="s">
        <v>11</v>
      </c>
      <c r="B13" s="44" t="s">
        <v>86</v>
      </c>
      <c r="C13" s="88">
        <v>19</v>
      </c>
      <c r="D13" s="88">
        <v>12.195121951219512</v>
      </c>
      <c r="E13" s="91">
        <f t="shared" si="0"/>
        <v>0.19</v>
      </c>
      <c r="G13" s="86" t="s">
        <v>33</v>
      </c>
      <c r="H13" s="87">
        <f>AVERAGEIF($A$2:$A$73, "Plot 13_2",$C$2:$C$73)</f>
        <v>15.05</v>
      </c>
      <c r="I13" s="87">
        <f>AVERAGEIF($A$2:$A$73, "Plot 13_2",$D$2:$D$73)</f>
        <v>12.728658536585366</v>
      </c>
      <c r="J13" s="86">
        <v>8</v>
      </c>
      <c r="K13" s="86">
        <f t="shared" si="1"/>
        <v>128</v>
      </c>
      <c r="L13" s="87">
        <f>SUMIF($A$2:$A$73, "Plot 13_2",$E$2:$E$73)</f>
        <v>1.2040000000000002</v>
      </c>
      <c r="M13" s="87">
        <f t="shared" si="2"/>
        <v>96.320000000000007</v>
      </c>
      <c r="Q13" s="101">
        <f>STDEV(Q2:Q11)/SQRT(10)</f>
        <v>1.5202485176955629</v>
      </c>
      <c r="R13" s="101">
        <f t="shared" ref="R13:T13" si="7">STDEV(R2:R11)/SQRT(10)</f>
        <v>1.3591476991105289</v>
      </c>
      <c r="S13" s="101">
        <f t="shared" si="7"/>
        <v>22.777766937666797</v>
      </c>
      <c r="T13" s="101" t="e">
        <f t="shared" si="7"/>
        <v>#DIV/0!</v>
      </c>
      <c r="U13" s="101"/>
      <c r="V13" s="101"/>
    </row>
    <row r="14" spans="1:31">
      <c r="A14" t="s">
        <v>11</v>
      </c>
      <c r="B14" s="44" t="s">
        <v>86</v>
      </c>
      <c r="C14" s="88">
        <v>12</v>
      </c>
      <c r="D14" s="88">
        <v>8.536585365853659</v>
      </c>
      <c r="E14" s="91">
        <f t="shared" si="0"/>
        <v>0.12</v>
      </c>
      <c r="G14" s="86" t="s">
        <v>34</v>
      </c>
      <c r="H14" s="87">
        <f>AVERAGEIF($A$2:$A$73, "Plot 13_3",$C$2:$C$73)</f>
        <v>15.100000000000001</v>
      </c>
      <c r="I14" s="87">
        <f>AVERAGEIF($A$2:$A$57, "Plot 13_3",$D$2:$D$58)</f>
        <v>12.372967479674799</v>
      </c>
      <c r="J14" s="86">
        <v>6</v>
      </c>
      <c r="K14" s="86">
        <f t="shared" si="1"/>
        <v>96</v>
      </c>
      <c r="L14" s="87">
        <f>SUMIF($A$2:$A$73, "Plot 13_3",$E$2:$E$73)</f>
        <v>0.90600000000000003</v>
      </c>
      <c r="M14" s="87">
        <f t="shared" si="2"/>
        <v>72.48</v>
      </c>
      <c r="O14" s="102" t="s">
        <v>97</v>
      </c>
      <c r="Q14" s="101"/>
      <c r="R14" s="101"/>
      <c r="U14" s="101"/>
      <c r="V14" s="101"/>
    </row>
    <row r="15" spans="1:31">
      <c r="A15" t="s">
        <v>11</v>
      </c>
      <c r="B15" s="44" t="s">
        <v>86</v>
      </c>
      <c r="C15" s="88">
        <v>10</v>
      </c>
      <c r="D15" s="88">
        <v>8.536585365853659</v>
      </c>
      <c r="E15" s="91">
        <f t="shared" si="0"/>
        <v>0.1</v>
      </c>
      <c r="G15" s="86" t="s">
        <v>35</v>
      </c>
      <c r="H15" s="87">
        <f>AVERAGEIF($A$2:$A$73, "Plot 13_4",$C$2:$C$73)</f>
        <v>14.666666666666666</v>
      </c>
      <c r="I15" s="87">
        <f>AVERAGEIF($A$2:$A$73, "Plot 13_4",$D$2:$D$73)</f>
        <v>11.036585365853659</v>
      </c>
      <c r="J15" s="86">
        <v>3</v>
      </c>
      <c r="K15" s="86">
        <f t="shared" si="1"/>
        <v>48</v>
      </c>
      <c r="L15" s="87">
        <f>SUMIF($A$2:$A$73, "Plot 13_4",$E$2:$E$73)</f>
        <v>0.44000000000000006</v>
      </c>
      <c r="M15" s="87">
        <f t="shared" si="2"/>
        <v>35.200000000000003</v>
      </c>
      <c r="O15" t="s">
        <v>64</v>
      </c>
      <c r="P15" t="s">
        <v>32</v>
      </c>
      <c r="Q15" s="101">
        <f>H12</f>
        <v>13.166666666666666</v>
      </c>
      <c r="R15" s="101">
        <f>I12</f>
        <v>10.426829268292684</v>
      </c>
      <c r="S15">
        <f>K12</f>
        <v>96</v>
      </c>
      <c r="T15" s="206"/>
      <c r="U15" s="101"/>
      <c r="V15" s="101"/>
    </row>
    <row r="16" spans="1:31">
      <c r="A16" t="s">
        <v>11</v>
      </c>
      <c r="B16" s="44" t="s">
        <v>86</v>
      </c>
      <c r="C16" s="88">
        <v>11.5</v>
      </c>
      <c r="D16" s="88">
        <v>9.7560975609756095</v>
      </c>
      <c r="E16" s="91">
        <f t="shared" si="0"/>
        <v>0.115</v>
      </c>
      <c r="G16" s="86" t="s">
        <v>38</v>
      </c>
      <c r="H16" s="87">
        <f>AVERAGEIF($A$2:$A$73, "Plot 18_1",$C$2:$C$73)</f>
        <v>0</v>
      </c>
      <c r="I16" s="87">
        <v>0</v>
      </c>
      <c r="J16" s="86">
        <v>0</v>
      </c>
      <c r="K16" s="86">
        <f t="shared" si="1"/>
        <v>0</v>
      </c>
      <c r="L16" s="87">
        <f>SUMIF($A$2:$A$73, "Plot 18_1",$E$2:$E$73)</f>
        <v>0</v>
      </c>
      <c r="M16" s="87">
        <f t="shared" si="2"/>
        <v>0</v>
      </c>
      <c r="O16" t="s">
        <v>64</v>
      </c>
      <c r="P16" t="s">
        <v>33</v>
      </c>
      <c r="Q16" s="101">
        <f t="shared" ref="Q16:Q18" si="8">H13</f>
        <v>15.05</v>
      </c>
      <c r="R16" s="101">
        <f t="shared" ref="R16:R18" si="9">I13</f>
        <v>12.728658536585366</v>
      </c>
      <c r="S16">
        <f t="shared" ref="S16:S18" si="10">K13</f>
        <v>128</v>
      </c>
      <c r="T16" s="206"/>
      <c r="U16" s="101"/>
      <c r="V16" s="101"/>
    </row>
    <row r="17" spans="1:22">
      <c r="A17" t="s">
        <v>13</v>
      </c>
      <c r="B17" s="9"/>
      <c r="C17" s="89">
        <v>13</v>
      </c>
      <c r="D17" s="89">
        <v>10.060975609756099</v>
      </c>
      <c r="E17" s="91">
        <f t="shared" si="0"/>
        <v>0.13</v>
      </c>
      <c r="G17" s="86" t="s">
        <v>39</v>
      </c>
      <c r="H17" s="87">
        <f>AVERAGEIF($A$2:$A$73, "Plot 19_2",$C$2:$C$73)</f>
        <v>15.6</v>
      </c>
      <c r="I17" s="87">
        <f>AVERAGEIF($A$2:$A$73, "Plot 19_2",$D$2:$D$73)</f>
        <v>10.27439024390244</v>
      </c>
      <c r="J17" s="86">
        <v>10</v>
      </c>
      <c r="K17" s="86">
        <f t="shared" si="1"/>
        <v>160</v>
      </c>
      <c r="L17" s="87">
        <f>SUMIF($A$2:$A$73, "Plot 19_2",$E$2:$E$73)</f>
        <v>1.5599999999999998</v>
      </c>
      <c r="M17" s="87">
        <f t="shared" si="2"/>
        <v>124.79999999999998</v>
      </c>
      <c r="O17" t="s">
        <v>64</v>
      </c>
      <c r="P17" t="s">
        <v>34</v>
      </c>
      <c r="Q17" s="101">
        <f t="shared" si="8"/>
        <v>15.100000000000001</v>
      </c>
      <c r="R17" s="101">
        <f t="shared" si="9"/>
        <v>12.372967479674799</v>
      </c>
      <c r="S17">
        <f t="shared" si="10"/>
        <v>96</v>
      </c>
      <c r="T17" s="206"/>
      <c r="U17" s="101"/>
      <c r="V17" s="101"/>
    </row>
    <row r="18" spans="1:22">
      <c r="A18" t="s">
        <v>15</v>
      </c>
      <c r="B18" s="44" t="s">
        <v>120</v>
      </c>
      <c r="C18" s="90">
        <v>17</v>
      </c>
      <c r="D18" s="90">
        <v>13.719512195121952</v>
      </c>
      <c r="E18" s="91">
        <f t="shared" si="0"/>
        <v>0.17</v>
      </c>
      <c r="G18" s="86" t="s">
        <v>40</v>
      </c>
      <c r="H18" s="87">
        <f>AVERAGEIF($A$2:$A$73, "Plot 20_3",$C$2:$C$73)</f>
        <v>12.3</v>
      </c>
      <c r="I18" s="87">
        <f>AVERAGEIF($A$2:$A$73, "Plot 20_3",$D$2:$D$73)</f>
        <v>10.365853658536587</v>
      </c>
      <c r="J18" s="86">
        <v>1</v>
      </c>
      <c r="K18" s="86">
        <f t="shared" si="1"/>
        <v>16</v>
      </c>
      <c r="L18" s="87">
        <f>SUMIF($A$2:$A$73, "Plot 20_3",$E$2:$E$73)</f>
        <v>0.12300000000000001</v>
      </c>
      <c r="M18" s="87">
        <f t="shared" si="2"/>
        <v>9.84</v>
      </c>
      <c r="O18" t="s">
        <v>64</v>
      </c>
      <c r="P18" t="s">
        <v>35</v>
      </c>
      <c r="Q18" s="101">
        <f t="shared" si="8"/>
        <v>14.666666666666666</v>
      </c>
      <c r="R18" s="101">
        <f t="shared" si="9"/>
        <v>11.036585365853659</v>
      </c>
      <c r="S18">
        <f t="shared" si="10"/>
        <v>48</v>
      </c>
      <c r="T18" s="206"/>
      <c r="U18" s="101"/>
      <c r="V18" s="101"/>
    </row>
    <row r="19" spans="1:22">
      <c r="A19" t="s">
        <v>15</v>
      </c>
      <c r="B19" s="43"/>
      <c r="C19" s="90">
        <v>18</v>
      </c>
      <c r="D19" s="90">
        <v>9.1463414634146343</v>
      </c>
      <c r="E19" s="91">
        <f t="shared" si="0"/>
        <v>0.18</v>
      </c>
      <c r="G19" s="86" t="s">
        <v>42</v>
      </c>
      <c r="H19" s="87">
        <f>AVERAGEIF($A$2:$A$73, "Plot 14_4",$C$2:$C$73)</f>
        <v>14.3</v>
      </c>
      <c r="I19" s="87">
        <f>AVERAGEIF($A$2:$A$73, "Plot 14_4",$D$2:$D$73)</f>
        <v>8.2317073170731714</v>
      </c>
      <c r="J19" s="86">
        <v>1</v>
      </c>
      <c r="K19" s="86">
        <f t="shared" si="1"/>
        <v>16</v>
      </c>
      <c r="L19" s="87">
        <f>SUMIF($A$2:$A$73, "Plot 14_4",$E$2:$E$73)</f>
        <v>0.14300000000000002</v>
      </c>
      <c r="M19" s="87">
        <f t="shared" si="2"/>
        <v>11.440000000000001</v>
      </c>
      <c r="Q19" s="100">
        <f>AVERAGE(Q15:Q18)</f>
        <v>14.495833333333334</v>
      </c>
      <c r="R19" s="100">
        <f>AVERAGE(R15:R18)</f>
        <v>11.641260162601627</v>
      </c>
      <c r="S19" s="100">
        <f>AVERAGE(S15:S18)</f>
        <v>92</v>
      </c>
      <c r="T19" s="100" t="e">
        <f t="shared" ref="T19" si="11">AVERAGE(T15:T18)</f>
        <v>#DIV/0!</v>
      </c>
      <c r="U19" s="101"/>
      <c r="V19" s="101"/>
    </row>
    <row r="20" spans="1:22">
      <c r="A20" t="s">
        <v>316</v>
      </c>
      <c r="B20" s="9">
        <v>0</v>
      </c>
      <c r="C20" s="89">
        <v>0</v>
      </c>
      <c r="D20" s="89">
        <v>0</v>
      </c>
      <c r="E20" s="91">
        <f t="shared" si="0"/>
        <v>0</v>
      </c>
      <c r="G20" s="86" t="s">
        <v>43</v>
      </c>
      <c r="H20" s="87">
        <f>AVERAGEIF($A$2:$A$73, "Plot 12_5",$C$2:$C$73)</f>
        <v>12.5</v>
      </c>
      <c r="I20" s="87">
        <f>AVERAGEIF($A$2:$A$73, "Plot 12_5",$D$2:$D$73)</f>
        <v>3.8109756097560976</v>
      </c>
      <c r="J20" s="86">
        <v>1</v>
      </c>
      <c r="K20" s="86">
        <f t="shared" si="1"/>
        <v>16</v>
      </c>
      <c r="L20" s="87">
        <f>SUMIF($A$2:$A$73, "Plot 12_5",$E$2:$E$73)</f>
        <v>0.125</v>
      </c>
      <c r="M20" s="87">
        <f t="shared" si="2"/>
        <v>10</v>
      </c>
      <c r="Q20" s="101">
        <f>STDEV(Q15:Q19)/SQRT(4)</f>
        <v>0.39274563262300533</v>
      </c>
      <c r="R20" s="101">
        <f t="shared" ref="R20:T20" si="12">STDEV(R15:R19)/SQRT(4)</f>
        <v>0.47158673834162751</v>
      </c>
      <c r="S20" s="101">
        <f t="shared" si="12"/>
        <v>14.282856857085701</v>
      </c>
      <c r="T20" s="101" t="e">
        <f t="shared" si="12"/>
        <v>#DIV/0!</v>
      </c>
      <c r="U20" s="101"/>
      <c r="V20" s="101"/>
    </row>
    <row r="21" spans="1:22">
      <c r="A21" t="s">
        <v>19</v>
      </c>
      <c r="B21" s="20"/>
      <c r="C21" s="89">
        <v>10</v>
      </c>
      <c r="D21" s="89">
        <v>5.4878048780487809</v>
      </c>
      <c r="E21" s="91">
        <f t="shared" si="0"/>
        <v>0.1</v>
      </c>
      <c r="O21" s="102" t="s">
        <v>99</v>
      </c>
      <c r="Q21" s="101"/>
      <c r="R21" s="101"/>
      <c r="U21" s="101"/>
      <c r="V21" s="101"/>
    </row>
    <row r="22" spans="1:22">
      <c r="A22" t="s">
        <v>21</v>
      </c>
      <c r="B22" s="43" t="s">
        <v>93</v>
      </c>
      <c r="C22" s="88">
        <v>10</v>
      </c>
      <c r="D22" s="88">
        <v>4.5731707317073171</v>
      </c>
      <c r="E22" s="91">
        <f t="shared" si="0"/>
        <v>0.1</v>
      </c>
      <c r="O22" t="s">
        <v>91</v>
      </c>
      <c r="P22" t="s">
        <v>38</v>
      </c>
      <c r="Q22" s="101">
        <f>H16</f>
        <v>0</v>
      </c>
      <c r="R22" s="101">
        <f t="shared" ref="R22" si="13">I16</f>
        <v>0</v>
      </c>
      <c r="S22" s="101">
        <f>K16</f>
        <v>0</v>
      </c>
      <c r="T22" s="206"/>
      <c r="U22" s="101"/>
      <c r="V22" s="101"/>
    </row>
    <row r="23" spans="1:22">
      <c r="A23" t="s">
        <v>23</v>
      </c>
      <c r="B23" s="43"/>
      <c r="C23" s="90">
        <v>13</v>
      </c>
      <c r="D23" s="90">
        <v>6.0975609756097562</v>
      </c>
      <c r="E23" s="91">
        <f t="shared" si="0"/>
        <v>0.13</v>
      </c>
      <c r="O23" t="s">
        <v>91</v>
      </c>
      <c r="P23" t="s">
        <v>39</v>
      </c>
      <c r="Q23" s="101">
        <f t="shared" ref="Q23:Q26" si="14">H17</f>
        <v>15.6</v>
      </c>
      <c r="R23" s="101">
        <f t="shared" ref="R23:R26" si="15">I17</f>
        <v>10.27439024390244</v>
      </c>
      <c r="S23" s="101">
        <f t="shared" ref="S23:S26" si="16">K17</f>
        <v>160</v>
      </c>
      <c r="T23" s="206"/>
      <c r="U23" s="101"/>
      <c r="V23" s="101"/>
    </row>
    <row r="24" spans="1:22">
      <c r="A24" t="s">
        <v>23</v>
      </c>
      <c r="B24" s="44" t="s">
        <v>86</v>
      </c>
      <c r="C24" s="90">
        <v>10</v>
      </c>
      <c r="D24" s="90">
        <v>4.5731707317073171</v>
      </c>
      <c r="E24" s="91">
        <f t="shared" si="0"/>
        <v>0.1</v>
      </c>
      <c r="O24" t="s">
        <v>91</v>
      </c>
      <c r="P24" t="s">
        <v>40</v>
      </c>
      <c r="Q24" s="101">
        <f t="shared" si="14"/>
        <v>12.3</v>
      </c>
      <c r="R24" s="101">
        <f t="shared" si="15"/>
        <v>10.365853658536587</v>
      </c>
      <c r="S24" s="101">
        <f t="shared" si="16"/>
        <v>16</v>
      </c>
      <c r="T24" s="206"/>
      <c r="U24" s="101"/>
      <c r="V24" s="101"/>
    </row>
    <row r="25" spans="1:22">
      <c r="A25" t="s">
        <v>23</v>
      </c>
      <c r="B25" s="44" t="s">
        <v>86</v>
      </c>
      <c r="C25" s="90">
        <v>10</v>
      </c>
      <c r="D25" s="90">
        <v>4.2682926829268295</v>
      </c>
      <c r="E25" s="91">
        <f t="shared" si="0"/>
        <v>0.1</v>
      </c>
      <c r="O25" t="s">
        <v>91</v>
      </c>
      <c r="P25" t="s">
        <v>42</v>
      </c>
      <c r="Q25" s="101">
        <f t="shared" si="14"/>
        <v>14.3</v>
      </c>
      <c r="R25" s="101">
        <f t="shared" si="15"/>
        <v>8.2317073170731714</v>
      </c>
      <c r="S25" s="101">
        <f t="shared" si="16"/>
        <v>16</v>
      </c>
      <c r="T25" s="206"/>
      <c r="U25" s="101"/>
      <c r="V25" s="101"/>
    </row>
    <row r="26" spans="1:22">
      <c r="A26" t="s">
        <v>23</v>
      </c>
      <c r="B26" s="44" t="s">
        <v>86</v>
      </c>
      <c r="C26" s="90">
        <v>15</v>
      </c>
      <c r="D26" s="90">
        <v>6.4024390243902447</v>
      </c>
      <c r="E26" s="91">
        <f t="shared" si="0"/>
        <v>0.15</v>
      </c>
      <c r="O26" t="s">
        <v>91</v>
      </c>
      <c r="P26" t="s">
        <v>43</v>
      </c>
      <c r="Q26" s="101">
        <f t="shared" si="14"/>
        <v>12.5</v>
      </c>
      <c r="R26" s="101">
        <f t="shared" si="15"/>
        <v>3.8109756097560976</v>
      </c>
      <c r="S26" s="101">
        <f t="shared" si="16"/>
        <v>16</v>
      </c>
      <c r="T26" s="206"/>
      <c r="U26" s="101"/>
      <c r="V26" s="101"/>
    </row>
    <row r="27" spans="1:22">
      <c r="A27" t="s">
        <v>23</v>
      </c>
      <c r="B27" s="44" t="s">
        <v>86</v>
      </c>
      <c r="C27" s="90">
        <v>10</v>
      </c>
      <c r="D27" s="90">
        <v>5.4878048780487809</v>
      </c>
      <c r="E27" s="91">
        <f t="shared" si="0"/>
        <v>0.1</v>
      </c>
      <c r="Q27" s="100">
        <f>AVERAGE(Q22:Q26)</f>
        <v>10.940000000000001</v>
      </c>
      <c r="R27" s="100">
        <f>AVERAGE(R22:R26)</f>
        <v>6.536585365853659</v>
      </c>
      <c r="S27" s="100">
        <f t="shared" ref="S27:T27" si="17">AVERAGE(S22:S26)</f>
        <v>41.6</v>
      </c>
      <c r="T27" s="100" t="e">
        <f t="shared" si="17"/>
        <v>#DIV/0!</v>
      </c>
    </row>
    <row r="28" spans="1:22">
      <c r="A28" t="s">
        <v>24</v>
      </c>
      <c r="B28" s="43" t="s">
        <v>93</v>
      </c>
      <c r="C28" s="90">
        <v>17</v>
      </c>
      <c r="D28" s="90">
        <v>11.890243902439025</v>
      </c>
      <c r="E28" s="91">
        <f t="shared" si="0"/>
        <v>0.17</v>
      </c>
      <c r="Q28" s="101">
        <f>STDEV(Q22:Q26)/SQRT(5)</f>
        <v>2.8015352933704047</v>
      </c>
      <c r="R28" s="101">
        <f t="shared" ref="R28:T28" si="18">STDEV(R22:R26)/SQRT(5)</f>
        <v>2.0206906762397443</v>
      </c>
      <c r="S28" s="101">
        <f>STDEV(S22:S26)/SQRT(5)</f>
        <v>29.761720380381238</v>
      </c>
      <c r="T28" s="101" t="e">
        <f t="shared" si="18"/>
        <v>#DIV/0!</v>
      </c>
    </row>
    <row r="29" spans="1:22">
      <c r="A29" t="s">
        <v>24</v>
      </c>
      <c r="B29" s="43"/>
      <c r="C29" s="90">
        <v>12</v>
      </c>
      <c r="D29" s="90">
        <v>10.975609756097562</v>
      </c>
      <c r="E29" s="91">
        <f t="shared" si="0"/>
        <v>0.12</v>
      </c>
    </row>
    <row r="30" spans="1:22">
      <c r="A30" t="s">
        <v>25</v>
      </c>
      <c r="B30" s="44" t="s">
        <v>118</v>
      </c>
      <c r="C30" s="90">
        <v>17</v>
      </c>
      <c r="D30" s="90">
        <v>18.902439024390244</v>
      </c>
      <c r="E30" s="91">
        <f t="shared" si="0"/>
        <v>0.17</v>
      </c>
    </row>
    <row r="31" spans="1:22" ht="30">
      <c r="A31" t="s">
        <v>25</v>
      </c>
      <c r="B31" s="43"/>
      <c r="C31" s="90">
        <v>18</v>
      </c>
      <c r="D31" s="90">
        <v>18.292682926829269</v>
      </c>
      <c r="E31" s="91">
        <f t="shared" si="0"/>
        <v>0.18</v>
      </c>
      <c r="P31" s="113" t="s">
        <v>792</v>
      </c>
    </row>
    <row r="32" spans="1:22">
      <c r="A32" t="s">
        <v>25</v>
      </c>
      <c r="B32" s="43"/>
      <c r="C32" s="90">
        <v>12</v>
      </c>
      <c r="D32" s="90">
        <v>11.585365853658537</v>
      </c>
      <c r="E32" s="91">
        <f t="shared" si="0"/>
        <v>0.12</v>
      </c>
      <c r="O32" t="s">
        <v>87</v>
      </c>
      <c r="P32" s="101">
        <f>S12</f>
        <v>54.4</v>
      </c>
      <c r="Q32" s="101">
        <f>S13</f>
        <v>22.777766937666797</v>
      </c>
    </row>
    <row r="33" spans="1:17">
      <c r="A33" t="s">
        <v>25</v>
      </c>
      <c r="B33" s="44" t="s">
        <v>118</v>
      </c>
      <c r="C33" s="90">
        <v>18</v>
      </c>
      <c r="D33" s="90">
        <v>19.207317073170731</v>
      </c>
      <c r="E33" s="91">
        <f t="shared" si="0"/>
        <v>0.18</v>
      </c>
      <c r="O33" t="s">
        <v>791</v>
      </c>
      <c r="P33" s="101">
        <f>S19</f>
        <v>92</v>
      </c>
      <c r="Q33" s="101">
        <f>S20</f>
        <v>14.282856857085701</v>
      </c>
    </row>
    <row r="34" spans="1:17">
      <c r="A34" t="s">
        <v>25</v>
      </c>
      <c r="B34" s="44" t="s">
        <v>119</v>
      </c>
      <c r="C34" s="90">
        <v>13</v>
      </c>
      <c r="D34" s="90">
        <v>11.585365853658537</v>
      </c>
      <c r="E34" s="91">
        <f t="shared" si="0"/>
        <v>0.13</v>
      </c>
      <c r="O34" t="s">
        <v>91</v>
      </c>
      <c r="P34" s="101">
        <f>S27</f>
        <v>41.6</v>
      </c>
      <c r="Q34" s="101">
        <f>S28</f>
        <v>29.761720380381238</v>
      </c>
    </row>
    <row r="35" spans="1:17">
      <c r="A35" t="s">
        <v>25</v>
      </c>
      <c r="B35" s="44" t="s">
        <v>96</v>
      </c>
      <c r="C35" s="90">
        <v>14</v>
      </c>
      <c r="D35" s="90">
        <v>9.1463414634146343</v>
      </c>
      <c r="E35" s="91">
        <f t="shared" si="0"/>
        <v>0.14000000000000001</v>
      </c>
    </row>
    <row r="36" spans="1:17">
      <c r="A36" t="s">
        <v>26</v>
      </c>
      <c r="B36" s="9"/>
      <c r="C36" s="89">
        <v>14</v>
      </c>
      <c r="D36" s="89">
        <v>9.1463414634146343</v>
      </c>
      <c r="E36" s="91">
        <f t="shared" si="0"/>
        <v>0.14000000000000001</v>
      </c>
    </row>
    <row r="37" spans="1:17">
      <c r="A37" t="s">
        <v>32</v>
      </c>
      <c r="B37" s="82" t="s">
        <v>88</v>
      </c>
      <c r="C37" s="89">
        <v>12.1</v>
      </c>
      <c r="D37" s="89">
        <v>10.060975609756099</v>
      </c>
      <c r="E37" s="91">
        <f t="shared" si="0"/>
        <v>0.121</v>
      </c>
    </row>
    <row r="38" spans="1:17">
      <c r="A38" t="s">
        <v>32</v>
      </c>
      <c r="B38" s="82" t="s">
        <v>88</v>
      </c>
      <c r="C38" s="89">
        <v>11.7</v>
      </c>
      <c r="D38" s="89">
        <v>9.7560975609756095</v>
      </c>
      <c r="E38" s="91">
        <f t="shared" si="0"/>
        <v>0.11699999999999999</v>
      </c>
    </row>
    <row r="39" spans="1:17">
      <c r="A39" t="s">
        <v>32</v>
      </c>
      <c r="B39" s="82" t="s">
        <v>88</v>
      </c>
      <c r="C39" s="89">
        <v>11.5</v>
      </c>
      <c r="D39" s="89">
        <v>7.6219512195121952</v>
      </c>
      <c r="E39" s="91">
        <f t="shared" si="0"/>
        <v>0.115</v>
      </c>
    </row>
    <row r="40" spans="1:17">
      <c r="A40" t="s">
        <v>32</v>
      </c>
      <c r="B40" s="82" t="s">
        <v>125</v>
      </c>
      <c r="C40" s="89">
        <v>12.8</v>
      </c>
      <c r="D40" s="89">
        <v>10.884146341463417</v>
      </c>
      <c r="E40" s="91">
        <f t="shared" si="0"/>
        <v>0.128</v>
      </c>
    </row>
    <row r="41" spans="1:17">
      <c r="A41" t="s">
        <v>32</v>
      </c>
      <c r="B41" s="82" t="s">
        <v>88</v>
      </c>
      <c r="C41" s="89">
        <v>11.2</v>
      </c>
      <c r="D41" s="89">
        <v>11.737804878048781</v>
      </c>
      <c r="E41" s="91">
        <f t="shared" si="0"/>
        <v>0.11199999999999999</v>
      </c>
    </row>
    <row r="42" spans="1:17">
      <c r="A42" t="s">
        <v>32</v>
      </c>
      <c r="B42" s="82" t="s">
        <v>125</v>
      </c>
      <c r="C42" s="89">
        <v>19.7</v>
      </c>
      <c r="D42" s="89">
        <v>12.5</v>
      </c>
      <c r="E42" s="91">
        <f t="shared" si="0"/>
        <v>0.19699999999999998</v>
      </c>
    </row>
    <row r="43" spans="1:17">
      <c r="A43" t="s">
        <v>33</v>
      </c>
      <c r="B43" s="20"/>
      <c r="C43" s="89">
        <v>15.5</v>
      </c>
      <c r="D43" s="89">
        <v>11.890243902439025</v>
      </c>
      <c r="E43" s="91">
        <f t="shared" si="0"/>
        <v>0.155</v>
      </c>
    </row>
    <row r="44" spans="1:17">
      <c r="A44" t="s">
        <v>33</v>
      </c>
      <c r="B44" s="20"/>
      <c r="C44" s="89">
        <v>16.8</v>
      </c>
      <c r="D44" s="89">
        <v>12.804878048780489</v>
      </c>
      <c r="E44" s="91">
        <f t="shared" si="0"/>
        <v>0.16800000000000001</v>
      </c>
    </row>
    <row r="45" spans="1:17">
      <c r="A45" t="s">
        <v>33</v>
      </c>
      <c r="B45" s="20"/>
      <c r="C45" s="89">
        <v>13.4</v>
      </c>
      <c r="D45" s="89">
        <v>15.853658536585368</v>
      </c>
      <c r="E45" s="91">
        <f t="shared" si="0"/>
        <v>0.13400000000000001</v>
      </c>
    </row>
    <row r="46" spans="1:17">
      <c r="A46" t="s">
        <v>33</v>
      </c>
      <c r="B46" s="20"/>
      <c r="C46" s="89">
        <v>19.8</v>
      </c>
      <c r="D46" s="89">
        <v>16.158536585365855</v>
      </c>
      <c r="E46" s="91">
        <f t="shared" si="0"/>
        <v>0.19800000000000001</v>
      </c>
    </row>
    <row r="47" spans="1:17">
      <c r="A47" t="s">
        <v>33</v>
      </c>
      <c r="B47" s="20"/>
      <c r="C47" s="89">
        <v>19</v>
      </c>
      <c r="D47" s="89">
        <v>15.548780487804878</v>
      </c>
      <c r="E47" s="91">
        <f t="shared" si="0"/>
        <v>0.19</v>
      </c>
    </row>
    <row r="48" spans="1:17">
      <c r="A48" t="s">
        <v>33</v>
      </c>
      <c r="B48" s="20"/>
      <c r="C48" s="89">
        <v>13.9</v>
      </c>
      <c r="D48" s="89">
        <v>10.670731707317074</v>
      </c>
      <c r="E48" s="91">
        <f t="shared" si="0"/>
        <v>0.13900000000000001</v>
      </c>
    </row>
    <row r="49" spans="1:5">
      <c r="A49" t="s">
        <v>33</v>
      </c>
      <c r="B49" s="20"/>
      <c r="C49" s="89">
        <v>12</v>
      </c>
      <c r="D49" s="89">
        <v>11.280487804878049</v>
      </c>
      <c r="E49" s="91">
        <f t="shared" si="0"/>
        <v>0.12</v>
      </c>
    </row>
    <row r="50" spans="1:5">
      <c r="A50" t="s">
        <v>33</v>
      </c>
      <c r="B50" s="20"/>
      <c r="C50" s="89">
        <v>10</v>
      </c>
      <c r="D50" s="89">
        <v>7.6219512195121952</v>
      </c>
      <c r="E50" s="91">
        <f t="shared" si="0"/>
        <v>0.1</v>
      </c>
    </row>
    <row r="51" spans="1:5">
      <c r="A51" t="s">
        <v>34</v>
      </c>
      <c r="B51" s="20"/>
      <c r="C51" s="89">
        <v>19.5</v>
      </c>
      <c r="D51" s="89">
        <v>10.27439024390244</v>
      </c>
      <c r="E51" s="91">
        <f t="shared" si="0"/>
        <v>0.19500000000000001</v>
      </c>
    </row>
    <row r="52" spans="1:5">
      <c r="A52" t="s">
        <v>34</v>
      </c>
      <c r="B52" s="20"/>
      <c r="C52" s="89">
        <v>16.2</v>
      </c>
      <c r="D52" s="89">
        <v>15.182926829268293</v>
      </c>
      <c r="E52" s="91">
        <f t="shared" si="0"/>
        <v>0.16200000000000001</v>
      </c>
    </row>
    <row r="53" spans="1:5">
      <c r="A53" t="s">
        <v>34</v>
      </c>
      <c r="B53" s="20"/>
      <c r="C53" s="89">
        <v>14.3</v>
      </c>
      <c r="D53" s="89">
        <v>11.737804878048781</v>
      </c>
      <c r="E53" s="91">
        <f t="shared" si="0"/>
        <v>0.14300000000000002</v>
      </c>
    </row>
    <row r="54" spans="1:5">
      <c r="A54" t="s">
        <v>34</v>
      </c>
      <c r="B54" s="20"/>
      <c r="C54" s="89">
        <v>12.8</v>
      </c>
      <c r="D54" s="89">
        <v>13.841463414634147</v>
      </c>
      <c r="E54" s="91">
        <f t="shared" si="0"/>
        <v>0.128</v>
      </c>
    </row>
    <row r="55" spans="1:5">
      <c r="A55" t="s">
        <v>34</v>
      </c>
      <c r="B55" s="20"/>
      <c r="C55" s="89">
        <v>17.100000000000001</v>
      </c>
      <c r="D55" s="89">
        <v>14.329268292682928</v>
      </c>
      <c r="E55" s="91">
        <f t="shared" si="0"/>
        <v>0.17100000000000001</v>
      </c>
    </row>
    <row r="56" spans="1:5">
      <c r="A56" t="s">
        <v>34</v>
      </c>
      <c r="B56" s="20"/>
      <c r="C56" s="89">
        <v>10.7</v>
      </c>
      <c r="D56" s="89">
        <v>8.8719512195121961</v>
      </c>
      <c r="E56" s="91">
        <f t="shared" si="0"/>
        <v>0.107</v>
      </c>
    </row>
    <row r="57" spans="1:5">
      <c r="A57" t="s">
        <v>35</v>
      </c>
      <c r="B57" s="20"/>
      <c r="C57" s="89">
        <v>16.8</v>
      </c>
      <c r="D57" s="89">
        <v>12.042682926829269</v>
      </c>
      <c r="E57" s="91">
        <f t="shared" si="0"/>
        <v>0.16800000000000001</v>
      </c>
    </row>
    <row r="58" spans="1:5">
      <c r="A58" t="s">
        <v>35</v>
      </c>
      <c r="B58" s="20"/>
      <c r="C58" s="89">
        <v>13.8</v>
      </c>
      <c r="D58" s="89">
        <v>10.365853658536587</v>
      </c>
      <c r="E58" s="91">
        <f t="shared" si="0"/>
        <v>0.13800000000000001</v>
      </c>
    </row>
    <row r="59" spans="1:5">
      <c r="A59" t="s">
        <v>35</v>
      </c>
      <c r="B59" s="20"/>
      <c r="C59" s="89">
        <v>13.4</v>
      </c>
      <c r="D59" s="89">
        <v>10.701219512195124</v>
      </c>
      <c r="E59" s="91">
        <f t="shared" si="0"/>
        <v>0.13400000000000001</v>
      </c>
    </row>
    <row r="60" spans="1:5">
      <c r="A60" t="s">
        <v>38</v>
      </c>
      <c r="B60" s="79">
        <v>0</v>
      </c>
      <c r="C60" s="88">
        <v>0</v>
      </c>
      <c r="D60" s="88">
        <v>0</v>
      </c>
      <c r="E60" s="91">
        <f t="shared" si="0"/>
        <v>0</v>
      </c>
    </row>
    <row r="61" spans="1:5">
      <c r="A61" t="s">
        <v>39</v>
      </c>
      <c r="B61" s="9">
        <v>13</v>
      </c>
      <c r="C61" s="89">
        <v>13</v>
      </c>
      <c r="D61" s="89">
        <v>9.1463414634146343</v>
      </c>
      <c r="E61" s="91">
        <f t="shared" si="0"/>
        <v>0.13</v>
      </c>
    </row>
    <row r="62" spans="1:5">
      <c r="A62" t="s">
        <v>39</v>
      </c>
      <c r="B62" s="9">
        <v>15</v>
      </c>
      <c r="C62" s="89">
        <v>15</v>
      </c>
      <c r="D62" s="89">
        <v>7.9268292682926838</v>
      </c>
      <c r="E62" s="91">
        <f t="shared" si="0"/>
        <v>0.15</v>
      </c>
    </row>
    <row r="63" spans="1:5">
      <c r="A63" t="s">
        <v>39</v>
      </c>
      <c r="B63" s="9">
        <v>13</v>
      </c>
      <c r="C63" s="89">
        <v>13</v>
      </c>
      <c r="D63" s="89">
        <v>8.2317073170731714</v>
      </c>
      <c r="E63" s="91">
        <f t="shared" si="0"/>
        <v>0.13</v>
      </c>
    </row>
    <row r="64" spans="1:5">
      <c r="A64" t="s">
        <v>39</v>
      </c>
      <c r="B64" s="9">
        <v>19</v>
      </c>
      <c r="C64" s="89">
        <v>19</v>
      </c>
      <c r="D64" s="89">
        <v>10.060975609756099</v>
      </c>
      <c r="E64" s="91">
        <f t="shared" si="0"/>
        <v>0.19</v>
      </c>
    </row>
    <row r="65" spans="1:5">
      <c r="A65" t="s">
        <v>39</v>
      </c>
      <c r="B65" s="9">
        <v>18</v>
      </c>
      <c r="C65" s="89">
        <v>18</v>
      </c>
      <c r="D65" s="89">
        <v>10.975609756097562</v>
      </c>
      <c r="E65" s="91">
        <f t="shared" si="0"/>
        <v>0.18</v>
      </c>
    </row>
    <row r="66" spans="1:5">
      <c r="A66" t="s">
        <v>39</v>
      </c>
      <c r="B66" s="9">
        <v>13</v>
      </c>
      <c r="C66" s="89">
        <v>13</v>
      </c>
      <c r="D66" s="89">
        <v>9.4512195121951219</v>
      </c>
      <c r="E66" s="91">
        <f t="shared" ref="E66:E73" si="19">C66/100</f>
        <v>0.13</v>
      </c>
    </row>
    <row r="67" spans="1:5">
      <c r="A67" t="s">
        <v>39</v>
      </c>
      <c r="B67" s="9">
        <v>15</v>
      </c>
      <c r="C67" s="89">
        <v>15</v>
      </c>
      <c r="D67" s="89">
        <v>7.9268292682926838</v>
      </c>
      <c r="E67" s="91">
        <f t="shared" si="19"/>
        <v>0.15</v>
      </c>
    </row>
    <row r="68" spans="1:5">
      <c r="A68" t="s">
        <v>39</v>
      </c>
      <c r="B68" s="9">
        <v>18</v>
      </c>
      <c r="C68" s="89">
        <v>18</v>
      </c>
      <c r="D68" s="89">
        <v>15.24390243902439</v>
      </c>
      <c r="E68" s="91">
        <f t="shared" si="19"/>
        <v>0.18</v>
      </c>
    </row>
    <row r="69" spans="1:5">
      <c r="A69" t="s">
        <v>39</v>
      </c>
      <c r="B69" s="9">
        <v>16</v>
      </c>
      <c r="C69" s="89">
        <v>16</v>
      </c>
      <c r="D69" s="89">
        <v>7.6219512195121952</v>
      </c>
      <c r="E69" s="91">
        <f t="shared" si="19"/>
        <v>0.16</v>
      </c>
    </row>
    <row r="70" spans="1:5">
      <c r="A70" t="s">
        <v>39</v>
      </c>
      <c r="B70" s="9">
        <v>16</v>
      </c>
      <c r="C70" s="89">
        <v>16</v>
      </c>
      <c r="D70" s="89">
        <v>16.158536585365855</v>
      </c>
      <c r="E70" s="91">
        <f t="shared" si="19"/>
        <v>0.16</v>
      </c>
    </row>
    <row r="71" spans="1:5">
      <c r="A71" t="s">
        <v>40</v>
      </c>
      <c r="B71" s="9"/>
      <c r="C71" s="89">
        <v>12.3</v>
      </c>
      <c r="D71" s="89">
        <f>34/3.28</f>
        <v>10.365853658536587</v>
      </c>
      <c r="E71" s="91">
        <f t="shared" si="19"/>
        <v>0.12300000000000001</v>
      </c>
    </row>
    <row r="72" spans="1:5">
      <c r="A72" t="s">
        <v>42</v>
      </c>
      <c r="B72" s="9"/>
      <c r="C72" s="89">
        <v>14.3</v>
      </c>
      <c r="D72" s="89">
        <v>8.2317073170731714</v>
      </c>
      <c r="E72" s="91">
        <f t="shared" si="19"/>
        <v>0.14300000000000002</v>
      </c>
    </row>
    <row r="73" spans="1:5">
      <c r="A73" t="s">
        <v>43</v>
      </c>
      <c r="B73" s="9"/>
      <c r="C73" s="89">
        <v>12.5</v>
      </c>
      <c r="D73" s="89">
        <v>3.8109756097560976</v>
      </c>
      <c r="E73" s="91">
        <f t="shared" si="19"/>
        <v>0.125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36"/>
  <sheetViews>
    <sheetView workbookViewId="0">
      <selection activeCell="F2" sqref="F2:J4"/>
    </sheetView>
  </sheetViews>
  <sheetFormatPr defaultRowHeight="15"/>
  <cols>
    <col min="2" max="2" width="24.140625" bestFit="1" customWidth="1"/>
    <col min="3" max="3" width="24.140625" style="131" bestFit="1" customWidth="1"/>
    <col min="4" max="4" width="20.85546875" bestFit="1" customWidth="1"/>
    <col min="6" max="6" width="14.28515625" bestFit="1" customWidth="1"/>
    <col min="7" max="7" width="24.140625" bestFit="1" customWidth="1"/>
    <col min="8" max="8" width="24.140625" customWidth="1"/>
    <col min="9" max="9" width="27.5703125" bestFit="1" customWidth="1"/>
    <col min="10" max="10" width="26.85546875" bestFit="1" customWidth="1"/>
    <col min="11" max="11" width="16.28515625" customWidth="1"/>
    <col min="12" max="12" width="9" bestFit="1" customWidth="1"/>
    <col min="13" max="13" width="21.5703125" bestFit="1" customWidth="1"/>
    <col min="14" max="14" width="23.5703125" bestFit="1" customWidth="1"/>
    <col min="18" max="18" width="26.85546875" bestFit="1" customWidth="1"/>
    <col min="19" max="19" width="28" bestFit="1" customWidth="1"/>
  </cols>
  <sheetData>
    <row r="1" spans="1:20">
      <c r="A1" s="136" t="s">
        <v>65</v>
      </c>
      <c r="B1" s="136" t="s">
        <v>127</v>
      </c>
      <c r="C1" s="137" t="s">
        <v>66</v>
      </c>
      <c r="D1" s="145" t="s">
        <v>67</v>
      </c>
      <c r="F1" s="111" t="s">
        <v>317</v>
      </c>
      <c r="G1" s="112" t="s">
        <v>87</v>
      </c>
      <c r="H1" s="112" t="s">
        <v>318</v>
      </c>
      <c r="I1" s="112" t="s">
        <v>64</v>
      </c>
      <c r="J1" s="112" t="s">
        <v>91</v>
      </c>
      <c r="L1" s="107" t="s">
        <v>65</v>
      </c>
      <c r="M1" s="107" t="s">
        <v>319</v>
      </c>
      <c r="N1" s="107" t="s">
        <v>66</v>
      </c>
      <c r="O1" s="107" t="s">
        <v>67</v>
      </c>
      <c r="Q1" s="109" t="s">
        <v>65</v>
      </c>
      <c r="R1" s="109" t="s">
        <v>320</v>
      </c>
      <c r="S1" s="109" t="s">
        <v>66</v>
      </c>
      <c r="T1" s="109" t="s">
        <v>67</v>
      </c>
    </row>
    <row r="2" spans="1:20">
      <c r="A2" s="138" t="s">
        <v>11</v>
      </c>
      <c r="B2" s="139" t="s">
        <v>87</v>
      </c>
      <c r="C2" s="140" t="s">
        <v>86</v>
      </c>
      <c r="D2" s="143">
        <v>18</v>
      </c>
      <c r="F2" s="106" t="s">
        <v>212</v>
      </c>
      <c r="G2">
        <v>7</v>
      </c>
      <c r="H2">
        <f>G2+J2</f>
        <v>7</v>
      </c>
      <c r="I2">
        <v>1</v>
      </c>
      <c r="J2">
        <v>0</v>
      </c>
      <c r="L2" s="108" t="s">
        <v>32</v>
      </c>
      <c r="M2" s="108" t="s">
        <v>313</v>
      </c>
      <c r="N2" s="46" t="s">
        <v>88</v>
      </c>
      <c r="O2" s="47">
        <v>12.1</v>
      </c>
      <c r="Q2" s="110" t="s">
        <v>38</v>
      </c>
      <c r="R2" s="110" t="s">
        <v>91</v>
      </c>
      <c r="S2" s="8">
        <v>0</v>
      </c>
      <c r="T2" s="134">
        <v>0</v>
      </c>
    </row>
    <row r="3" spans="1:20">
      <c r="A3" s="138" t="s">
        <v>11</v>
      </c>
      <c r="B3" s="139" t="s">
        <v>87</v>
      </c>
      <c r="C3" s="140" t="s">
        <v>86</v>
      </c>
      <c r="D3" s="143">
        <v>16</v>
      </c>
      <c r="F3" s="106" t="s">
        <v>213</v>
      </c>
      <c r="G3">
        <v>19</v>
      </c>
      <c r="H3">
        <f t="shared" ref="H3:H4" si="0">G3+J3</f>
        <v>27</v>
      </c>
      <c r="I3">
        <v>13</v>
      </c>
      <c r="J3">
        <v>8</v>
      </c>
      <c r="L3" s="108" t="s">
        <v>32</v>
      </c>
      <c r="M3" s="108" t="s">
        <v>313</v>
      </c>
      <c r="N3" s="46" t="s">
        <v>88</v>
      </c>
      <c r="O3" s="47">
        <v>11.7</v>
      </c>
      <c r="Q3" s="110" t="s">
        <v>39</v>
      </c>
      <c r="R3" s="110" t="s">
        <v>91</v>
      </c>
      <c r="S3" s="46" t="s">
        <v>88</v>
      </c>
      <c r="T3" s="47">
        <v>13</v>
      </c>
    </row>
    <row r="4" spans="1:20">
      <c r="A4" s="138" t="s">
        <v>11</v>
      </c>
      <c r="B4" s="139" t="s">
        <v>87</v>
      </c>
      <c r="C4" s="140" t="s">
        <v>86</v>
      </c>
      <c r="D4" s="143">
        <v>11.5</v>
      </c>
      <c r="F4" s="106" t="s">
        <v>214</v>
      </c>
      <c r="G4">
        <v>9</v>
      </c>
      <c r="H4">
        <f t="shared" si="0"/>
        <v>14</v>
      </c>
      <c r="I4">
        <v>9</v>
      </c>
      <c r="J4">
        <v>5</v>
      </c>
      <c r="L4" s="108" t="s">
        <v>32</v>
      </c>
      <c r="M4" s="108" t="s">
        <v>313</v>
      </c>
      <c r="N4" s="46" t="s">
        <v>88</v>
      </c>
      <c r="O4" s="47">
        <v>11.5</v>
      </c>
      <c r="Q4" s="110" t="s">
        <v>39</v>
      </c>
      <c r="R4" s="110" t="s">
        <v>91</v>
      </c>
      <c r="S4" s="135" t="s">
        <v>90</v>
      </c>
      <c r="T4" s="47">
        <v>15</v>
      </c>
    </row>
    <row r="5" spans="1:20">
      <c r="A5" s="138" t="s">
        <v>11</v>
      </c>
      <c r="B5" s="139" t="s">
        <v>87</v>
      </c>
      <c r="C5" s="140" t="s">
        <v>86</v>
      </c>
      <c r="D5" s="143">
        <v>14</v>
      </c>
      <c r="F5" s="106"/>
      <c r="L5" s="108" t="s">
        <v>32</v>
      </c>
      <c r="M5" s="108" t="s">
        <v>313</v>
      </c>
      <c r="N5" s="46" t="s">
        <v>125</v>
      </c>
      <c r="O5" s="47">
        <v>12.8</v>
      </c>
      <c r="Q5" s="110" t="s">
        <v>39</v>
      </c>
      <c r="R5" s="110" t="s">
        <v>91</v>
      </c>
      <c r="S5" s="135" t="s">
        <v>321</v>
      </c>
      <c r="T5" s="47">
        <v>13</v>
      </c>
    </row>
    <row r="6" spans="1:20">
      <c r="A6" s="138" t="s">
        <v>11</v>
      </c>
      <c r="B6" s="139" t="s">
        <v>87</v>
      </c>
      <c r="C6" s="140" t="s">
        <v>314</v>
      </c>
      <c r="D6" s="143">
        <v>15</v>
      </c>
      <c r="F6" s="106"/>
      <c r="L6" s="108" t="s">
        <v>32</v>
      </c>
      <c r="M6" s="108" t="s">
        <v>313</v>
      </c>
      <c r="N6" s="46" t="s">
        <v>88</v>
      </c>
      <c r="O6" s="47">
        <v>11.2</v>
      </c>
      <c r="Q6" s="110" t="s">
        <v>39</v>
      </c>
      <c r="R6" s="110" t="s">
        <v>91</v>
      </c>
      <c r="S6" s="46" t="s">
        <v>88</v>
      </c>
      <c r="T6" s="47">
        <v>19</v>
      </c>
    </row>
    <row r="7" spans="1:20">
      <c r="A7" s="138" t="s">
        <v>11</v>
      </c>
      <c r="B7" s="139" t="s">
        <v>87</v>
      </c>
      <c r="C7" s="140" t="s">
        <v>86</v>
      </c>
      <c r="D7" s="143">
        <v>15</v>
      </c>
      <c r="F7" s="106"/>
      <c r="L7" s="108" t="s">
        <v>32</v>
      </c>
      <c r="M7" s="108" t="s">
        <v>313</v>
      </c>
      <c r="N7" s="46" t="s">
        <v>125</v>
      </c>
      <c r="O7" s="47">
        <v>19.7</v>
      </c>
      <c r="Q7" s="110" t="s">
        <v>39</v>
      </c>
      <c r="R7" s="110" t="s">
        <v>91</v>
      </c>
      <c r="S7" s="132" t="s">
        <v>155</v>
      </c>
      <c r="T7" s="47">
        <v>18</v>
      </c>
    </row>
    <row r="8" spans="1:20">
      <c r="A8" s="138" t="s">
        <v>11</v>
      </c>
      <c r="B8" s="139" t="s">
        <v>87</v>
      </c>
      <c r="C8" s="140" t="s">
        <v>86</v>
      </c>
      <c r="D8" s="143">
        <v>14</v>
      </c>
      <c r="L8" s="108" t="s">
        <v>33</v>
      </c>
      <c r="M8" s="108" t="s">
        <v>313</v>
      </c>
      <c r="N8" s="46" t="s">
        <v>125</v>
      </c>
      <c r="O8" s="47">
        <v>15.5</v>
      </c>
      <c r="Q8" s="110" t="s">
        <v>39</v>
      </c>
      <c r="R8" s="110" t="s">
        <v>91</v>
      </c>
      <c r="S8" s="135" t="s">
        <v>124</v>
      </c>
      <c r="T8" s="47">
        <v>13</v>
      </c>
    </row>
    <row r="9" spans="1:20">
      <c r="A9" s="138" t="s">
        <v>11</v>
      </c>
      <c r="B9" s="139" t="s">
        <v>87</v>
      </c>
      <c r="C9" s="140" t="s">
        <v>86</v>
      </c>
      <c r="D9" s="143">
        <v>12</v>
      </c>
      <c r="L9" s="108" t="s">
        <v>33</v>
      </c>
      <c r="M9" s="108" t="s">
        <v>313</v>
      </c>
      <c r="N9" s="46" t="s">
        <v>88</v>
      </c>
      <c r="O9" s="47">
        <v>16.8</v>
      </c>
      <c r="Q9" s="110" t="s">
        <v>39</v>
      </c>
      <c r="R9" s="110" t="s">
        <v>91</v>
      </c>
      <c r="S9" s="135" t="s">
        <v>197</v>
      </c>
      <c r="T9" s="47">
        <v>15</v>
      </c>
    </row>
    <row r="10" spans="1:20">
      <c r="A10" s="138" t="s">
        <v>11</v>
      </c>
      <c r="B10" s="139" t="s">
        <v>87</v>
      </c>
      <c r="C10" s="140" t="s">
        <v>86</v>
      </c>
      <c r="D10" s="143">
        <v>14</v>
      </c>
      <c r="L10" s="108" t="s">
        <v>33</v>
      </c>
      <c r="M10" s="108" t="s">
        <v>313</v>
      </c>
      <c r="N10" s="46" t="s">
        <v>88</v>
      </c>
      <c r="O10" s="47">
        <v>13.4</v>
      </c>
      <c r="Q10" s="110" t="s">
        <v>39</v>
      </c>
      <c r="R10" s="110" t="s">
        <v>91</v>
      </c>
      <c r="S10" s="135" t="s">
        <v>90</v>
      </c>
      <c r="T10" s="47">
        <v>18</v>
      </c>
    </row>
    <row r="11" spans="1:20">
      <c r="A11" s="138" t="s">
        <v>11</v>
      </c>
      <c r="B11" s="139" t="s">
        <v>87</v>
      </c>
      <c r="C11" s="140" t="s">
        <v>86</v>
      </c>
      <c r="D11" s="143">
        <v>12</v>
      </c>
      <c r="L11" s="108" t="s">
        <v>33</v>
      </c>
      <c r="M11" s="108" t="s">
        <v>313</v>
      </c>
      <c r="N11" s="46" t="s">
        <v>88</v>
      </c>
      <c r="O11" s="47">
        <v>19.8</v>
      </c>
      <c r="Q11" s="110" t="s">
        <v>39</v>
      </c>
      <c r="R11" s="110" t="s">
        <v>91</v>
      </c>
      <c r="S11" s="135" t="s">
        <v>322</v>
      </c>
      <c r="T11" s="47">
        <v>16</v>
      </c>
    </row>
    <row r="12" spans="1:20">
      <c r="A12" s="138" t="s">
        <v>11</v>
      </c>
      <c r="B12" s="139" t="s">
        <v>87</v>
      </c>
      <c r="C12" s="140" t="s">
        <v>86</v>
      </c>
      <c r="D12" s="143">
        <v>13</v>
      </c>
      <c r="L12" s="108" t="s">
        <v>33</v>
      </c>
      <c r="M12" s="108" t="s">
        <v>313</v>
      </c>
      <c r="N12" s="46" t="s">
        <v>88</v>
      </c>
      <c r="O12" s="47">
        <v>19</v>
      </c>
      <c r="Q12" s="110" t="s">
        <v>39</v>
      </c>
      <c r="R12" s="110" t="s">
        <v>91</v>
      </c>
      <c r="S12" s="135" t="s">
        <v>323</v>
      </c>
      <c r="T12" s="47">
        <v>16</v>
      </c>
    </row>
    <row r="13" spans="1:20">
      <c r="A13" s="138" t="s">
        <v>11</v>
      </c>
      <c r="B13" s="139" t="s">
        <v>87</v>
      </c>
      <c r="C13" s="140" t="s">
        <v>86</v>
      </c>
      <c r="D13" s="143">
        <v>19</v>
      </c>
      <c r="L13" s="108" t="s">
        <v>33</v>
      </c>
      <c r="M13" s="108" t="s">
        <v>313</v>
      </c>
      <c r="N13" s="46" t="s">
        <v>88</v>
      </c>
      <c r="O13" s="47">
        <v>13.9</v>
      </c>
      <c r="Q13" s="110" t="s">
        <v>40</v>
      </c>
      <c r="R13" s="110" t="s">
        <v>91</v>
      </c>
      <c r="S13" s="135" t="s">
        <v>324</v>
      </c>
      <c r="T13" s="47">
        <v>12.3</v>
      </c>
    </row>
    <row r="14" spans="1:20">
      <c r="A14" s="138" t="s">
        <v>11</v>
      </c>
      <c r="B14" s="139" t="s">
        <v>87</v>
      </c>
      <c r="C14" s="140" t="s">
        <v>86</v>
      </c>
      <c r="D14" s="143">
        <v>12</v>
      </c>
      <c r="L14" s="108" t="s">
        <v>33</v>
      </c>
      <c r="M14" s="108" t="s">
        <v>313</v>
      </c>
      <c r="N14" s="46" t="s">
        <v>88</v>
      </c>
      <c r="O14" s="47">
        <v>12</v>
      </c>
      <c r="Q14" s="110" t="s">
        <v>42</v>
      </c>
      <c r="R14" s="110" t="s">
        <v>91</v>
      </c>
      <c r="S14" s="132" t="s">
        <v>179</v>
      </c>
      <c r="T14" s="47">
        <v>14.3</v>
      </c>
    </row>
    <row r="15" spans="1:20">
      <c r="A15" s="138" t="s">
        <v>11</v>
      </c>
      <c r="B15" s="139" t="s">
        <v>87</v>
      </c>
      <c r="C15" s="140" t="s">
        <v>86</v>
      </c>
      <c r="D15" s="143">
        <v>10</v>
      </c>
      <c r="L15" s="108" t="s">
        <v>33</v>
      </c>
      <c r="M15" s="108" t="s">
        <v>313</v>
      </c>
      <c r="N15" s="46" t="s">
        <v>88</v>
      </c>
      <c r="O15" s="47">
        <v>10</v>
      </c>
      <c r="Q15" s="110" t="s">
        <v>43</v>
      </c>
      <c r="R15" s="110" t="s">
        <v>91</v>
      </c>
      <c r="S15" s="132" t="s">
        <v>98</v>
      </c>
      <c r="T15" s="47">
        <v>12.5</v>
      </c>
    </row>
    <row r="16" spans="1:20">
      <c r="A16" s="138" t="s">
        <v>11</v>
      </c>
      <c r="B16" s="139" t="s">
        <v>87</v>
      </c>
      <c r="C16" s="140" t="s">
        <v>86</v>
      </c>
      <c r="D16" s="143">
        <v>11.5</v>
      </c>
      <c r="L16" s="108" t="s">
        <v>34</v>
      </c>
      <c r="M16" s="108" t="s">
        <v>313</v>
      </c>
      <c r="N16" s="46" t="s">
        <v>88</v>
      </c>
      <c r="O16" s="47">
        <v>19.5</v>
      </c>
    </row>
    <row r="17" spans="1:15">
      <c r="A17" s="138" t="s">
        <v>13</v>
      </c>
      <c r="B17" s="139" t="s">
        <v>87</v>
      </c>
      <c r="C17" s="141" t="s">
        <v>325</v>
      </c>
      <c r="D17" s="143">
        <v>13</v>
      </c>
      <c r="L17" s="108" t="s">
        <v>34</v>
      </c>
      <c r="M17" s="108" t="s">
        <v>313</v>
      </c>
      <c r="N17" s="46" t="s">
        <v>88</v>
      </c>
      <c r="O17" s="47">
        <v>16.2</v>
      </c>
    </row>
    <row r="18" spans="1:15">
      <c r="A18" s="138" t="s">
        <v>15</v>
      </c>
      <c r="B18" s="139" t="s">
        <v>87</v>
      </c>
      <c r="C18" s="140" t="s">
        <v>120</v>
      </c>
      <c r="D18" s="144">
        <v>17</v>
      </c>
      <c r="L18" s="108" t="s">
        <v>34</v>
      </c>
      <c r="M18" s="108" t="s">
        <v>313</v>
      </c>
      <c r="N18" s="46" t="s">
        <v>88</v>
      </c>
      <c r="O18" s="47">
        <v>14.3</v>
      </c>
    </row>
    <row r="19" spans="1:15">
      <c r="A19" s="138" t="s">
        <v>15</v>
      </c>
      <c r="B19" s="139" t="s">
        <v>87</v>
      </c>
      <c r="C19" s="142" t="s">
        <v>194</v>
      </c>
      <c r="D19" s="144">
        <v>18</v>
      </c>
      <c r="L19" s="108" t="s">
        <v>34</v>
      </c>
      <c r="M19" s="108" t="s">
        <v>313</v>
      </c>
      <c r="N19" s="46" t="s">
        <v>88</v>
      </c>
      <c r="O19" s="47">
        <v>12.8</v>
      </c>
    </row>
    <row r="20" spans="1:15">
      <c r="A20" s="138" t="s">
        <v>316</v>
      </c>
      <c r="B20" s="139" t="s">
        <v>87</v>
      </c>
      <c r="C20" s="8">
        <v>0</v>
      </c>
      <c r="D20" s="143">
        <v>0</v>
      </c>
      <c r="L20" s="108" t="s">
        <v>34</v>
      </c>
      <c r="M20" s="108" t="s">
        <v>313</v>
      </c>
      <c r="N20" s="46" t="s">
        <v>88</v>
      </c>
      <c r="O20" s="47">
        <v>17.100000000000001</v>
      </c>
    </row>
    <row r="21" spans="1:15">
      <c r="A21" s="138" t="s">
        <v>19</v>
      </c>
      <c r="B21" s="139" t="s">
        <v>87</v>
      </c>
      <c r="C21" s="141" t="s">
        <v>326</v>
      </c>
      <c r="D21" s="143">
        <v>10</v>
      </c>
      <c r="L21" s="108" t="s">
        <v>34</v>
      </c>
      <c r="M21" s="108" t="s">
        <v>313</v>
      </c>
      <c r="N21" s="46" t="s">
        <v>88</v>
      </c>
      <c r="O21" s="47">
        <v>10.7</v>
      </c>
    </row>
    <row r="22" spans="1:15">
      <c r="A22" s="138" t="s">
        <v>21</v>
      </c>
      <c r="B22" s="139" t="s">
        <v>87</v>
      </c>
      <c r="C22" s="140" t="s">
        <v>93</v>
      </c>
      <c r="D22" s="143">
        <v>10</v>
      </c>
      <c r="L22" s="108" t="s">
        <v>35</v>
      </c>
      <c r="M22" s="108" t="s">
        <v>313</v>
      </c>
      <c r="N22" s="46" t="s">
        <v>88</v>
      </c>
      <c r="O22" s="47">
        <v>16.8</v>
      </c>
    </row>
    <row r="23" spans="1:15">
      <c r="A23" s="138" t="s">
        <v>23</v>
      </c>
      <c r="B23" s="139" t="s">
        <v>87</v>
      </c>
      <c r="C23" s="140" t="s">
        <v>327</v>
      </c>
      <c r="D23" s="144">
        <v>13</v>
      </c>
      <c r="L23" s="108" t="s">
        <v>35</v>
      </c>
      <c r="M23" s="108" t="s">
        <v>313</v>
      </c>
      <c r="N23" s="46" t="s">
        <v>125</v>
      </c>
      <c r="O23" s="47">
        <v>13.8</v>
      </c>
    </row>
    <row r="24" spans="1:15">
      <c r="A24" s="138" t="s">
        <v>23</v>
      </c>
      <c r="B24" s="139" t="s">
        <v>87</v>
      </c>
      <c r="C24" s="140" t="s">
        <v>86</v>
      </c>
      <c r="D24" s="144">
        <v>10</v>
      </c>
      <c r="L24" s="108" t="s">
        <v>35</v>
      </c>
      <c r="M24" s="108" t="s">
        <v>313</v>
      </c>
      <c r="N24" s="46" t="s">
        <v>88</v>
      </c>
      <c r="O24" s="47">
        <v>13.4</v>
      </c>
    </row>
    <row r="25" spans="1:15">
      <c r="A25" s="138" t="s">
        <v>23</v>
      </c>
      <c r="B25" s="139" t="s">
        <v>87</v>
      </c>
      <c r="C25" s="140" t="s">
        <v>86</v>
      </c>
      <c r="D25" s="144">
        <v>10</v>
      </c>
    </row>
    <row r="26" spans="1:15">
      <c r="A26" s="138" t="s">
        <v>23</v>
      </c>
      <c r="B26" s="139" t="s">
        <v>87</v>
      </c>
      <c r="C26" s="140" t="s">
        <v>86</v>
      </c>
      <c r="D26" s="144">
        <v>15</v>
      </c>
    </row>
    <row r="27" spans="1:15">
      <c r="A27" s="138" t="s">
        <v>23</v>
      </c>
      <c r="B27" s="139" t="s">
        <v>87</v>
      </c>
      <c r="C27" s="140" t="s">
        <v>86</v>
      </c>
      <c r="D27" s="144">
        <v>10</v>
      </c>
    </row>
    <row r="28" spans="1:15">
      <c r="A28" s="138" t="s">
        <v>24</v>
      </c>
      <c r="B28" s="139" t="s">
        <v>87</v>
      </c>
      <c r="C28" s="140" t="s">
        <v>93</v>
      </c>
      <c r="D28" s="144">
        <v>17</v>
      </c>
    </row>
    <row r="29" spans="1:15">
      <c r="A29" s="138" t="s">
        <v>24</v>
      </c>
      <c r="B29" s="139" t="s">
        <v>87</v>
      </c>
      <c r="C29" s="140" t="s">
        <v>328</v>
      </c>
      <c r="D29" s="144">
        <v>12</v>
      </c>
    </row>
    <row r="30" spans="1:15">
      <c r="A30" s="138" t="s">
        <v>25</v>
      </c>
      <c r="B30" s="139" t="s">
        <v>87</v>
      </c>
      <c r="C30" s="140" t="s">
        <v>118</v>
      </c>
      <c r="D30" s="144">
        <v>17</v>
      </c>
    </row>
    <row r="31" spans="1:15">
      <c r="A31" s="138" t="s">
        <v>25</v>
      </c>
      <c r="B31" s="139" t="s">
        <v>87</v>
      </c>
      <c r="C31" s="140" t="s">
        <v>143</v>
      </c>
      <c r="D31" s="144">
        <v>18</v>
      </c>
    </row>
    <row r="32" spans="1:15">
      <c r="A32" s="138" t="s">
        <v>25</v>
      </c>
      <c r="B32" s="139" t="s">
        <v>87</v>
      </c>
      <c r="C32" s="140" t="s">
        <v>143</v>
      </c>
      <c r="D32" s="144">
        <v>12</v>
      </c>
    </row>
    <row r="33" spans="1:4">
      <c r="A33" s="138" t="s">
        <v>25</v>
      </c>
      <c r="B33" s="139" t="s">
        <v>87</v>
      </c>
      <c r="C33" s="140" t="s">
        <v>118</v>
      </c>
      <c r="D33" s="144">
        <v>18</v>
      </c>
    </row>
    <row r="34" spans="1:4">
      <c r="A34" s="138" t="s">
        <v>25</v>
      </c>
      <c r="B34" s="139" t="s">
        <v>87</v>
      </c>
      <c r="C34" s="140" t="s">
        <v>119</v>
      </c>
      <c r="D34" s="144">
        <v>13</v>
      </c>
    </row>
    <row r="35" spans="1:4">
      <c r="A35" s="138" t="s">
        <v>25</v>
      </c>
      <c r="B35" s="139" t="s">
        <v>87</v>
      </c>
      <c r="C35" s="140" t="s">
        <v>96</v>
      </c>
      <c r="D35" s="144">
        <v>14</v>
      </c>
    </row>
    <row r="36" spans="1:4">
      <c r="A36" s="138" t="s">
        <v>26</v>
      </c>
      <c r="B36" s="139" t="s">
        <v>87</v>
      </c>
      <c r="C36" s="141" t="s">
        <v>329</v>
      </c>
      <c r="D36" s="143">
        <v>14</v>
      </c>
    </row>
  </sheetData>
  <sortState ref="A2:D37">
    <sortCondition ref="A2:A37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"/>
  <sheetViews>
    <sheetView workbookViewId="0">
      <selection activeCell="A2" sqref="A2"/>
    </sheetView>
  </sheetViews>
  <sheetFormatPr defaultRowHeight="15"/>
  <cols>
    <col min="1" max="1" width="15.7109375" style="80" bestFit="1" customWidth="1"/>
    <col min="2" max="2" width="10.85546875" style="80" bestFit="1" customWidth="1"/>
    <col min="3" max="3" width="20.85546875" style="80" bestFit="1" customWidth="1"/>
    <col min="4" max="4" width="13.140625" style="80" bestFit="1" customWidth="1"/>
    <col min="5" max="7" width="9.140625" style="80"/>
    <col min="8" max="8" width="15.7109375" style="80" bestFit="1" customWidth="1"/>
    <col min="9" max="9" width="11" style="80" bestFit="1" customWidth="1"/>
    <col min="10" max="10" width="26" style="80" bestFit="1" customWidth="1"/>
    <col min="11" max="11" width="12.28515625" style="80" bestFit="1" customWidth="1"/>
    <col min="12" max="15" width="9.140625" style="80"/>
    <col min="16" max="16" width="15.7109375" style="80" bestFit="1" customWidth="1"/>
    <col min="17" max="17" width="10.85546875" style="80" bestFit="1" customWidth="1"/>
    <col min="18" max="18" width="16.85546875" style="80" bestFit="1" customWidth="1"/>
    <col min="19" max="19" width="14" style="80" bestFit="1" customWidth="1"/>
    <col min="20" max="16384" width="9.140625" style="80"/>
  </cols>
  <sheetData>
    <row r="1" spans="1:21">
      <c r="A1" s="80" t="s">
        <v>216</v>
      </c>
      <c r="B1" s="80" t="s">
        <v>219</v>
      </c>
      <c r="G1" s="187"/>
      <c r="H1" s="187" t="s">
        <v>330</v>
      </c>
      <c r="I1" s="80" t="s">
        <v>219</v>
      </c>
      <c r="P1" s="187" t="s">
        <v>220</v>
      </c>
      <c r="Q1" s="80" t="s">
        <v>219</v>
      </c>
    </row>
    <row r="2" spans="1:21">
      <c r="A2" s="190" t="s">
        <v>331</v>
      </c>
      <c r="B2" s="189" t="s">
        <v>223</v>
      </c>
      <c r="C2" s="189" t="s">
        <v>224</v>
      </c>
      <c r="D2" s="189" t="s">
        <v>225</v>
      </c>
      <c r="E2" s="189" t="s">
        <v>221</v>
      </c>
      <c r="F2" s="189" t="s">
        <v>226</v>
      </c>
      <c r="H2" s="190" t="s">
        <v>332</v>
      </c>
      <c r="I2" s="189" t="s">
        <v>223</v>
      </c>
      <c r="J2" s="189" t="s">
        <v>224</v>
      </c>
      <c r="K2" s="189" t="s">
        <v>225</v>
      </c>
      <c r="L2" s="189" t="s">
        <v>221</v>
      </c>
      <c r="M2" s="189" t="s">
        <v>226</v>
      </c>
      <c r="P2" s="190" t="s">
        <v>333</v>
      </c>
      <c r="Q2" s="189" t="s">
        <v>223</v>
      </c>
      <c r="R2" s="189" t="s">
        <v>224</v>
      </c>
      <c r="S2" s="189" t="s">
        <v>225</v>
      </c>
      <c r="T2" s="189" t="s">
        <v>221</v>
      </c>
      <c r="U2" s="189" t="s">
        <v>226</v>
      </c>
    </row>
    <row r="3" spans="1:21">
      <c r="A3" s="96" t="s">
        <v>253</v>
      </c>
      <c r="B3" s="191" t="s">
        <v>275</v>
      </c>
      <c r="C3" s="192" t="s">
        <v>167</v>
      </c>
      <c r="D3" s="193" t="s">
        <v>241</v>
      </c>
      <c r="E3" s="193">
        <f>COUNTIF($A$3:$A$50,B3)</f>
        <v>18</v>
      </c>
      <c r="F3" s="194">
        <f>E3/48*100</f>
        <v>37.5</v>
      </c>
      <c r="H3" s="96" t="s">
        <v>230</v>
      </c>
      <c r="I3" s="191" t="s">
        <v>230</v>
      </c>
      <c r="J3" s="195" t="s">
        <v>231</v>
      </c>
      <c r="K3" s="191" t="s">
        <v>232</v>
      </c>
      <c r="L3" s="193">
        <f>COUNTIF($H$3:$H$25,I3)</f>
        <v>19</v>
      </c>
      <c r="M3" s="194">
        <f>L3/23*100</f>
        <v>82.608695652173907</v>
      </c>
      <c r="P3" s="43" t="s">
        <v>270</v>
      </c>
      <c r="Q3" s="191" t="s">
        <v>230</v>
      </c>
      <c r="R3" s="195" t="s">
        <v>231</v>
      </c>
      <c r="S3" s="191" t="s">
        <v>232</v>
      </c>
      <c r="T3" s="193">
        <f>COUNTIF($P$3:$P$15,Q3)</f>
        <v>2</v>
      </c>
      <c r="U3" s="194">
        <f>T3/13*100</f>
        <v>15.384615384615385</v>
      </c>
    </row>
    <row r="4" spans="1:21">
      <c r="A4" s="96" t="s">
        <v>260</v>
      </c>
      <c r="B4" s="191" t="s">
        <v>245</v>
      </c>
      <c r="C4" s="195" t="s">
        <v>246</v>
      </c>
      <c r="D4" s="191" t="s">
        <v>247</v>
      </c>
      <c r="E4" s="193">
        <f t="shared" ref="E4:E5" si="0">COUNTIF($A$3:$A$50,B4)</f>
        <v>3</v>
      </c>
      <c r="F4" s="194">
        <f t="shared" ref="F4:F7" si="1">E4/48*100</f>
        <v>6.25</v>
      </c>
      <c r="H4" s="96" t="s">
        <v>230</v>
      </c>
      <c r="I4" s="196" t="s">
        <v>239</v>
      </c>
      <c r="J4" s="197" t="s">
        <v>240</v>
      </c>
      <c r="K4" s="196" t="s">
        <v>241</v>
      </c>
      <c r="L4" s="193">
        <f>COUNTIF($H$3:$H$25,I4)</f>
        <v>4</v>
      </c>
      <c r="M4" s="194">
        <f>L4/23*100</f>
        <v>17.391304347826086</v>
      </c>
      <c r="P4" s="43" t="s">
        <v>233</v>
      </c>
      <c r="Q4" s="198" t="s">
        <v>236</v>
      </c>
      <c r="R4" s="199" t="s">
        <v>90</v>
      </c>
      <c r="S4" s="193" t="s">
        <v>238</v>
      </c>
      <c r="T4" s="193">
        <f>COUNTIF($P$3:$P$15,Q4)</f>
        <v>2</v>
      </c>
      <c r="U4" s="194">
        <f>T4/13*100</f>
        <v>15.384615384615385</v>
      </c>
    </row>
    <row r="5" spans="1:21">
      <c r="A5" s="96" t="s">
        <v>270</v>
      </c>
      <c r="B5" s="191" t="s">
        <v>264</v>
      </c>
      <c r="C5" s="192" t="s">
        <v>183</v>
      </c>
      <c r="D5" s="193" t="s">
        <v>241</v>
      </c>
      <c r="E5" s="193">
        <f t="shared" si="0"/>
        <v>3</v>
      </c>
      <c r="F5" s="194">
        <f t="shared" si="1"/>
        <v>6.25</v>
      </c>
      <c r="H5" s="96" t="s">
        <v>230</v>
      </c>
      <c r="P5" s="96" t="s">
        <v>230</v>
      </c>
    </row>
    <row r="6" spans="1:21">
      <c r="A6" s="96" t="s">
        <v>270</v>
      </c>
      <c r="B6" s="191" t="s">
        <v>270</v>
      </c>
      <c r="C6" s="195" t="s">
        <v>176</v>
      </c>
      <c r="D6" s="191" t="s">
        <v>271</v>
      </c>
      <c r="E6" s="193">
        <f>COUNTIF($A$3:$A$50,B6)</f>
        <v>3</v>
      </c>
      <c r="F6" s="194">
        <f t="shared" si="1"/>
        <v>6.25</v>
      </c>
      <c r="H6" s="96" t="s">
        <v>230</v>
      </c>
      <c r="P6" s="96" t="s">
        <v>230</v>
      </c>
    </row>
    <row r="7" spans="1:21">
      <c r="A7" s="96" t="s">
        <v>270</v>
      </c>
      <c r="B7" s="191" t="s">
        <v>230</v>
      </c>
      <c r="C7" s="195" t="s">
        <v>231</v>
      </c>
      <c r="D7" s="191" t="s">
        <v>232</v>
      </c>
      <c r="E7" s="193">
        <f>COUNTIF($A$3:$A$50,B7)</f>
        <v>1</v>
      </c>
      <c r="F7" s="194">
        <f t="shared" si="1"/>
        <v>2.083333333333333</v>
      </c>
      <c r="H7" s="96" t="s">
        <v>230</v>
      </c>
      <c r="P7" s="183" t="s">
        <v>282</v>
      </c>
    </row>
    <row r="8" spans="1:21">
      <c r="A8" s="183" t="s">
        <v>334</v>
      </c>
      <c r="H8" s="96" t="s">
        <v>230</v>
      </c>
      <c r="P8" s="30" t="s">
        <v>284</v>
      </c>
    </row>
    <row r="9" spans="1:21">
      <c r="A9" s="183" t="s">
        <v>334</v>
      </c>
      <c r="H9" s="96" t="s">
        <v>230</v>
      </c>
      <c r="P9" s="43" t="s">
        <v>242</v>
      </c>
    </row>
    <row r="10" spans="1:21">
      <c r="A10" s="96" t="s">
        <v>275</v>
      </c>
      <c r="B10" s="208" t="s">
        <v>335</v>
      </c>
      <c r="C10" s="188"/>
      <c r="D10" s="207"/>
      <c r="E10" s="207"/>
      <c r="F10" s="207"/>
      <c r="H10" s="96" t="s">
        <v>230</v>
      </c>
      <c r="P10" s="43" t="s">
        <v>236</v>
      </c>
    </row>
    <row r="11" spans="1:21">
      <c r="A11" s="96" t="s">
        <v>275</v>
      </c>
      <c r="B11" s="208" t="s">
        <v>336</v>
      </c>
      <c r="C11" s="188"/>
      <c r="D11" s="207"/>
      <c r="E11" s="207"/>
      <c r="F11" s="207"/>
      <c r="H11" s="96" t="s">
        <v>230</v>
      </c>
      <c r="P11" s="43" t="s">
        <v>236</v>
      </c>
    </row>
    <row r="12" spans="1:21">
      <c r="A12" s="96" t="s">
        <v>275</v>
      </c>
      <c r="H12" s="96" t="s">
        <v>230</v>
      </c>
      <c r="P12" s="30" t="s">
        <v>337</v>
      </c>
    </row>
    <row r="13" spans="1:21">
      <c r="A13" s="96" t="s">
        <v>275</v>
      </c>
      <c r="H13" s="96" t="s">
        <v>230</v>
      </c>
      <c r="P13" s="30" t="s">
        <v>338</v>
      </c>
    </row>
    <row r="14" spans="1:21">
      <c r="A14" s="96" t="s">
        <v>275</v>
      </c>
      <c r="H14" s="96" t="s">
        <v>230</v>
      </c>
      <c r="P14" s="30" t="s">
        <v>339</v>
      </c>
    </row>
    <row r="15" spans="1:21">
      <c r="A15" s="96" t="s">
        <v>275</v>
      </c>
      <c r="H15" s="96" t="s">
        <v>230</v>
      </c>
      <c r="P15" s="184" t="s">
        <v>298</v>
      </c>
    </row>
    <row r="16" spans="1:21">
      <c r="A16" s="96" t="s">
        <v>275</v>
      </c>
      <c r="H16" s="96" t="s">
        <v>230</v>
      </c>
    </row>
    <row r="17" spans="1:8">
      <c r="A17" s="96" t="s">
        <v>275</v>
      </c>
      <c r="H17" s="96" t="s">
        <v>230</v>
      </c>
    </row>
    <row r="18" spans="1:8">
      <c r="A18" s="96" t="s">
        <v>275</v>
      </c>
      <c r="H18" s="96" t="s">
        <v>230</v>
      </c>
    </row>
    <row r="19" spans="1:8">
      <c r="A19" s="96" t="s">
        <v>275</v>
      </c>
      <c r="H19" s="96" t="s">
        <v>230</v>
      </c>
    </row>
    <row r="20" spans="1:8">
      <c r="A20" s="96" t="s">
        <v>275</v>
      </c>
      <c r="H20" s="96" t="s">
        <v>230</v>
      </c>
    </row>
    <row r="21" spans="1:8">
      <c r="A21" s="96" t="s">
        <v>275</v>
      </c>
      <c r="H21" s="96" t="s">
        <v>230</v>
      </c>
    </row>
    <row r="22" spans="1:8">
      <c r="A22" s="96" t="s">
        <v>275</v>
      </c>
      <c r="H22" s="183" t="s">
        <v>239</v>
      </c>
    </row>
    <row r="23" spans="1:8">
      <c r="A23" s="96" t="s">
        <v>275</v>
      </c>
      <c r="H23" s="183" t="s">
        <v>239</v>
      </c>
    </row>
    <row r="24" spans="1:8">
      <c r="A24" s="96" t="s">
        <v>275</v>
      </c>
      <c r="H24" s="183" t="s">
        <v>239</v>
      </c>
    </row>
    <row r="25" spans="1:8">
      <c r="A25" s="96" t="s">
        <v>275</v>
      </c>
      <c r="H25" s="183" t="s">
        <v>239</v>
      </c>
    </row>
    <row r="26" spans="1:8">
      <c r="A26" s="96" t="s">
        <v>275</v>
      </c>
    </row>
    <row r="27" spans="1:8">
      <c r="A27" s="96" t="s">
        <v>275</v>
      </c>
    </row>
    <row r="28" spans="1:8">
      <c r="A28" s="96" t="s">
        <v>340</v>
      </c>
    </row>
    <row r="29" spans="1:8">
      <c r="A29" s="183" t="s">
        <v>341</v>
      </c>
    </row>
    <row r="30" spans="1:8">
      <c r="A30" s="96" t="s">
        <v>276</v>
      </c>
    </row>
    <row r="31" spans="1:8">
      <c r="A31" s="96" t="s">
        <v>276</v>
      </c>
    </row>
    <row r="32" spans="1:8">
      <c r="A32" s="96" t="s">
        <v>230</v>
      </c>
    </row>
    <row r="33" spans="1:1">
      <c r="A33" s="96" t="s">
        <v>297</v>
      </c>
    </row>
    <row r="34" spans="1:1">
      <c r="A34" s="183" t="s">
        <v>342</v>
      </c>
    </row>
    <row r="35" spans="1:1">
      <c r="A35" s="96" t="s">
        <v>250</v>
      </c>
    </row>
    <row r="36" spans="1:1">
      <c r="A36" s="96" t="s">
        <v>283</v>
      </c>
    </row>
    <row r="37" spans="1:1">
      <c r="A37" s="96" t="s">
        <v>343</v>
      </c>
    </row>
    <row r="38" spans="1:1">
      <c r="A38" s="96" t="s">
        <v>245</v>
      </c>
    </row>
    <row r="39" spans="1:1">
      <c r="A39" s="96" t="s">
        <v>245</v>
      </c>
    </row>
    <row r="40" spans="1:1">
      <c r="A40" s="96" t="s">
        <v>245</v>
      </c>
    </row>
    <row r="41" spans="1:1">
      <c r="A41" s="96" t="s">
        <v>242</v>
      </c>
    </row>
    <row r="42" spans="1:1">
      <c r="A42" s="183" t="s">
        <v>344</v>
      </c>
    </row>
    <row r="43" spans="1:1">
      <c r="A43" s="96" t="s">
        <v>288</v>
      </c>
    </row>
    <row r="44" spans="1:1">
      <c r="A44" s="96" t="s">
        <v>264</v>
      </c>
    </row>
    <row r="45" spans="1:1">
      <c r="A45" s="96" t="s">
        <v>264</v>
      </c>
    </row>
    <row r="46" spans="1:1">
      <c r="A46" s="96" t="s">
        <v>264</v>
      </c>
    </row>
    <row r="47" spans="1:1">
      <c r="A47" s="96" t="s">
        <v>258</v>
      </c>
    </row>
    <row r="48" spans="1:1">
      <c r="A48" s="96" t="s">
        <v>308</v>
      </c>
    </row>
    <row r="49" spans="1:1">
      <c r="A49" s="96" t="s">
        <v>308</v>
      </c>
    </row>
    <row r="50" spans="1:1">
      <c r="A50" s="185" t="s">
        <v>311</v>
      </c>
    </row>
  </sheetData>
  <sortState ref="P3:P15">
    <sortCondition ref="P3"/>
  </sortState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G7" sqref="G7"/>
    </sheetView>
  </sheetViews>
  <sheetFormatPr defaultRowHeight="15"/>
  <cols>
    <col min="1" max="1" width="26.85546875" bestFit="1" customWidth="1"/>
    <col min="2" max="2" width="27" bestFit="1" customWidth="1"/>
    <col min="3" max="3" width="16.140625" bestFit="1" customWidth="1"/>
    <col min="5" max="5" width="12.140625" bestFit="1" customWidth="1"/>
    <col min="6" max="6" width="16.140625" bestFit="1" customWidth="1"/>
  </cols>
  <sheetData>
    <row r="1" spans="1:4">
      <c r="A1" t="s">
        <v>345</v>
      </c>
      <c r="B1" s="112" t="s">
        <v>346</v>
      </c>
      <c r="C1" s="112" t="s">
        <v>347</v>
      </c>
      <c r="D1" s="103" t="s">
        <v>348</v>
      </c>
    </row>
    <row r="2" spans="1:4">
      <c r="A2" s="186" t="s">
        <v>87</v>
      </c>
      <c r="B2" s="101">
        <f>'Study site Biomass and Carbon'!M13</f>
        <v>64.448926259512803</v>
      </c>
      <c r="C2">
        <v>19</v>
      </c>
      <c r="D2" s="206">
        <f t="shared" ref="D2:D21" si="0">STDEV($B$2:$B$4)/SQRT(C2)*TINV(0.05,C2-1)</f>
        <v>11.053994276783788</v>
      </c>
    </row>
    <row r="3" spans="1:4">
      <c r="A3" s="186" t="s">
        <v>349</v>
      </c>
      <c r="B3" s="101">
        <f>'Study site Biomass and Carbon'!M20</f>
        <v>19.033157650137358</v>
      </c>
      <c r="C3">
        <v>20</v>
      </c>
      <c r="D3" s="206">
        <f t="shared" si="0"/>
        <v>10.733597866272124</v>
      </c>
    </row>
    <row r="4" spans="1:4">
      <c r="A4" s="186" t="s">
        <v>91</v>
      </c>
      <c r="B4" s="101">
        <f>'Study site Biomass and Carbon'!M28</f>
        <v>47.309412465106206</v>
      </c>
      <c r="C4">
        <v>25</v>
      </c>
      <c r="D4" s="206">
        <f t="shared" si="0"/>
        <v>9.4668270435317066</v>
      </c>
    </row>
    <row r="5" spans="1:4">
      <c r="C5">
        <v>30</v>
      </c>
      <c r="D5" s="206">
        <f t="shared" si="0"/>
        <v>8.5638203819810261</v>
      </c>
    </row>
    <row r="6" spans="1:4">
      <c r="C6">
        <v>35</v>
      </c>
      <c r="D6" s="206">
        <f t="shared" si="0"/>
        <v>7.8782187488372575</v>
      </c>
    </row>
    <row r="7" spans="1:4">
      <c r="C7">
        <v>40</v>
      </c>
      <c r="D7" s="206">
        <f t="shared" si="0"/>
        <v>7.3347552716467552</v>
      </c>
    </row>
    <row r="8" spans="1:4">
      <c r="C8">
        <v>45</v>
      </c>
      <c r="D8" s="206">
        <f t="shared" si="0"/>
        <v>6.8902361796375224</v>
      </c>
    </row>
    <row r="9" spans="1:4">
      <c r="C9">
        <v>50</v>
      </c>
      <c r="D9" s="206">
        <f t="shared" si="0"/>
        <v>6.517865091129762</v>
      </c>
    </row>
    <row r="10" spans="1:4">
      <c r="C10">
        <v>55</v>
      </c>
      <c r="D10" s="206">
        <f t="shared" si="0"/>
        <v>6.2000184697071941</v>
      </c>
    </row>
    <row r="11" spans="1:4">
      <c r="C11">
        <v>60</v>
      </c>
      <c r="D11" s="206">
        <f t="shared" si="0"/>
        <v>5.9245662333565212</v>
      </c>
    </row>
    <row r="12" spans="1:4">
      <c r="C12">
        <v>65</v>
      </c>
      <c r="D12" s="206">
        <f t="shared" si="0"/>
        <v>5.6828492647064133</v>
      </c>
    </row>
    <row r="13" spans="1:4">
      <c r="C13">
        <v>70</v>
      </c>
      <c r="D13" s="206">
        <f t="shared" si="0"/>
        <v>5.4684984819196512</v>
      </c>
    </row>
    <row r="14" spans="1:4">
      <c r="C14">
        <v>75</v>
      </c>
      <c r="D14" s="206">
        <f t="shared" si="0"/>
        <v>5.2767106161861292</v>
      </c>
    </row>
    <row r="15" spans="1:4">
      <c r="C15">
        <v>80</v>
      </c>
      <c r="D15" s="206">
        <f t="shared" si="0"/>
        <v>5.1037856169041333</v>
      </c>
    </row>
    <row r="16" spans="1:4">
      <c r="C16">
        <v>85</v>
      </c>
      <c r="D16" s="206">
        <f t="shared" si="0"/>
        <v>4.9468208444345549</v>
      </c>
    </row>
    <row r="17" spans="3:7">
      <c r="C17">
        <v>90</v>
      </c>
      <c r="D17" s="206">
        <f t="shared" si="0"/>
        <v>4.8035028804066862</v>
      </c>
    </row>
    <row r="18" spans="3:7">
      <c r="C18">
        <v>95</v>
      </c>
      <c r="D18" s="206">
        <f t="shared" si="0"/>
        <v>4.6719621420879065</v>
      </c>
    </row>
    <row r="19" spans="3:7">
      <c r="C19">
        <v>100</v>
      </c>
      <c r="D19" s="206">
        <f t="shared" si="0"/>
        <v>4.5506690703575856</v>
      </c>
    </row>
    <row r="20" spans="3:7">
      <c r="C20">
        <v>105</v>
      </c>
      <c r="D20" s="206">
        <f t="shared" si="0"/>
        <v>4.4383585336978273</v>
      </c>
    </row>
    <row r="21" spans="3:7">
      <c r="C21">
        <v>110</v>
      </c>
      <c r="D21" s="206">
        <f t="shared" si="0"/>
        <v>4.3339738101530374</v>
      </c>
    </row>
    <row r="22" spans="3:7">
      <c r="G22" s="20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14"/>
  <sheetViews>
    <sheetView topLeftCell="E51" zoomScaleNormal="100" workbookViewId="0">
      <selection activeCell="I20" sqref="I20"/>
    </sheetView>
  </sheetViews>
  <sheetFormatPr defaultRowHeight="15"/>
  <cols>
    <col min="1" max="1" width="10.42578125" bestFit="1" customWidth="1"/>
    <col min="2" max="2" width="21.140625" style="25" bestFit="1" customWidth="1"/>
    <col min="3" max="3" width="10.5703125" style="92" bestFit="1" customWidth="1"/>
    <col min="4" max="4" width="14.28515625" style="92" bestFit="1" customWidth="1"/>
    <col min="5" max="5" width="12" style="92" bestFit="1" customWidth="1"/>
  </cols>
  <sheetData>
    <row r="1" spans="1:7">
      <c r="A1" s="130" t="s">
        <v>65</v>
      </c>
      <c r="B1" s="159" t="s">
        <v>66</v>
      </c>
      <c r="C1" s="157" t="s">
        <v>350</v>
      </c>
      <c r="D1" s="157" t="s">
        <v>351</v>
      </c>
      <c r="E1" s="157" t="s">
        <v>352</v>
      </c>
      <c r="F1" s="130" t="s">
        <v>353</v>
      </c>
      <c r="G1" s="130" t="s">
        <v>354</v>
      </c>
    </row>
    <row r="2" spans="1:7">
      <c r="A2" s="79" t="s">
        <v>355</v>
      </c>
      <c r="B2" s="44" t="s">
        <v>86</v>
      </c>
      <c r="C2" s="95">
        <v>9</v>
      </c>
      <c r="E2" s="98"/>
      <c r="F2" s="80"/>
      <c r="G2" s="80"/>
    </row>
    <row r="3" spans="1:7">
      <c r="A3" s="79" t="s">
        <v>355</v>
      </c>
      <c r="B3" s="97" t="s">
        <v>96</v>
      </c>
      <c r="C3" s="93">
        <v>4</v>
      </c>
      <c r="F3" s="79"/>
      <c r="G3" s="79"/>
    </row>
    <row r="4" spans="1:7">
      <c r="A4" s="79" t="s">
        <v>355</v>
      </c>
      <c r="B4" s="97" t="s">
        <v>86</v>
      </c>
      <c r="C4" s="93">
        <v>3</v>
      </c>
      <c r="F4" s="79"/>
      <c r="G4" s="79"/>
    </row>
    <row r="5" spans="1:7">
      <c r="A5" s="79" t="s">
        <v>355</v>
      </c>
      <c r="B5" s="97" t="s">
        <v>92</v>
      </c>
      <c r="C5" s="93">
        <v>2</v>
      </c>
      <c r="F5" s="79"/>
      <c r="G5" s="79"/>
    </row>
    <row r="6" spans="1:7">
      <c r="A6" s="79" t="s">
        <v>355</v>
      </c>
      <c r="B6" s="96" t="s">
        <v>98</v>
      </c>
      <c r="C6" s="93">
        <v>1</v>
      </c>
      <c r="F6" s="79"/>
      <c r="G6" s="79"/>
    </row>
    <row r="7" spans="1:7">
      <c r="A7" s="79" t="s">
        <v>356</v>
      </c>
      <c r="B7" s="156" t="s">
        <v>357</v>
      </c>
      <c r="C7" s="94"/>
      <c r="D7" s="94" t="s">
        <v>358</v>
      </c>
      <c r="E7" s="94" t="s">
        <v>359</v>
      </c>
      <c r="F7" s="79"/>
      <c r="G7" s="79"/>
    </row>
    <row r="8" spans="1:7">
      <c r="A8" s="79" t="s">
        <v>360</v>
      </c>
      <c r="B8" s="43" t="s">
        <v>93</v>
      </c>
      <c r="C8" s="43">
        <v>1</v>
      </c>
      <c r="F8" s="79"/>
      <c r="G8" s="79"/>
    </row>
    <row r="9" spans="1:7">
      <c r="A9" s="79" t="s">
        <v>360</v>
      </c>
      <c r="B9" s="44" t="s">
        <v>94</v>
      </c>
      <c r="C9" s="43">
        <v>2</v>
      </c>
      <c r="F9" s="79"/>
      <c r="G9" s="79"/>
    </row>
    <row r="10" spans="1:7">
      <c r="A10" s="79" t="s">
        <v>360</v>
      </c>
      <c r="B10" s="44" t="s">
        <v>118</v>
      </c>
      <c r="C10" s="43">
        <v>1</v>
      </c>
      <c r="F10" s="79"/>
      <c r="G10" s="79"/>
    </row>
    <row r="11" spans="1:7">
      <c r="A11" s="79" t="s">
        <v>360</v>
      </c>
      <c r="B11" s="44" t="s">
        <v>95</v>
      </c>
      <c r="C11" s="43">
        <v>1</v>
      </c>
      <c r="F11" s="79"/>
      <c r="G11" s="79"/>
    </row>
    <row r="12" spans="1:7">
      <c r="A12" s="79" t="s">
        <v>360</v>
      </c>
      <c r="B12" s="43" t="s">
        <v>361</v>
      </c>
      <c r="C12" s="43">
        <v>1</v>
      </c>
      <c r="F12" s="79"/>
      <c r="G12" s="79"/>
    </row>
    <row r="13" spans="1:7">
      <c r="A13" s="79" t="s">
        <v>360</v>
      </c>
      <c r="B13" s="44" t="s">
        <v>88</v>
      </c>
      <c r="C13" s="43">
        <v>1</v>
      </c>
      <c r="F13" s="79"/>
      <c r="G13" s="79"/>
    </row>
    <row r="14" spans="1:7">
      <c r="A14" s="79" t="s">
        <v>360</v>
      </c>
      <c r="B14" s="44" t="s">
        <v>120</v>
      </c>
      <c r="C14" s="43">
        <v>1</v>
      </c>
      <c r="F14" s="79"/>
      <c r="G14" s="79"/>
    </row>
    <row r="15" spans="1:7">
      <c r="A15" s="79" t="s">
        <v>360</v>
      </c>
      <c r="B15" s="155" t="s">
        <v>362</v>
      </c>
      <c r="C15" s="93"/>
      <c r="D15" s="93" t="s">
        <v>363</v>
      </c>
      <c r="E15" s="93" t="s">
        <v>364</v>
      </c>
      <c r="F15" s="79"/>
      <c r="G15" s="79"/>
    </row>
    <row r="16" spans="1:7">
      <c r="A16" s="79" t="s">
        <v>365</v>
      </c>
      <c r="B16" s="96" t="s">
        <v>121</v>
      </c>
      <c r="C16" s="93">
        <v>1</v>
      </c>
      <c r="F16" s="79"/>
      <c r="G16" s="79"/>
    </row>
    <row r="17" spans="1:7">
      <c r="A17" s="79" t="s">
        <v>365</v>
      </c>
      <c r="B17" s="96" t="s">
        <v>98</v>
      </c>
      <c r="C17" s="93">
        <v>1</v>
      </c>
      <c r="F17" s="79"/>
      <c r="G17" s="79"/>
    </row>
    <row r="18" spans="1:7">
      <c r="A18" s="79" t="s">
        <v>365</v>
      </c>
      <c r="B18" s="97" t="s">
        <v>96</v>
      </c>
      <c r="C18" s="93">
        <v>1</v>
      </c>
      <c r="F18" s="79"/>
      <c r="G18" s="79"/>
    </row>
    <row r="19" spans="1:7">
      <c r="A19" s="79" t="s">
        <v>365</v>
      </c>
      <c r="B19" s="155" t="s">
        <v>366</v>
      </c>
      <c r="C19" s="93"/>
      <c r="D19" s="93" t="s">
        <v>367</v>
      </c>
      <c r="E19" s="93" t="s">
        <v>368</v>
      </c>
      <c r="F19" s="79"/>
      <c r="G19" s="79"/>
    </row>
    <row r="20" spans="1:7">
      <c r="A20" s="79" t="s">
        <v>369</v>
      </c>
      <c r="B20" s="43" t="s">
        <v>326</v>
      </c>
      <c r="C20" s="128"/>
      <c r="F20" s="93">
        <v>7</v>
      </c>
      <c r="G20" s="81">
        <v>8.536585365853659</v>
      </c>
    </row>
    <row r="21" spans="1:7">
      <c r="A21" s="79" t="s">
        <v>369</v>
      </c>
      <c r="B21" s="43" t="s">
        <v>93</v>
      </c>
      <c r="C21" s="128"/>
      <c r="F21" s="93">
        <v>5</v>
      </c>
      <c r="G21" s="81">
        <v>3.6585365853658538</v>
      </c>
    </row>
    <row r="22" spans="1:7">
      <c r="A22" s="79" t="s">
        <v>369</v>
      </c>
      <c r="B22" s="9" t="s">
        <v>326</v>
      </c>
      <c r="C22" s="20">
        <v>1</v>
      </c>
      <c r="F22" s="79"/>
      <c r="G22" s="79"/>
    </row>
    <row r="23" spans="1:7">
      <c r="A23" s="79" t="s">
        <v>369</v>
      </c>
      <c r="B23" s="43" t="s">
        <v>98</v>
      </c>
      <c r="C23" s="128">
        <v>6</v>
      </c>
      <c r="F23" s="79"/>
      <c r="G23" s="79"/>
    </row>
    <row r="24" spans="1:7">
      <c r="A24" s="79" t="s">
        <v>369</v>
      </c>
      <c r="B24" s="44" t="s">
        <v>96</v>
      </c>
      <c r="C24" s="128">
        <v>3</v>
      </c>
      <c r="F24" s="79"/>
      <c r="G24" s="79"/>
    </row>
    <row r="25" spans="1:7">
      <c r="A25" s="79" t="s">
        <v>369</v>
      </c>
      <c r="B25" s="44" t="s">
        <v>94</v>
      </c>
      <c r="C25" s="128">
        <v>2</v>
      </c>
      <c r="F25" s="79"/>
      <c r="G25" s="79"/>
    </row>
    <row r="26" spans="1:7">
      <c r="A26" s="79" t="s">
        <v>369</v>
      </c>
      <c r="B26" s="43" t="s">
        <v>209</v>
      </c>
      <c r="C26" s="128">
        <v>1</v>
      </c>
      <c r="F26" s="79"/>
      <c r="G26" s="79"/>
    </row>
    <row r="27" spans="1:7">
      <c r="A27" s="79" t="s">
        <v>369</v>
      </c>
      <c r="B27" s="43" t="s">
        <v>370</v>
      </c>
      <c r="C27" s="128">
        <v>1</v>
      </c>
      <c r="F27" s="79"/>
      <c r="G27" s="79"/>
    </row>
    <row r="28" spans="1:7">
      <c r="A28" s="79" t="s">
        <v>369</v>
      </c>
      <c r="B28" s="96" t="s">
        <v>371</v>
      </c>
      <c r="C28" s="93"/>
      <c r="D28" s="93" t="s">
        <v>372</v>
      </c>
      <c r="E28" s="93" t="s">
        <v>373</v>
      </c>
      <c r="F28" s="79"/>
      <c r="G28" s="79"/>
    </row>
    <row r="29" spans="1:7">
      <c r="A29" s="79" t="s">
        <v>374</v>
      </c>
      <c r="B29" s="96" t="s">
        <v>93</v>
      </c>
      <c r="F29" s="93">
        <v>7</v>
      </c>
      <c r="G29" s="81">
        <v>3.6585365853658538</v>
      </c>
    </row>
    <row r="30" spans="1:7">
      <c r="A30" s="79" t="s">
        <v>374</v>
      </c>
      <c r="B30" s="156" t="s">
        <v>375</v>
      </c>
      <c r="C30" s="94"/>
      <c r="D30" s="94" t="s">
        <v>376</v>
      </c>
      <c r="E30" s="94" t="s">
        <v>377</v>
      </c>
      <c r="F30" s="79"/>
      <c r="G30" s="79"/>
    </row>
    <row r="31" spans="1:7">
      <c r="A31" s="79" t="s">
        <v>378</v>
      </c>
      <c r="B31" s="44" t="s">
        <v>86</v>
      </c>
      <c r="C31" s="158"/>
      <c r="F31" s="93">
        <v>6</v>
      </c>
      <c r="G31" s="81">
        <v>2.1341463414634148</v>
      </c>
    </row>
    <row r="32" spans="1:7">
      <c r="A32" s="79" t="s">
        <v>378</v>
      </c>
      <c r="B32" s="44" t="s">
        <v>86</v>
      </c>
      <c r="C32" s="158"/>
      <c r="F32" s="93">
        <v>6</v>
      </c>
      <c r="G32" s="81">
        <v>2.7439024390243905</v>
      </c>
    </row>
    <row r="33" spans="1:7">
      <c r="A33" s="79" t="s">
        <v>378</v>
      </c>
      <c r="B33" s="44" t="s">
        <v>86</v>
      </c>
      <c r="C33" s="158"/>
      <c r="F33" s="93">
        <v>6</v>
      </c>
      <c r="G33" s="81">
        <v>3.3536585365853662</v>
      </c>
    </row>
    <row r="34" spans="1:7">
      <c r="A34" s="79" t="s">
        <v>378</v>
      </c>
      <c r="B34" s="158" t="s">
        <v>379</v>
      </c>
      <c r="C34" s="158"/>
      <c r="F34" s="93">
        <v>5</v>
      </c>
      <c r="G34" s="81">
        <v>3.6585365853658538</v>
      </c>
    </row>
    <row r="35" spans="1:7">
      <c r="A35" s="79" t="s">
        <v>378</v>
      </c>
      <c r="B35" s="160" t="s">
        <v>380</v>
      </c>
      <c r="C35" s="158"/>
      <c r="F35" s="93">
        <v>6</v>
      </c>
      <c r="G35" s="81">
        <v>4.2682926829268295</v>
      </c>
    </row>
    <row r="36" spans="1:7">
      <c r="A36" s="79" t="s">
        <v>378</v>
      </c>
      <c r="B36" s="44" t="s">
        <v>86</v>
      </c>
      <c r="C36" s="43">
        <v>4</v>
      </c>
      <c r="F36" s="79"/>
      <c r="G36" s="79"/>
    </row>
    <row r="37" spans="1:7">
      <c r="A37" s="79" t="s">
        <v>378</v>
      </c>
      <c r="B37" s="44" t="s">
        <v>96</v>
      </c>
      <c r="C37" s="43">
        <v>3</v>
      </c>
      <c r="F37" s="79"/>
      <c r="G37" s="79"/>
    </row>
    <row r="38" spans="1:7">
      <c r="A38" s="79" t="s">
        <v>378</v>
      </c>
      <c r="B38" s="44" t="s">
        <v>118</v>
      </c>
      <c r="C38" s="43">
        <v>1</v>
      </c>
      <c r="F38" s="79"/>
      <c r="G38" s="79"/>
    </row>
    <row r="39" spans="1:7">
      <c r="A39" s="79" t="s">
        <v>378</v>
      </c>
      <c r="B39" s="44" t="s">
        <v>122</v>
      </c>
      <c r="C39" s="43">
        <v>1</v>
      </c>
      <c r="F39" s="79"/>
      <c r="G39" s="79"/>
    </row>
    <row r="40" spans="1:7">
      <c r="A40" s="79" t="s">
        <v>378</v>
      </c>
      <c r="B40" s="44" t="s">
        <v>88</v>
      </c>
      <c r="C40" s="43">
        <v>3</v>
      </c>
      <c r="F40" s="79"/>
      <c r="G40" s="79"/>
    </row>
    <row r="41" spans="1:7">
      <c r="A41" s="79" t="s">
        <v>378</v>
      </c>
      <c r="B41" s="43" t="s">
        <v>381</v>
      </c>
      <c r="C41" s="43">
        <v>1</v>
      </c>
      <c r="F41" s="79"/>
      <c r="G41" s="79"/>
    </row>
    <row r="42" spans="1:7">
      <c r="A42" s="79" t="s">
        <v>378</v>
      </c>
      <c r="B42" s="43" t="s">
        <v>382</v>
      </c>
      <c r="C42" s="43">
        <v>1</v>
      </c>
      <c r="F42" s="79"/>
      <c r="G42" s="79"/>
    </row>
    <row r="43" spans="1:7">
      <c r="A43" s="79" t="s">
        <v>378</v>
      </c>
      <c r="B43" s="155" t="s">
        <v>366</v>
      </c>
      <c r="C43" s="93"/>
      <c r="D43" s="93" t="s">
        <v>363</v>
      </c>
      <c r="E43" s="93" t="s">
        <v>383</v>
      </c>
      <c r="F43" s="79"/>
      <c r="G43" s="79"/>
    </row>
    <row r="44" spans="1:7">
      <c r="A44" s="79" t="s">
        <v>384</v>
      </c>
      <c r="B44" s="156" t="s">
        <v>366</v>
      </c>
      <c r="C44" s="94"/>
      <c r="D44" s="94" t="s">
        <v>385</v>
      </c>
      <c r="E44" s="94" t="s">
        <v>386</v>
      </c>
      <c r="F44" s="79"/>
      <c r="G44" s="79"/>
    </row>
    <row r="45" spans="1:7">
      <c r="A45" s="79" t="s">
        <v>387</v>
      </c>
      <c r="B45" s="44" t="s">
        <v>86</v>
      </c>
      <c r="C45" s="128">
        <v>1</v>
      </c>
      <c r="F45" s="79"/>
      <c r="G45" s="79"/>
    </row>
    <row r="46" spans="1:7">
      <c r="A46" s="79" t="s">
        <v>387</v>
      </c>
      <c r="B46" s="43"/>
      <c r="C46" s="128">
        <v>1</v>
      </c>
      <c r="F46" s="79"/>
      <c r="G46" s="79"/>
    </row>
    <row r="47" spans="1:7">
      <c r="A47" s="79" t="s">
        <v>387</v>
      </c>
      <c r="B47" s="44" t="s">
        <v>118</v>
      </c>
      <c r="C47" s="128">
        <v>2</v>
      </c>
      <c r="F47" s="79"/>
      <c r="G47" s="79"/>
    </row>
    <row r="48" spans="1:7">
      <c r="A48" s="79" t="s">
        <v>387</v>
      </c>
      <c r="B48" s="128" t="s">
        <v>210</v>
      </c>
      <c r="C48" s="128">
        <v>1</v>
      </c>
      <c r="F48" s="79"/>
      <c r="G48" s="79"/>
    </row>
    <row r="49" spans="1:7">
      <c r="A49" s="79" t="s">
        <v>387</v>
      </c>
      <c r="B49" s="44" t="s">
        <v>124</v>
      </c>
      <c r="C49" s="128">
        <v>8</v>
      </c>
      <c r="F49" s="79"/>
      <c r="G49" s="79"/>
    </row>
    <row r="50" spans="1:7">
      <c r="A50" s="79" t="s">
        <v>387</v>
      </c>
      <c r="B50" s="96" t="s">
        <v>366</v>
      </c>
      <c r="C50" s="93"/>
      <c r="D50" s="93" t="s">
        <v>367</v>
      </c>
      <c r="E50" s="93" t="s">
        <v>388</v>
      </c>
      <c r="F50" s="79"/>
      <c r="G50" s="79"/>
    </row>
    <row r="51" spans="1:7">
      <c r="A51" s="79" t="s">
        <v>389</v>
      </c>
      <c r="B51" s="97" t="s">
        <v>96</v>
      </c>
      <c r="C51" s="93">
        <v>1</v>
      </c>
      <c r="F51" s="79"/>
      <c r="G51" s="79"/>
    </row>
    <row r="52" spans="1:7">
      <c r="A52" s="79" t="s">
        <v>389</v>
      </c>
      <c r="B52" s="97" t="s">
        <v>94</v>
      </c>
      <c r="C52" s="93">
        <v>1</v>
      </c>
      <c r="F52" s="79"/>
      <c r="G52" s="79"/>
    </row>
    <row r="53" spans="1:7">
      <c r="A53" s="79" t="s">
        <v>389</v>
      </c>
      <c r="B53" s="96" t="s">
        <v>93</v>
      </c>
      <c r="C53" s="93">
        <v>3</v>
      </c>
      <c r="F53" s="79"/>
      <c r="G53" s="79"/>
    </row>
    <row r="54" spans="1:7">
      <c r="A54" s="79" t="s">
        <v>389</v>
      </c>
      <c r="B54" s="96" t="s">
        <v>98</v>
      </c>
      <c r="C54" s="93">
        <v>1</v>
      </c>
      <c r="F54" s="79"/>
      <c r="G54" s="79"/>
    </row>
    <row r="55" spans="1:7">
      <c r="A55" s="79" t="s">
        <v>389</v>
      </c>
      <c r="B55" s="155" t="s">
        <v>366</v>
      </c>
      <c r="C55" s="93"/>
      <c r="D55" s="93" t="s">
        <v>363</v>
      </c>
      <c r="E55" s="93" t="s">
        <v>390</v>
      </c>
      <c r="F55" s="79"/>
      <c r="G55" s="79"/>
    </row>
    <row r="56" spans="1:7">
      <c r="A56" s="79" t="s">
        <v>391</v>
      </c>
      <c r="B56" s="82" t="s">
        <v>88</v>
      </c>
      <c r="F56" s="89">
        <v>5.3</v>
      </c>
      <c r="G56" s="89">
        <v>10.060975609756099</v>
      </c>
    </row>
    <row r="57" spans="1:7">
      <c r="A57" s="79" t="s">
        <v>391</v>
      </c>
      <c r="B57" s="82" t="s">
        <v>125</v>
      </c>
      <c r="F57" s="89">
        <v>6.1</v>
      </c>
      <c r="G57" s="89">
        <v>11.280487804878049</v>
      </c>
    </row>
    <row r="58" spans="1:7">
      <c r="A58" s="79" t="s">
        <v>391</v>
      </c>
      <c r="B58" s="82" t="s">
        <v>392</v>
      </c>
      <c r="C58" s="94">
        <v>2</v>
      </c>
      <c r="F58" s="79"/>
      <c r="G58" s="79"/>
    </row>
    <row r="59" spans="1:7">
      <c r="A59" s="79" t="s">
        <v>391</v>
      </c>
      <c r="B59" s="82" t="s">
        <v>393</v>
      </c>
      <c r="C59" s="94">
        <v>1</v>
      </c>
      <c r="F59" s="79"/>
      <c r="G59" s="79"/>
    </row>
    <row r="60" spans="1:7">
      <c r="A60" s="79" t="s">
        <v>391</v>
      </c>
      <c r="B60" s="82" t="s">
        <v>88</v>
      </c>
      <c r="C60" s="94">
        <v>1</v>
      </c>
      <c r="F60" s="79"/>
      <c r="G60" s="79"/>
    </row>
    <row r="61" spans="1:7">
      <c r="A61" s="79" t="s">
        <v>394</v>
      </c>
      <c r="B61" s="82" t="s">
        <v>88</v>
      </c>
      <c r="C61" s="9">
        <v>8</v>
      </c>
      <c r="F61" s="79"/>
      <c r="G61" s="79"/>
    </row>
    <row r="62" spans="1:7">
      <c r="A62" s="79" t="s">
        <v>394</v>
      </c>
      <c r="B62" s="82" t="s">
        <v>125</v>
      </c>
      <c r="C62" s="9">
        <v>1</v>
      </c>
      <c r="F62" s="79"/>
      <c r="G62" s="79"/>
    </row>
    <row r="63" spans="1:7">
      <c r="A63" s="79" t="s">
        <v>394</v>
      </c>
      <c r="B63" s="160" t="s">
        <v>395</v>
      </c>
      <c r="C63" s="9">
        <v>1</v>
      </c>
      <c r="F63" s="79"/>
      <c r="G63" s="79"/>
    </row>
    <row r="64" spans="1:7">
      <c r="A64" s="79" t="s">
        <v>394</v>
      </c>
      <c r="B64" s="160" t="s">
        <v>396</v>
      </c>
      <c r="C64" s="9">
        <v>1</v>
      </c>
      <c r="F64" s="79"/>
      <c r="G64" s="79"/>
    </row>
    <row r="65" spans="1:7">
      <c r="A65" s="79" t="s">
        <v>394</v>
      </c>
      <c r="B65" s="160" t="s">
        <v>124</v>
      </c>
      <c r="C65" s="9">
        <v>1</v>
      </c>
      <c r="F65" s="79"/>
      <c r="G65" s="79"/>
    </row>
    <row r="66" spans="1:7">
      <c r="A66" s="79" t="s">
        <v>394</v>
      </c>
      <c r="B66" s="160" t="s">
        <v>397</v>
      </c>
      <c r="C66" s="9">
        <v>1</v>
      </c>
      <c r="F66" s="79"/>
      <c r="G66" s="79"/>
    </row>
    <row r="67" spans="1:7">
      <c r="A67" s="79" t="s">
        <v>394</v>
      </c>
      <c r="B67" s="161" t="s">
        <v>398</v>
      </c>
      <c r="C67" s="9">
        <v>1</v>
      </c>
      <c r="F67" s="79"/>
      <c r="G67" s="79"/>
    </row>
    <row r="68" spans="1:7">
      <c r="A68" s="79" t="s">
        <v>399</v>
      </c>
      <c r="B68" s="82" t="s">
        <v>88</v>
      </c>
      <c r="C68" s="9">
        <v>7</v>
      </c>
      <c r="F68" s="79"/>
      <c r="G68" s="79"/>
    </row>
    <row r="69" spans="1:7">
      <c r="A69" s="79" t="s">
        <v>399</v>
      </c>
      <c r="B69" s="161" t="s">
        <v>400</v>
      </c>
      <c r="C69" s="9">
        <v>1</v>
      </c>
      <c r="F69" s="79"/>
      <c r="G69" s="79"/>
    </row>
    <row r="70" spans="1:7">
      <c r="A70" s="79" t="s">
        <v>399</v>
      </c>
      <c r="B70" s="161" t="s">
        <v>401</v>
      </c>
      <c r="C70" s="9">
        <v>2</v>
      </c>
      <c r="F70" s="79"/>
      <c r="G70" s="79"/>
    </row>
    <row r="71" spans="1:7">
      <c r="A71" s="79" t="s">
        <v>399</v>
      </c>
      <c r="B71" s="160" t="s">
        <v>402</v>
      </c>
      <c r="C71" s="9">
        <v>2</v>
      </c>
      <c r="F71" s="79"/>
      <c r="G71" s="79"/>
    </row>
    <row r="72" spans="1:7">
      <c r="A72" s="79" t="s">
        <v>399</v>
      </c>
      <c r="B72" s="160" t="s">
        <v>403</v>
      </c>
      <c r="C72" s="9">
        <v>1</v>
      </c>
      <c r="F72" s="79"/>
      <c r="G72" s="79"/>
    </row>
    <row r="73" spans="1:7">
      <c r="A73" s="79" t="s">
        <v>399</v>
      </c>
      <c r="B73" s="160" t="s">
        <v>404</v>
      </c>
      <c r="C73" s="9">
        <v>1</v>
      </c>
      <c r="F73" s="79"/>
      <c r="G73" s="79"/>
    </row>
    <row r="74" spans="1:7">
      <c r="A74" s="79" t="s">
        <v>399</v>
      </c>
      <c r="B74" s="160" t="s">
        <v>322</v>
      </c>
      <c r="C74" s="9">
        <v>1</v>
      </c>
      <c r="F74" s="79"/>
      <c r="G74" s="79"/>
    </row>
    <row r="75" spans="1:7">
      <c r="A75" s="79" t="s">
        <v>399</v>
      </c>
      <c r="B75" s="161" t="s">
        <v>405</v>
      </c>
      <c r="C75" s="9">
        <v>1</v>
      </c>
      <c r="F75" s="79"/>
      <c r="G75" s="79"/>
    </row>
    <row r="76" spans="1:7">
      <c r="A76" s="79" t="s">
        <v>406</v>
      </c>
      <c r="B76" s="82" t="s">
        <v>88</v>
      </c>
      <c r="C76" s="94"/>
      <c r="F76" s="94">
        <v>5.8</v>
      </c>
      <c r="G76" s="89">
        <v>4.786585365853659</v>
      </c>
    </row>
    <row r="77" spans="1:7">
      <c r="A77" s="79" t="s">
        <v>406</v>
      </c>
      <c r="B77" s="82" t="s">
        <v>88</v>
      </c>
      <c r="C77" s="9">
        <v>2</v>
      </c>
      <c r="F77" s="79"/>
      <c r="G77" s="79"/>
    </row>
    <row r="78" spans="1:7">
      <c r="A78" s="79" t="s">
        <v>406</v>
      </c>
      <c r="B78" s="161" t="s">
        <v>407</v>
      </c>
      <c r="C78" s="9">
        <v>1</v>
      </c>
      <c r="F78" s="79"/>
      <c r="G78" s="79"/>
    </row>
    <row r="79" spans="1:7">
      <c r="A79" s="79" t="s">
        <v>406</v>
      </c>
      <c r="B79" s="160" t="s">
        <v>137</v>
      </c>
      <c r="C79" s="9">
        <v>1</v>
      </c>
      <c r="F79" s="79"/>
      <c r="G79" s="79"/>
    </row>
    <row r="80" spans="1:7">
      <c r="A80" s="79" t="s">
        <v>406</v>
      </c>
      <c r="B80" s="160" t="s">
        <v>95</v>
      </c>
      <c r="C80" s="9">
        <v>1</v>
      </c>
      <c r="F80" s="79"/>
      <c r="G80" s="79"/>
    </row>
    <row r="81" spans="1:7">
      <c r="A81" s="79" t="s">
        <v>406</v>
      </c>
      <c r="B81" s="160" t="s">
        <v>314</v>
      </c>
      <c r="C81" s="9">
        <v>1</v>
      </c>
      <c r="F81" s="79"/>
      <c r="G81" s="79"/>
    </row>
    <row r="82" spans="1:7">
      <c r="A82" s="79" t="s">
        <v>406</v>
      </c>
      <c r="B82" s="160" t="s">
        <v>408</v>
      </c>
      <c r="C82" s="9">
        <v>1</v>
      </c>
      <c r="F82" s="79"/>
      <c r="G82" s="79"/>
    </row>
    <row r="83" spans="1:7">
      <c r="A83" s="79" t="s">
        <v>406</v>
      </c>
      <c r="B83" s="160" t="s">
        <v>234</v>
      </c>
      <c r="C83" s="9">
        <v>1</v>
      </c>
      <c r="F83" s="79"/>
      <c r="G83" s="79"/>
    </row>
    <row r="84" spans="1:7">
      <c r="A84" s="79" t="s">
        <v>406</v>
      </c>
      <c r="B84" s="160" t="s">
        <v>409</v>
      </c>
      <c r="C84" s="9">
        <v>1</v>
      </c>
      <c r="F84" s="79"/>
      <c r="G84" s="79"/>
    </row>
    <row r="85" spans="1:7">
      <c r="A85" s="79" t="s">
        <v>406</v>
      </c>
      <c r="B85" s="160" t="s">
        <v>180</v>
      </c>
      <c r="C85" s="9">
        <v>1</v>
      </c>
      <c r="F85" s="79"/>
      <c r="G85" s="79"/>
    </row>
    <row r="86" spans="1:7">
      <c r="A86" s="79" t="s">
        <v>406</v>
      </c>
      <c r="B86" s="160" t="s">
        <v>322</v>
      </c>
      <c r="C86" s="9">
        <v>1</v>
      </c>
      <c r="F86" s="79"/>
      <c r="G86" s="79"/>
    </row>
    <row r="87" spans="1:7">
      <c r="A87" s="79" t="s">
        <v>406</v>
      </c>
      <c r="B87" s="160" t="s">
        <v>410</v>
      </c>
      <c r="C87" s="9">
        <v>1</v>
      </c>
      <c r="F87" s="79"/>
      <c r="G87" s="79"/>
    </row>
    <row r="88" spans="1:7">
      <c r="A88" s="79" t="s">
        <v>411</v>
      </c>
      <c r="B88" s="82" t="s">
        <v>88</v>
      </c>
      <c r="C88" s="30">
        <v>1</v>
      </c>
      <c r="F88" s="79"/>
      <c r="G88" s="79"/>
    </row>
    <row r="89" spans="1:7">
      <c r="A89" s="79" t="s">
        <v>411</v>
      </c>
      <c r="B89" s="160" t="s">
        <v>412</v>
      </c>
      <c r="C89" s="30">
        <v>1</v>
      </c>
      <c r="F89" s="79"/>
      <c r="G89" s="79"/>
    </row>
    <row r="90" spans="1:7">
      <c r="A90" s="79" t="s">
        <v>411</v>
      </c>
      <c r="B90" s="155" t="s">
        <v>413</v>
      </c>
      <c r="C90" s="94"/>
      <c r="D90" s="95" t="s">
        <v>363</v>
      </c>
      <c r="E90" s="95" t="s">
        <v>414</v>
      </c>
      <c r="F90" s="79"/>
      <c r="G90" s="79"/>
    </row>
    <row r="91" spans="1:7">
      <c r="A91" s="79" t="s">
        <v>415</v>
      </c>
      <c r="B91" s="160" t="s">
        <v>410</v>
      </c>
      <c r="F91" s="89">
        <v>8</v>
      </c>
      <c r="G91" s="89">
        <v>6.0975609756097562</v>
      </c>
    </row>
    <row r="92" spans="1:7">
      <c r="A92" s="79" t="s">
        <v>415</v>
      </c>
      <c r="B92" s="160" t="s">
        <v>410</v>
      </c>
      <c r="F92" s="89">
        <v>7</v>
      </c>
      <c r="G92" s="89">
        <v>6.0975609756097562</v>
      </c>
    </row>
    <row r="93" spans="1:7">
      <c r="A93" s="79" t="s">
        <v>415</v>
      </c>
      <c r="B93" s="160" t="s">
        <v>410</v>
      </c>
      <c r="F93" s="89">
        <v>5</v>
      </c>
      <c r="G93" s="89">
        <v>5.4878048780487809</v>
      </c>
    </row>
    <row r="94" spans="1:7">
      <c r="A94" s="79" t="s">
        <v>415</v>
      </c>
      <c r="B94" s="160" t="s">
        <v>410</v>
      </c>
      <c r="C94" s="9">
        <v>7</v>
      </c>
      <c r="F94" s="79"/>
      <c r="G94" s="79"/>
    </row>
    <row r="95" spans="1:7">
      <c r="A95" s="79" t="s">
        <v>415</v>
      </c>
      <c r="B95" s="160" t="s">
        <v>156</v>
      </c>
      <c r="C95" s="9">
        <v>1</v>
      </c>
      <c r="F95" s="79"/>
      <c r="G95" s="79"/>
    </row>
    <row r="96" spans="1:7">
      <c r="A96" s="79" t="s">
        <v>415</v>
      </c>
      <c r="B96" s="160" t="s">
        <v>416</v>
      </c>
      <c r="C96" s="9">
        <v>2</v>
      </c>
      <c r="F96" s="79"/>
      <c r="G96" s="79"/>
    </row>
    <row r="97" spans="1:7">
      <c r="A97" s="79" t="s">
        <v>415</v>
      </c>
      <c r="B97" s="155" t="s">
        <v>417</v>
      </c>
      <c r="C97" s="94">
        <v>4</v>
      </c>
      <c r="F97" s="79"/>
      <c r="G97" s="79"/>
    </row>
    <row r="98" spans="1:7">
      <c r="A98" s="79" t="s">
        <v>418</v>
      </c>
      <c r="B98" s="161" t="s">
        <v>419</v>
      </c>
      <c r="F98" s="95">
        <v>8</v>
      </c>
      <c r="G98" s="88">
        <f t="shared" ref="G98" si="0">35/3.28</f>
        <v>10.670731707317074</v>
      </c>
    </row>
    <row r="99" spans="1:7">
      <c r="A99" s="79" t="s">
        <v>418</v>
      </c>
      <c r="B99" s="82" t="s">
        <v>88</v>
      </c>
      <c r="C99" s="95">
        <v>2</v>
      </c>
      <c r="F99" s="79"/>
      <c r="G99" s="79"/>
    </row>
    <row r="100" spans="1:7">
      <c r="A100" s="79" t="s">
        <v>418</v>
      </c>
      <c r="B100" s="155" t="s">
        <v>413</v>
      </c>
      <c r="D100" s="92" t="s">
        <v>420</v>
      </c>
      <c r="E100" s="92" t="s">
        <v>421</v>
      </c>
      <c r="F100" s="79"/>
      <c r="G100" s="79"/>
    </row>
    <row r="101" spans="1:7">
      <c r="A101" s="79" t="s">
        <v>422</v>
      </c>
      <c r="B101" s="155" t="s">
        <v>423</v>
      </c>
      <c r="C101" s="94"/>
      <c r="D101" s="94" t="s">
        <v>367</v>
      </c>
      <c r="E101" s="94" t="s">
        <v>424</v>
      </c>
      <c r="F101" s="79"/>
      <c r="G101" s="79"/>
    </row>
    <row r="102" spans="1:7">
      <c r="A102" s="79" t="s">
        <v>425</v>
      </c>
      <c r="B102" s="9" t="s">
        <v>170</v>
      </c>
      <c r="C102" s="9">
        <v>1</v>
      </c>
      <c r="F102" s="79"/>
      <c r="G102" s="79"/>
    </row>
    <row r="103" spans="1:7">
      <c r="A103" s="79" t="s">
        <v>425</v>
      </c>
      <c r="B103" s="9" t="s">
        <v>426</v>
      </c>
      <c r="C103" s="9">
        <v>2</v>
      </c>
      <c r="F103" s="79"/>
      <c r="G103" s="79"/>
    </row>
    <row r="104" spans="1:7">
      <c r="A104" s="79" t="s">
        <v>425</v>
      </c>
      <c r="B104" s="160" t="s">
        <v>427</v>
      </c>
      <c r="C104" s="9">
        <v>4</v>
      </c>
      <c r="F104" s="79"/>
      <c r="G104" s="79"/>
    </row>
    <row r="105" spans="1:7">
      <c r="A105" s="79" t="s">
        <v>425</v>
      </c>
      <c r="B105" s="9" t="s">
        <v>428</v>
      </c>
      <c r="C105" s="9">
        <v>3</v>
      </c>
      <c r="F105" s="79"/>
      <c r="G105" s="79"/>
    </row>
    <row r="106" spans="1:7">
      <c r="A106" s="79" t="s">
        <v>425</v>
      </c>
      <c r="B106" s="9" t="s">
        <v>429</v>
      </c>
      <c r="C106" s="9">
        <v>1</v>
      </c>
      <c r="F106" s="79"/>
      <c r="G106" s="79"/>
    </row>
    <row r="107" spans="1:7">
      <c r="A107" s="79" t="s">
        <v>425</v>
      </c>
      <c r="B107" s="9" t="s">
        <v>243</v>
      </c>
      <c r="C107" s="9">
        <v>1</v>
      </c>
      <c r="F107" s="79"/>
      <c r="G107" s="79"/>
    </row>
    <row r="108" spans="1:7">
      <c r="A108" s="79" t="s">
        <v>425</v>
      </c>
      <c r="B108" s="9" t="s">
        <v>410</v>
      </c>
      <c r="C108" s="9">
        <v>4</v>
      </c>
      <c r="F108" s="79"/>
      <c r="G108" s="79"/>
    </row>
    <row r="109" spans="1:7">
      <c r="A109" s="79" t="s">
        <v>425</v>
      </c>
      <c r="B109" s="9" t="s">
        <v>430</v>
      </c>
      <c r="C109" s="9">
        <v>2</v>
      </c>
      <c r="F109" s="79"/>
      <c r="G109" s="79"/>
    </row>
    <row r="110" spans="1:7">
      <c r="A110" s="79" t="s">
        <v>425</v>
      </c>
      <c r="B110" s="9" t="s">
        <v>169</v>
      </c>
      <c r="C110" s="9">
        <v>1</v>
      </c>
      <c r="F110" s="79"/>
      <c r="G110" s="79"/>
    </row>
    <row r="111" spans="1:7">
      <c r="A111" s="79" t="s">
        <v>425</v>
      </c>
      <c r="B111" s="155" t="s">
        <v>431</v>
      </c>
      <c r="C111" s="94"/>
      <c r="D111" s="94">
        <v>1</v>
      </c>
      <c r="E111" s="94" t="s">
        <v>432</v>
      </c>
      <c r="F111" s="79"/>
      <c r="G111" s="79"/>
    </row>
    <row r="114" spans="3:3">
      <c r="C114" s="163" t="s">
        <v>433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05"/>
  <sheetViews>
    <sheetView topLeftCell="B1" workbookViewId="0">
      <selection activeCell="O193" sqref="O193"/>
    </sheetView>
  </sheetViews>
  <sheetFormatPr defaultRowHeight="15"/>
  <cols>
    <col min="1" max="1" width="17.5703125" style="79" bestFit="1" customWidth="1"/>
    <col min="2" max="2" width="22.7109375" style="79" bestFit="1" customWidth="1"/>
    <col min="3" max="4" width="22.7109375" style="79" customWidth="1"/>
    <col min="5" max="5" width="13.7109375" bestFit="1" customWidth="1"/>
    <col min="9" max="9" width="27.42578125" bestFit="1" customWidth="1"/>
    <col min="10" max="10" width="25.28515625" bestFit="1" customWidth="1"/>
    <col min="11" max="11" width="13.5703125" bestFit="1" customWidth="1"/>
    <col min="15" max="15" width="25.7109375" bestFit="1" customWidth="1"/>
    <col min="16" max="16" width="25.85546875" bestFit="1" customWidth="1"/>
    <col min="17" max="17" width="13.140625" bestFit="1" customWidth="1"/>
  </cols>
  <sheetData>
    <row r="1" spans="1:17">
      <c r="A1" s="295" t="s">
        <v>712</v>
      </c>
      <c r="B1" s="295"/>
      <c r="C1" s="295"/>
      <c r="D1" s="295"/>
      <c r="I1" s="294" t="s">
        <v>349</v>
      </c>
      <c r="O1" s="294" t="s">
        <v>714</v>
      </c>
    </row>
    <row r="2" spans="1:17" s="112" customFormat="1">
      <c r="A2" s="296" t="s">
        <v>223</v>
      </c>
      <c r="B2" s="296" t="s">
        <v>713</v>
      </c>
      <c r="C2" s="112" t="s">
        <v>715</v>
      </c>
      <c r="D2" s="296"/>
      <c r="I2" s="112" t="s">
        <v>223</v>
      </c>
      <c r="J2" s="112" t="s">
        <v>713</v>
      </c>
      <c r="K2" s="112" t="s">
        <v>716</v>
      </c>
      <c r="O2" s="112" t="s">
        <v>223</v>
      </c>
      <c r="P2" s="112" t="s">
        <v>713</v>
      </c>
      <c r="Q2" s="112" t="s">
        <v>717</v>
      </c>
    </row>
    <row r="3" spans="1:17" hidden="1">
      <c r="A3" s="43" t="s">
        <v>275</v>
      </c>
      <c r="B3" s="44" t="s">
        <v>86</v>
      </c>
      <c r="C3">
        <v>37</v>
      </c>
      <c r="D3" s="44"/>
      <c r="I3" s="183" t="s">
        <v>239</v>
      </c>
      <c r="J3" s="97" t="s">
        <v>125</v>
      </c>
      <c r="K3" s="80">
        <v>4</v>
      </c>
      <c r="O3" s="96" t="s">
        <v>230</v>
      </c>
      <c r="P3" s="97" t="s">
        <v>88</v>
      </c>
      <c r="Q3" s="80">
        <v>40</v>
      </c>
    </row>
    <row r="4" spans="1:17" hidden="1">
      <c r="A4" s="43" t="s">
        <v>230</v>
      </c>
      <c r="B4" s="44" t="s">
        <v>88</v>
      </c>
      <c r="C4" s="44"/>
      <c r="D4" s="44"/>
      <c r="I4" s="96" t="s">
        <v>230</v>
      </c>
      <c r="J4" s="97" t="s">
        <v>88</v>
      </c>
      <c r="K4" s="80"/>
      <c r="O4" s="30" t="s">
        <v>286</v>
      </c>
      <c r="P4" s="297" t="s">
        <v>135</v>
      </c>
      <c r="Q4" s="80"/>
    </row>
    <row r="5" spans="1:17" hidden="1">
      <c r="A5" s="43" t="s">
        <v>236</v>
      </c>
      <c r="B5" s="44" t="s">
        <v>90</v>
      </c>
      <c r="C5" s="44"/>
      <c r="D5" s="44"/>
      <c r="I5" s="96" t="s">
        <v>230</v>
      </c>
      <c r="J5" s="97" t="s">
        <v>88</v>
      </c>
      <c r="K5" s="80"/>
      <c r="O5" s="43" t="s">
        <v>265</v>
      </c>
      <c r="P5" s="297" t="s">
        <v>137</v>
      </c>
      <c r="Q5" s="80"/>
    </row>
    <row r="6" spans="1:17" hidden="1">
      <c r="A6" s="43" t="s">
        <v>294</v>
      </c>
      <c r="B6" s="44" t="s">
        <v>92</v>
      </c>
      <c r="C6" s="44"/>
      <c r="D6" s="44"/>
      <c r="I6" s="96" t="s">
        <v>230</v>
      </c>
      <c r="J6" s="97" t="s">
        <v>88</v>
      </c>
      <c r="K6" s="80"/>
      <c r="O6" s="43" t="s">
        <v>261</v>
      </c>
      <c r="P6" s="297" t="s">
        <v>661</v>
      </c>
      <c r="Q6" s="80"/>
    </row>
    <row r="7" spans="1:17" hidden="1">
      <c r="A7" s="43" t="s">
        <v>264</v>
      </c>
      <c r="B7" s="43" t="s">
        <v>93</v>
      </c>
      <c r="C7" s="43"/>
      <c r="D7" s="43"/>
      <c r="I7" s="96" t="s">
        <v>230</v>
      </c>
      <c r="J7" s="97" t="s">
        <v>88</v>
      </c>
      <c r="K7" s="80"/>
      <c r="O7" s="43" t="s">
        <v>245</v>
      </c>
      <c r="P7" s="298" t="s">
        <v>657</v>
      </c>
      <c r="Q7" s="80"/>
    </row>
    <row r="8" spans="1:17" hidden="1">
      <c r="A8" s="43" t="s">
        <v>250</v>
      </c>
      <c r="B8" s="44" t="s">
        <v>94</v>
      </c>
      <c r="C8" s="44"/>
      <c r="D8" s="44"/>
      <c r="I8" s="96" t="s">
        <v>230</v>
      </c>
      <c r="J8" s="97" t="s">
        <v>88</v>
      </c>
      <c r="K8" s="80"/>
      <c r="O8" s="96" t="s">
        <v>276</v>
      </c>
      <c r="P8" s="297" t="s">
        <v>143</v>
      </c>
      <c r="Q8" s="80"/>
    </row>
    <row r="9" spans="1:17" hidden="1">
      <c r="A9" s="43" t="s">
        <v>230</v>
      </c>
      <c r="B9" s="44" t="s">
        <v>88</v>
      </c>
      <c r="C9" s="44"/>
      <c r="D9" s="44"/>
      <c r="I9" s="96" t="s">
        <v>230</v>
      </c>
      <c r="J9" s="97" t="s">
        <v>88</v>
      </c>
      <c r="K9" s="80"/>
      <c r="O9" s="30" t="s">
        <v>290</v>
      </c>
      <c r="P9" s="297" t="s">
        <v>663</v>
      </c>
      <c r="Q9" s="80"/>
    </row>
    <row r="10" spans="1:17" hidden="1">
      <c r="A10" s="43" t="s">
        <v>261</v>
      </c>
      <c r="B10" s="44" t="s">
        <v>95</v>
      </c>
      <c r="C10" s="44"/>
      <c r="D10" s="44"/>
      <c r="I10" s="96" t="s">
        <v>230</v>
      </c>
      <c r="J10" s="97" t="s">
        <v>88</v>
      </c>
      <c r="K10" s="80"/>
      <c r="O10" s="43" t="s">
        <v>245</v>
      </c>
      <c r="P10" s="298" t="s">
        <v>657</v>
      </c>
      <c r="Q10" s="80"/>
    </row>
    <row r="11" spans="1:17" hidden="1">
      <c r="A11" s="43" t="s">
        <v>270</v>
      </c>
      <c r="B11" s="44" t="s">
        <v>96</v>
      </c>
      <c r="C11" s="44"/>
      <c r="D11" s="44"/>
      <c r="I11" s="96" t="s">
        <v>230</v>
      </c>
      <c r="J11" s="97" t="s">
        <v>88</v>
      </c>
      <c r="K11" s="80"/>
      <c r="O11" s="96" t="s">
        <v>293</v>
      </c>
      <c r="P11" s="297" t="s">
        <v>664</v>
      </c>
      <c r="Q11" s="80"/>
    </row>
    <row r="12" spans="1:17" hidden="1">
      <c r="A12" s="43" t="s">
        <v>294</v>
      </c>
      <c r="B12" s="44" t="s">
        <v>92</v>
      </c>
      <c r="C12" s="44"/>
      <c r="D12" s="44"/>
      <c r="I12" s="96" t="s">
        <v>230</v>
      </c>
      <c r="J12" s="97" t="s">
        <v>88</v>
      </c>
      <c r="K12" s="80"/>
      <c r="O12" s="30" t="s">
        <v>291</v>
      </c>
      <c r="P12" s="297" t="s">
        <v>150</v>
      </c>
      <c r="Q12" s="80"/>
    </row>
    <row r="13" spans="1:17" hidden="1">
      <c r="A13" s="43" t="s">
        <v>294</v>
      </c>
      <c r="B13" s="44" t="s">
        <v>92</v>
      </c>
      <c r="C13" s="44"/>
      <c r="D13" s="44"/>
      <c r="I13" s="96" t="s">
        <v>230</v>
      </c>
      <c r="J13" s="97" t="s">
        <v>88</v>
      </c>
      <c r="K13" s="80"/>
      <c r="O13" s="43" t="s">
        <v>245</v>
      </c>
      <c r="P13" s="298" t="s">
        <v>657</v>
      </c>
      <c r="Q13" s="80"/>
    </row>
    <row r="14" spans="1:17" hidden="1">
      <c r="A14" s="43" t="s">
        <v>264</v>
      </c>
      <c r="B14" s="43" t="s">
        <v>93</v>
      </c>
      <c r="C14" s="43"/>
      <c r="D14" s="43"/>
      <c r="I14" s="96" t="s">
        <v>230</v>
      </c>
      <c r="J14" s="97" t="s">
        <v>88</v>
      </c>
      <c r="K14" s="80"/>
      <c r="O14" s="96" t="s">
        <v>293</v>
      </c>
      <c r="P14" s="297" t="s">
        <v>664</v>
      </c>
      <c r="Q14" s="80"/>
    </row>
    <row r="15" spans="1:17" hidden="1">
      <c r="A15" s="43" t="s">
        <v>230</v>
      </c>
      <c r="B15" s="44" t="s">
        <v>88</v>
      </c>
      <c r="C15" s="44"/>
      <c r="D15" s="44"/>
      <c r="I15" s="96" t="s">
        <v>230</v>
      </c>
      <c r="J15" s="97" t="s">
        <v>88</v>
      </c>
      <c r="K15" s="80"/>
      <c r="O15" s="43" t="s">
        <v>245</v>
      </c>
      <c r="P15" s="298" t="s">
        <v>657</v>
      </c>
      <c r="Q15" s="80"/>
    </row>
    <row r="16" spans="1:17" hidden="1">
      <c r="A16" s="43" t="s">
        <v>294</v>
      </c>
      <c r="B16" s="44" t="s">
        <v>92</v>
      </c>
      <c r="C16" s="44"/>
      <c r="D16" s="44"/>
      <c r="I16" s="96" t="s">
        <v>230</v>
      </c>
      <c r="J16" s="97" t="s">
        <v>88</v>
      </c>
      <c r="K16" s="80"/>
      <c r="O16" s="96" t="s">
        <v>230</v>
      </c>
      <c r="P16" s="97" t="s">
        <v>88</v>
      </c>
      <c r="Q16" s="80"/>
    </row>
    <row r="17" spans="1:17" hidden="1">
      <c r="A17" s="43" t="s">
        <v>242</v>
      </c>
      <c r="B17" s="43" t="s">
        <v>98</v>
      </c>
      <c r="C17" s="43"/>
      <c r="D17" s="43"/>
      <c r="I17" s="96" t="s">
        <v>230</v>
      </c>
      <c r="J17" s="97" t="s">
        <v>88</v>
      </c>
      <c r="K17" s="80"/>
      <c r="O17" s="96" t="s">
        <v>230</v>
      </c>
      <c r="P17" s="97" t="s">
        <v>88</v>
      </c>
      <c r="Q17" s="80"/>
    </row>
    <row r="18" spans="1:17" hidden="1">
      <c r="A18" s="43" t="s">
        <v>242</v>
      </c>
      <c r="B18" s="43" t="s">
        <v>98</v>
      </c>
      <c r="C18" s="43"/>
      <c r="D18" s="43"/>
      <c r="I18" s="96" t="s">
        <v>230</v>
      </c>
      <c r="J18" s="97" t="s">
        <v>88</v>
      </c>
      <c r="K18" s="80"/>
      <c r="O18" s="43" t="s">
        <v>245</v>
      </c>
      <c r="P18" s="298" t="s">
        <v>657</v>
      </c>
      <c r="Q18" s="80"/>
    </row>
    <row r="19" spans="1:17" hidden="1">
      <c r="A19" s="43" t="s">
        <v>261</v>
      </c>
      <c r="B19" s="44" t="s">
        <v>95</v>
      </c>
      <c r="C19" s="44"/>
      <c r="D19" s="44"/>
      <c r="I19" s="96" t="s">
        <v>230</v>
      </c>
      <c r="J19" s="97" t="s">
        <v>88</v>
      </c>
      <c r="K19" s="80"/>
      <c r="O19" s="43" t="s">
        <v>265</v>
      </c>
      <c r="P19" s="297" t="s">
        <v>137</v>
      </c>
      <c r="Q19" s="80"/>
    </row>
    <row r="20" spans="1:17" hidden="1">
      <c r="A20" s="43" t="s">
        <v>275</v>
      </c>
      <c r="B20" s="44" t="s">
        <v>86</v>
      </c>
      <c r="C20" s="44"/>
      <c r="D20" s="44"/>
      <c r="I20" s="96" t="s">
        <v>230</v>
      </c>
      <c r="J20" s="97" t="s">
        <v>88</v>
      </c>
      <c r="K20" s="80"/>
      <c r="O20" s="43" t="s">
        <v>245</v>
      </c>
      <c r="P20" s="298" t="s">
        <v>657</v>
      </c>
      <c r="Q20" s="80"/>
    </row>
    <row r="21" spans="1:17" hidden="1">
      <c r="A21" s="43" t="s">
        <v>236</v>
      </c>
      <c r="B21" s="44" t="s">
        <v>90</v>
      </c>
      <c r="C21" s="44"/>
      <c r="D21" s="44"/>
      <c r="I21" s="96" t="s">
        <v>230</v>
      </c>
      <c r="J21" s="97" t="s">
        <v>88</v>
      </c>
      <c r="K21" s="80"/>
      <c r="O21" s="43" t="s">
        <v>245</v>
      </c>
      <c r="P21" s="298" t="s">
        <v>657</v>
      </c>
      <c r="Q21" s="80"/>
    </row>
    <row r="22" spans="1:17" hidden="1">
      <c r="A22" s="43" t="s">
        <v>236</v>
      </c>
      <c r="B22" s="44" t="s">
        <v>90</v>
      </c>
      <c r="C22" s="44"/>
      <c r="D22" s="44"/>
      <c r="I22" s="96" t="s">
        <v>230</v>
      </c>
      <c r="J22" s="97" t="s">
        <v>88</v>
      </c>
      <c r="K22" s="80"/>
      <c r="O22" s="30" t="s">
        <v>288</v>
      </c>
      <c r="P22" s="298" t="s">
        <v>670</v>
      </c>
      <c r="Q22" s="80"/>
    </row>
    <row r="23" spans="1:17" hidden="1">
      <c r="A23" s="43" t="s">
        <v>242</v>
      </c>
      <c r="B23" s="43" t="s">
        <v>98</v>
      </c>
      <c r="C23" s="43"/>
      <c r="D23" s="43"/>
      <c r="I23" s="96" t="s">
        <v>230</v>
      </c>
      <c r="J23" s="97" t="s">
        <v>88</v>
      </c>
      <c r="K23" s="80"/>
      <c r="O23" s="30" t="s">
        <v>291</v>
      </c>
      <c r="P23" s="297" t="s">
        <v>150</v>
      </c>
      <c r="Q23" s="80"/>
    </row>
    <row r="24" spans="1:17" hidden="1">
      <c r="A24" s="43" t="s">
        <v>264</v>
      </c>
      <c r="B24" s="43" t="s">
        <v>93</v>
      </c>
      <c r="C24" s="43"/>
      <c r="D24" s="43"/>
      <c r="I24" s="96" t="s">
        <v>230</v>
      </c>
      <c r="J24" s="97" t="s">
        <v>88</v>
      </c>
      <c r="K24" s="80"/>
      <c r="O24" s="43" t="s">
        <v>265</v>
      </c>
      <c r="P24" s="297" t="s">
        <v>137</v>
      </c>
      <c r="Q24" s="80"/>
    </row>
    <row r="25" spans="1:17" hidden="1">
      <c r="A25" s="43" t="s">
        <v>273</v>
      </c>
      <c r="B25" s="44" t="s">
        <v>101</v>
      </c>
      <c r="C25" s="44"/>
      <c r="D25" s="44"/>
      <c r="I25" s="96" t="s">
        <v>230</v>
      </c>
      <c r="J25" s="97" t="s">
        <v>88</v>
      </c>
      <c r="K25" s="80"/>
      <c r="O25" s="96" t="s">
        <v>276</v>
      </c>
      <c r="P25" s="298" t="s">
        <v>671</v>
      </c>
      <c r="Q25" s="80"/>
    </row>
    <row r="26" spans="1:17" hidden="1">
      <c r="A26" s="43" t="s">
        <v>264</v>
      </c>
      <c r="B26" s="43" t="s">
        <v>93</v>
      </c>
      <c r="C26" s="43"/>
      <c r="D26" s="43"/>
      <c r="I26" s="183" t="s">
        <v>239</v>
      </c>
      <c r="J26" s="97" t="s">
        <v>125</v>
      </c>
      <c r="K26" s="80"/>
      <c r="O26" s="43" t="s">
        <v>261</v>
      </c>
      <c r="P26" s="297" t="s">
        <v>95</v>
      </c>
      <c r="Q26" s="80"/>
    </row>
    <row r="27" spans="1:17" hidden="1">
      <c r="A27" s="43" t="s">
        <v>275</v>
      </c>
      <c r="B27" s="44" t="s">
        <v>86</v>
      </c>
      <c r="C27" s="44"/>
      <c r="D27" s="44"/>
      <c r="I27" s="96" t="s">
        <v>230</v>
      </c>
      <c r="J27" s="97" t="s">
        <v>88</v>
      </c>
      <c r="K27" s="80"/>
      <c r="O27" s="43" t="s">
        <v>236</v>
      </c>
      <c r="P27" s="297" t="s">
        <v>90</v>
      </c>
      <c r="Q27" s="80"/>
    </row>
    <row r="28" spans="1:17" ht="16.5" hidden="1">
      <c r="A28" s="43" t="s">
        <v>275</v>
      </c>
      <c r="B28" s="44" t="s">
        <v>86</v>
      </c>
      <c r="C28" s="44"/>
      <c r="D28" s="44"/>
      <c r="I28" s="96" t="s">
        <v>230</v>
      </c>
      <c r="J28" s="97" t="s">
        <v>88</v>
      </c>
      <c r="K28" s="80"/>
      <c r="O28" s="184" t="s">
        <v>256</v>
      </c>
      <c r="P28" s="30" t="s">
        <v>155</v>
      </c>
      <c r="Q28" s="80"/>
    </row>
    <row r="29" spans="1:17">
      <c r="A29" s="43" t="s">
        <v>275</v>
      </c>
      <c r="B29" s="44" t="s">
        <v>86</v>
      </c>
      <c r="C29" s="44"/>
      <c r="D29" s="44"/>
      <c r="I29" s="96" t="s">
        <v>230</v>
      </c>
      <c r="J29" s="97" t="s">
        <v>88</v>
      </c>
      <c r="K29" s="80"/>
      <c r="O29" s="184" t="s">
        <v>298</v>
      </c>
      <c r="P29" s="30" t="s">
        <v>155</v>
      </c>
      <c r="Q29" s="80"/>
    </row>
    <row r="30" spans="1:17" hidden="1">
      <c r="A30" s="43" t="s">
        <v>275</v>
      </c>
      <c r="B30" s="44" t="s">
        <v>86</v>
      </c>
      <c r="C30" s="44"/>
      <c r="D30" s="44"/>
      <c r="I30" s="96" t="s">
        <v>230</v>
      </c>
      <c r="J30" s="97" t="s">
        <v>88</v>
      </c>
      <c r="K30" s="80"/>
      <c r="O30" s="96" t="s">
        <v>230</v>
      </c>
      <c r="P30" s="97" t="s">
        <v>88</v>
      </c>
      <c r="Q30" s="80"/>
    </row>
    <row r="31" spans="1:17" hidden="1">
      <c r="A31" s="43" t="s">
        <v>308</v>
      </c>
      <c r="B31" s="44" t="s">
        <v>314</v>
      </c>
      <c r="C31" s="44"/>
      <c r="D31" s="44"/>
      <c r="I31" s="96" t="s">
        <v>230</v>
      </c>
      <c r="J31" s="97" t="s">
        <v>88</v>
      </c>
      <c r="K31" s="80"/>
      <c r="O31" s="30" t="s">
        <v>283</v>
      </c>
      <c r="P31" s="30" t="s">
        <v>157</v>
      </c>
      <c r="Q31" s="80"/>
    </row>
    <row r="32" spans="1:17" hidden="1">
      <c r="A32" s="43" t="s">
        <v>275</v>
      </c>
      <c r="B32" s="44" t="s">
        <v>86</v>
      </c>
      <c r="C32" s="44"/>
      <c r="D32" s="44"/>
      <c r="I32" s="96" t="s">
        <v>230</v>
      </c>
      <c r="J32" s="97" t="s">
        <v>88</v>
      </c>
      <c r="K32" s="80"/>
      <c r="O32" s="30" t="s">
        <v>284</v>
      </c>
      <c r="P32" s="297" t="s">
        <v>675</v>
      </c>
      <c r="Q32" s="80"/>
    </row>
    <row r="33" spans="1:17" hidden="1">
      <c r="A33" s="43" t="s">
        <v>275</v>
      </c>
      <c r="B33" s="44" t="s">
        <v>86</v>
      </c>
      <c r="C33" s="44"/>
      <c r="D33" s="44"/>
      <c r="I33" s="96" t="s">
        <v>230</v>
      </c>
      <c r="J33" s="97" t="s">
        <v>88</v>
      </c>
      <c r="K33" s="80"/>
      <c r="O33" s="43" t="s">
        <v>236</v>
      </c>
      <c r="P33" s="297" t="s">
        <v>90</v>
      </c>
      <c r="Q33" s="80"/>
    </row>
    <row r="34" spans="1:17" hidden="1">
      <c r="A34" s="43" t="s">
        <v>275</v>
      </c>
      <c r="B34" s="44" t="s">
        <v>86</v>
      </c>
      <c r="C34" s="44"/>
      <c r="D34" s="44"/>
      <c r="I34" s="183" t="s">
        <v>239</v>
      </c>
      <c r="J34" s="97" t="s">
        <v>125</v>
      </c>
      <c r="K34" s="80"/>
      <c r="O34" s="43" t="s">
        <v>236</v>
      </c>
      <c r="P34" s="297" t="s">
        <v>90</v>
      </c>
      <c r="Q34" s="80"/>
    </row>
    <row r="35" spans="1:17" hidden="1">
      <c r="A35" s="43" t="s">
        <v>275</v>
      </c>
      <c r="B35" s="44" t="s">
        <v>86</v>
      </c>
      <c r="C35" s="44"/>
      <c r="D35" s="44"/>
      <c r="I35" s="96" t="s">
        <v>230</v>
      </c>
      <c r="J35" s="97" t="s">
        <v>88</v>
      </c>
      <c r="K35" s="80"/>
      <c r="O35" s="30" t="s">
        <v>284</v>
      </c>
      <c r="P35" s="297" t="s">
        <v>675</v>
      </c>
      <c r="Q35" s="80"/>
    </row>
    <row r="36" spans="1:17">
      <c r="A36" s="43" t="s">
        <v>275</v>
      </c>
      <c r="B36" s="44" t="s">
        <v>86</v>
      </c>
      <c r="C36" s="44"/>
      <c r="D36" s="44"/>
      <c r="I36" s="183" t="s">
        <v>239</v>
      </c>
      <c r="J36" s="97" t="s">
        <v>125</v>
      </c>
      <c r="K36" s="80"/>
      <c r="O36" s="184" t="s">
        <v>298</v>
      </c>
      <c r="P36" s="30" t="s">
        <v>155</v>
      </c>
      <c r="Q36" s="80"/>
    </row>
    <row r="37" spans="1:17" hidden="1">
      <c r="A37" s="43" t="s">
        <v>275</v>
      </c>
      <c r="B37" s="44" t="s">
        <v>86</v>
      </c>
      <c r="C37" s="44"/>
      <c r="D37" s="44"/>
      <c r="I37" s="96" t="s">
        <v>230</v>
      </c>
      <c r="J37" s="97" t="s">
        <v>88</v>
      </c>
      <c r="K37" s="80"/>
      <c r="O37" s="43" t="s">
        <v>236</v>
      </c>
      <c r="P37" s="297" t="s">
        <v>90</v>
      </c>
      <c r="Q37" s="80"/>
    </row>
    <row r="38" spans="1:17" hidden="1">
      <c r="A38" s="43" t="s">
        <v>275</v>
      </c>
      <c r="B38" s="44" t="s">
        <v>86</v>
      </c>
      <c r="C38" s="44"/>
      <c r="D38" s="44"/>
      <c r="I38" s="96" t="s">
        <v>230</v>
      </c>
      <c r="J38" s="97" t="s">
        <v>88</v>
      </c>
      <c r="K38" s="80"/>
      <c r="O38" s="43" t="s">
        <v>270</v>
      </c>
      <c r="P38" s="297" t="s">
        <v>162</v>
      </c>
      <c r="Q38" s="80"/>
    </row>
    <row r="39" spans="1:17" hidden="1">
      <c r="A39" s="43" t="s">
        <v>275</v>
      </c>
      <c r="B39" s="44" t="s">
        <v>86</v>
      </c>
      <c r="C39" s="44"/>
      <c r="D39" s="44"/>
      <c r="I39" s="96" t="s">
        <v>230</v>
      </c>
      <c r="J39" s="97" t="s">
        <v>88</v>
      </c>
      <c r="K39" s="80"/>
      <c r="O39" s="43" t="s">
        <v>233</v>
      </c>
      <c r="P39" s="297" t="s">
        <v>124</v>
      </c>
      <c r="Q39" s="80"/>
    </row>
    <row r="40" spans="1:17" hidden="1">
      <c r="A40" s="43" t="s">
        <v>275</v>
      </c>
      <c r="B40" s="44" t="s">
        <v>86</v>
      </c>
      <c r="C40" s="44"/>
      <c r="D40" s="44"/>
      <c r="I40" s="96" t="s">
        <v>230</v>
      </c>
      <c r="J40" s="97" t="s">
        <v>88</v>
      </c>
      <c r="K40" s="80"/>
      <c r="O40" s="43" t="s">
        <v>236</v>
      </c>
      <c r="P40" s="297" t="s">
        <v>90</v>
      </c>
      <c r="Q40" s="80"/>
    </row>
    <row r="41" spans="1:17" hidden="1">
      <c r="A41" s="43" t="s">
        <v>275</v>
      </c>
      <c r="B41" s="44" t="s">
        <v>86</v>
      </c>
      <c r="C41" s="44"/>
      <c r="D41" s="44"/>
      <c r="I41" s="183" t="s">
        <v>239</v>
      </c>
      <c r="J41" s="97" t="s">
        <v>125</v>
      </c>
      <c r="K41" s="80"/>
      <c r="O41" s="43" t="s">
        <v>233</v>
      </c>
      <c r="P41" s="297" t="s">
        <v>124</v>
      </c>
      <c r="Q41" s="80"/>
    </row>
    <row r="42" spans="1:17" hidden="1">
      <c r="A42" s="43" t="s">
        <v>230</v>
      </c>
      <c r="B42" s="44" t="s">
        <v>88</v>
      </c>
      <c r="C42" s="44"/>
      <c r="D42" s="44"/>
      <c r="I42" s="96" t="s">
        <v>230</v>
      </c>
      <c r="J42" s="97" t="s">
        <v>88</v>
      </c>
      <c r="K42" s="80"/>
      <c r="O42" s="43" t="s">
        <v>233</v>
      </c>
      <c r="P42" s="297" t="s">
        <v>124</v>
      </c>
      <c r="Q42" s="80"/>
    </row>
    <row r="43" spans="1:17" hidden="1">
      <c r="A43" s="43" t="s">
        <v>230</v>
      </c>
      <c r="B43" s="44" t="s">
        <v>88</v>
      </c>
      <c r="C43" s="44"/>
      <c r="D43" s="44"/>
      <c r="I43" s="96" t="s">
        <v>230</v>
      </c>
      <c r="J43" s="97" t="s">
        <v>88</v>
      </c>
      <c r="K43" s="80"/>
      <c r="O43" s="43" t="s">
        <v>265</v>
      </c>
      <c r="P43" s="297" t="s">
        <v>137</v>
      </c>
      <c r="Q43" s="80"/>
    </row>
    <row r="44" spans="1:17">
      <c r="A44" s="43" t="s">
        <v>250</v>
      </c>
      <c r="B44" s="44" t="s">
        <v>94</v>
      </c>
      <c r="C44" s="44"/>
      <c r="D44" s="44"/>
      <c r="I44" s="96" t="s">
        <v>230</v>
      </c>
      <c r="J44" s="97" t="s">
        <v>88</v>
      </c>
      <c r="K44" s="80"/>
      <c r="O44" s="184" t="s">
        <v>299</v>
      </c>
      <c r="P44" s="30" t="s">
        <v>718</v>
      </c>
      <c r="Q44" s="80"/>
    </row>
    <row r="45" spans="1:17" hidden="1">
      <c r="A45" s="43" t="s">
        <v>230</v>
      </c>
      <c r="B45" s="44" t="s">
        <v>88</v>
      </c>
      <c r="C45" s="44"/>
      <c r="D45" s="44"/>
      <c r="I45" s="96" t="s">
        <v>230</v>
      </c>
      <c r="J45" s="97" t="s">
        <v>88</v>
      </c>
      <c r="K45" s="80"/>
      <c r="O45" s="43" t="s">
        <v>261</v>
      </c>
      <c r="P45" s="297" t="s">
        <v>661</v>
      </c>
      <c r="Q45" s="80"/>
    </row>
    <row r="46" spans="1:17" hidden="1">
      <c r="A46" s="43" t="s">
        <v>278</v>
      </c>
      <c r="B46" s="43" t="s">
        <v>156</v>
      </c>
      <c r="C46" s="43"/>
      <c r="D46" s="43"/>
      <c r="I46" s="183" t="s">
        <v>239</v>
      </c>
      <c r="J46" s="97" t="s">
        <v>125</v>
      </c>
      <c r="K46" s="80"/>
      <c r="O46" s="43" t="s">
        <v>233</v>
      </c>
      <c r="P46" s="297" t="s">
        <v>124</v>
      </c>
      <c r="Q46" s="80"/>
    </row>
    <row r="47" spans="1:17" hidden="1">
      <c r="A47" s="43" t="s">
        <v>245</v>
      </c>
      <c r="B47" s="44" t="s">
        <v>118</v>
      </c>
      <c r="C47" s="44"/>
      <c r="D47" s="44"/>
      <c r="I47" s="96" t="s">
        <v>230</v>
      </c>
      <c r="J47" s="97" t="s">
        <v>88</v>
      </c>
      <c r="K47" s="80"/>
      <c r="O47" s="96" t="s">
        <v>230</v>
      </c>
      <c r="P47" s="97" t="s">
        <v>88</v>
      </c>
      <c r="Q47" s="80"/>
    </row>
    <row r="48" spans="1:17" hidden="1">
      <c r="A48" s="43" t="s">
        <v>229</v>
      </c>
      <c r="B48" s="43" t="s">
        <v>160</v>
      </c>
      <c r="C48" s="43"/>
      <c r="D48" s="43"/>
      <c r="I48" s="183" t="s">
        <v>239</v>
      </c>
      <c r="J48" s="97" t="s">
        <v>125</v>
      </c>
      <c r="K48" s="80"/>
      <c r="O48" s="43" t="s">
        <v>260</v>
      </c>
      <c r="P48" s="297" t="s">
        <v>120</v>
      </c>
      <c r="Q48" s="80"/>
    </row>
    <row r="49" spans="1:17" hidden="1">
      <c r="A49" s="43" t="s">
        <v>270</v>
      </c>
      <c r="B49" s="44" t="s">
        <v>96</v>
      </c>
      <c r="C49" s="44"/>
      <c r="D49" s="44"/>
      <c r="I49" s="96" t="s">
        <v>230</v>
      </c>
      <c r="J49" s="97" t="s">
        <v>88</v>
      </c>
      <c r="K49" s="80"/>
      <c r="O49" s="43" t="s">
        <v>236</v>
      </c>
      <c r="P49" s="297" t="s">
        <v>90</v>
      </c>
      <c r="Q49" s="80"/>
    </row>
    <row r="50" spans="1:17" hidden="1">
      <c r="A50" s="43" t="s">
        <v>242</v>
      </c>
      <c r="B50" s="43" t="s">
        <v>98</v>
      </c>
      <c r="C50" s="43"/>
      <c r="D50" s="43"/>
      <c r="I50" s="96" t="s">
        <v>230</v>
      </c>
      <c r="J50" s="97" t="s">
        <v>88</v>
      </c>
      <c r="K50" s="80"/>
      <c r="O50" s="96" t="s">
        <v>230</v>
      </c>
      <c r="P50" s="97" t="s">
        <v>88</v>
      </c>
      <c r="Q50" s="80"/>
    </row>
    <row r="51" spans="1:17" hidden="1">
      <c r="A51" s="43" t="s">
        <v>265</v>
      </c>
      <c r="B51" s="43" t="s">
        <v>137</v>
      </c>
      <c r="C51" s="43"/>
      <c r="D51" s="43"/>
      <c r="I51" s="96" t="s">
        <v>230</v>
      </c>
      <c r="J51" s="97" t="s">
        <v>88</v>
      </c>
      <c r="K51" s="80"/>
      <c r="O51" s="43" t="s">
        <v>233</v>
      </c>
      <c r="P51" s="297" t="s">
        <v>124</v>
      </c>
      <c r="Q51" s="80"/>
    </row>
    <row r="52" spans="1:17" hidden="1">
      <c r="A52" s="43" t="s">
        <v>230</v>
      </c>
      <c r="B52" s="44" t="s">
        <v>88</v>
      </c>
      <c r="C52" s="44"/>
      <c r="D52" s="44"/>
      <c r="I52" s="96" t="s">
        <v>230</v>
      </c>
      <c r="J52" s="97" t="s">
        <v>88</v>
      </c>
      <c r="K52" s="80"/>
      <c r="O52" s="43" t="s">
        <v>229</v>
      </c>
      <c r="P52" s="297" t="s">
        <v>681</v>
      </c>
      <c r="Q52" s="80"/>
    </row>
    <row r="53" spans="1:17" hidden="1">
      <c r="A53" s="43" t="s">
        <v>300</v>
      </c>
      <c r="B53" s="43" t="s">
        <v>161</v>
      </c>
      <c r="C53" s="43"/>
      <c r="D53" s="43"/>
      <c r="I53" s="183" t="s">
        <v>239</v>
      </c>
      <c r="J53" s="97" t="s">
        <v>125</v>
      </c>
      <c r="K53" s="80"/>
      <c r="O53" s="96" t="s">
        <v>230</v>
      </c>
      <c r="P53" s="97" t="s">
        <v>88</v>
      </c>
      <c r="Q53" s="80"/>
    </row>
    <row r="54" spans="1:17" hidden="1">
      <c r="A54" s="43" t="s">
        <v>245</v>
      </c>
      <c r="B54" s="44" t="s">
        <v>118</v>
      </c>
      <c r="C54" s="44"/>
      <c r="D54" s="44"/>
      <c r="I54" s="96" t="s">
        <v>230</v>
      </c>
      <c r="J54" s="97" t="s">
        <v>88</v>
      </c>
      <c r="K54" s="80"/>
      <c r="O54" s="43" t="s">
        <v>236</v>
      </c>
      <c r="P54" s="297" t="s">
        <v>90</v>
      </c>
      <c r="Q54" s="80"/>
    </row>
    <row r="55" spans="1:17" hidden="1">
      <c r="A55" s="43" t="s">
        <v>242</v>
      </c>
      <c r="B55" s="43" t="s">
        <v>98</v>
      </c>
      <c r="C55" s="43"/>
      <c r="D55" s="43"/>
      <c r="I55" s="96" t="s">
        <v>230</v>
      </c>
      <c r="J55" s="97" t="s">
        <v>88</v>
      </c>
      <c r="K55" s="80"/>
      <c r="O55" s="30" t="s">
        <v>339</v>
      </c>
      <c r="P55" s="297" t="s">
        <v>674</v>
      </c>
      <c r="Q55" s="80"/>
    </row>
    <row r="56" spans="1:17" hidden="1">
      <c r="A56" s="43" t="s">
        <v>268</v>
      </c>
      <c r="B56" s="43" t="s">
        <v>163</v>
      </c>
      <c r="C56" s="43"/>
      <c r="D56" s="43"/>
      <c r="I56" s="96" t="s">
        <v>230</v>
      </c>
      <c r="J56" s="97" t="s">
        <v>88</v>
      </c>
      <c r="K56" s="80"/>
      <c r="O56" s="96" t="s">
        <v>230</v>
      </c>
      <c r="P56" s="97" t="s">
        <v>88</v>
      </c>
      <c r="Q56" s="80"/>
    </row>
    <row r="57" spans="1:17">
      <c r="A57" s="43" t="s">
        <v>245</v>
      </c>
      <c r="B57" s="44" t="s">
        <v>118</v>
      </c>
      <c r="C57" s="44"/>
      <c r="D57" s="44"/>
      <c r="I57" s="183" t="s">
        <v>239</v>
      </c>
      <c r="J57" s="97" t="s">
        <v>125</v>
      </c>
      <c r="K57" s="80"/>
      <c r="O57" s="184" t="s">
        <v>298</v>
      </c>
      <c r="P57" s="30" t="s">
        <v>155</v>
      </c>
      <c r="Q57" s="80"/>
    </row>
    <row r="58" spans="1:17" hidden="1">
      <c r="A58" s="43" t="s">
        <v>229</v>
      </c>
      <c r="B58" s="43" t="s">
        <v>164</v>
      </c>
      <c r="C58" s="43"/>
      <c r="D58" s="43"/>
      <c r="I58" s="96" t="s">
        <v>230</v>
      </c>
      <c r="J58" s="97" t="s">
        <v>88</v>
      </c>
      <c r="K58" s="80"/>
      <c r="O58" s="43" t="s">
        <v>233</v>
      </c>
      <c r="P58" s="297" t="s">
        <v>124</v>
      </c>
      <c r="Q58" s="80"/>
    </row>
    <row r="59" spans="1:17" hidden="1">
      <c r="A59" s="43" t="s">
        <v>230</v>
      </c>
      <c r="B59" s="44" t="s">
        <v>88</v>
      </c>
      <c r="C59" s="44"/>
      <c r="D59" s="44"/>
      <c r="I59" s="96" t="s">
        <v>230</v>
      </c>
      <c r="J59" s="97" t="s">
        <v>88</v>
      </c>
      <c r="K59" s="80"/>
      <c r="O59" s="30" t="s">
        <v>284</v>
      </c>
      <c r="P59" s="297" t="s">
        <v>197</v>
      </c>
      <c r="Q59" s="80"/>
    </row>
    <row r="60" spans="1:17" hidden="1">
      <c r="A60" s="43" t="s">
        <v>236</v>
      </c>
      <c r="B60" s="44" t="s">
        <v>90</v>
      </c>
      <c r="C60" s="44"/>
      <c r="D60" s="44"/>
      <c r="I60" s="183" t="s">
        <v>239</v>
      </c>
      <c r="J60" s="97" t="s">
        <v>125</v>
      </c>
      <c r="K60" s="80"/>
      <c r="O60" s="43" t="s">
        <v>236</v>
      </c>
      <c r="P60" s="297" t="s">
        <v>90</v>
      </c>
      <c r="Q60" s="80"/>
    </row>
    <row r="61" spans="1:17" hidden="1">
      <c r="A61" s="43" t="s">
        <v>230</v>
      </c>
      <c r="B61" s="44" t="s">
        <v>88</v>
      </c>
      <c r="C61" s="44"/>
      <c r="D61" s="44"/>
      <c r="I61" s="96" t="s">
        <v>230</v>
      </c>
      <c r="J61" s="97" t="s">
        <v>88</v>
      </c>
      <c r="K61" s="80"/>
      <c r="O61" s="292" t="s">
        <v>282</v>
      </c>
      <c r="P61" s="297" t="s">
        <v>322</v>
      </c>
      <c r="Q61" s="80"/>
    </row>
    <row r="62" spans="1:17" hidden="1">
      <c r="A62" s="43" t="s">
        <v>242</v>
      </c>
      <c r="B62" s="43" t="s">
        <v>98</v>
      </c>
      <c r="C62" s="43"/>
      <c r="D62" s="43"/>
      <c r="I62" s="96" t="s">
        <v>230</v>
      </c>
      <c r="J62" s="97" t="s">
        <v>88</v>
      </c>
      <c r="K62" s="80"/>
      <c r="O62" s="30" t="s">
        <v>337</v>
      </c>
      <c r="P62" s="297" t="s">
        <v>323</v>
      </c>
      <c r="Q62" s="80"/>
    </row>
    <row r="63" spans="1:17" hidden="1">
      <c r="A63" s="43" t="s">
        <v>230</v>
      </c>
      <c r="B63" s="44" t="s">
        <v>88</v>
      </c>
      <c r="C63" s="44"/>
      <c r="D63" s="44"/>
      <c r="I63" s="96" t="s">
        <v>230</v>
      </c>
      <c r="J63" s="97" t="s">
        <v>88</v>
      </c>
      <c r="K63" s="80"/>
      <c r="O63" s="43" t="s">
        <v>233</v>
      </c>
      <c r="P63" s="297" t="s">
        <v>124</v>
      </c>
      <c r="Q63" s="80"/>
    </row>
    <row r="64" spans="1:17" hidden="1">
      <c r="A64" s="43" t="s">
        <v>230</v>
      </c>
      <c r="B64" s="44" t="s">
        <v>88</v>
      </c>
      <c r="C64" s="44"/>
      <c r="D64" s="44"/>
      <c r="I64" s="96" t="s">
        <v>230</v>
      </c>
      <c r="J64" s="97" t="s">
        <v>88</v>
      </c>
      <c r="K64" s="80"/>
      <c r="O64" s="96" t="s">
        <v>230</v>
      </c>
      <c r="P64" s="97" t="s">
        <v>88</v>
      </c>
      <c r="Q64" s="80"/>
    </row>
    <row r="65" spans="1:17" hidden="1">
      <c r="A65" s="43" t="s">
        <v>230</v>
      </c>
      <c r="B65" s="44" t="s">
        <v>88</v>
      </c>
      <c r="C65" s="44"/>
      <c r="D65" s="44"/>
      <c r="I65" s="96" t="s">
        <v>230</v>
      </c>
      <c r="J65" s="97" t="s">
        <v>88</v>
      </c>
      <c r="K65" s="80"/>
      <c r="O65" s="43" t="s">
        <v>233</v>
      </c>
      <c r="P65" s="297" t="s">
        <v>124</v>
      </c>
      <c r="Q65" s="80"/>
    </row>
    <row r="66" spans="1:17" hidden="1">
      <c r="A66" s="43" t="s">
        <v>230</v>
      </c>
      <c r="B66" s="44" t="s">
        <v>88</v>
      </c>
      <c r="C66" s="44"/>
      <c r="D66" s="44"/>
      <c r="I66" s="96" t="s">
        <v>230</v>
      </c>
      <c r="J66" s="97" t="s">
        <v>88</v>
      </c>
      <c r="K66" s="80"/>
      <c r="O66" s="96" t="s">
        <v>230</v>
      </c>
      <c r="P66" s="97" t="s">
        <v>88</v>
      </c>
      <c r="Q66" s="80"/>
    </row>
    <row r="67" spans="1:17" hidden="1">
      <c r="A67" s="43" t="s">
        <v>230</v>
      </c>
      <c r="B67" s="44" t="s">
        <v>88</v>
      </c>
      <c r="C67" s="44"/>
      <c r="D67" s="44"/>
      <c r="I67" s="96" t="s">
        <v>230</v>
      </c>
      <c r="J67" s="97" t="s">
        <v>88</v>
      </c>
      <c r="K67" s="80"/>
      <c r="O67" s="43" t="s">
        <v>275</v>
      </c>
      <c r="P67" s="297" t="s">
        <v>685</v>
      </c>
      <c r="Q67" s="80"/>
    </row>
    <row r="68" spans="1:17" hidden="1">
      <c r="A68" s="43" t="s">
        <v>236</v>
      </c>
      <c r="B68" s="44" t="s">
        <v>90</v>
      </c>
      <c r="C68" s="44"/>
      <c r="D68" s="44"/>
      <c r="I68" s="96" t="s">
        <v>230</v>
      </c>
      <c r="J68" s="97" t="s">
        <v>88</v>
      </c>
      <c r="K68" s="80"/>
      <c r="O68" s="96" t="s">
        <v>230</v>
      </c>
      <c r="P68" s="97" t="s">
        <v>88</v>
      </c>
      <c r="Q68" s="80"/>
    </row>
    <row r="69" spans="1:17" hidden="1">
      <c r="A69" s="43" t="s">
        <v>230</v>
      </c>
      <c r="B69" s="44" t="s">
        <v>88</v>
      </c>
      <c r="C69" s="44"/>
      <c r="D69" s="44"/>
      <c r="I69" s="96" t="s">
        <v>230</v>
      </c>
      <c r="J69" s="97" t="s">
        <v>88</v>
      </c>
      <c r="K69" s="80"/>
      <c r="O69" s="43" t="s">
        <v>233</v>
      </c>
      <c r="P69" s="297" t="s">
        <v>124</v>
      </c>
      <c r="Q69" s="80"/>
    </row>
    <row r="70" spans="1:17" hidden="1">
      <c r="A70" s="43" t="s">
        <v>250</v>
      </c>
      <c r="B70" s="44" t="s">
        <v>94</v>
      </c>
      <c r="C70" s="44"/>
      <c r="D70" s="44"/>
      <c r="I70" s="96" t="s">
        <v>230</v>
      </c>
      <c r="J70" s="97" t="s">
        <v>88</v>
      </c>
      <c r="K70" s="80"/>
      <c r="O70" s="96" t="s">
        <v>230</v>
      </c>
      <c r="P70" s="97" t="s">
        <v>88</v>
      </c>
      <c r="Q70" s="80"/>
    </row>
    <row r="71" spans="1:17" hidden="1">
      <c r="A71" s="43" t="s">
        <v>265</v>
      </c>
      <c r="B71" s="43" t="s">
        <v>137</v>
      </c>
      <c r="C71" s="43"/>
      <c r="D71" s="43"/>
      <c r="I71" s="96" t="s">
        <v>230</v>
      </c>
      <c r="J71" s="97" t="s">
        <v>88</v>
      </c>
      <c r="K71" s="80"/>
      <c r="O71" s="43" t="s">
        <v>233</v>
      </c>
      <c r="P71" s="297" t="s">
        <v>124</v>
      </c>
      <c r="Q71" s="80"/>
    </row>
    <row r="72" spans="1:17" hidden="1">
      <c r="A72" s="43" t="s">
        <v>276</v>
      </c>
      <c r="B72" s="43" t="s">
        <v>143</v>
      </c>
      <c r="C72" s="43"/>
      <c r="D72" s="43"/>
      <c r="I72" s="96" t="s">
        <v>230</v>
      </c>
      <c r="J72" s="97" t="s">
        <v>88</v>
      </c>
      <c r="K72" s="80"/>
      <c r="O72" s="43" t="s">
        <v>233</v>
      </c>
      <c r="P72" s="297" t="s">
        <v>124</v>
      </c>
      <c r="Q72" s="80"/>
    </row>
    <row r="73" spans="1:17" hidden="1">
      <c r="A73" s="43" t="s">
        <v>236</v>
      </c>
      <c r="B73" s="44" t="s">
        <v>90</v>
      </c>
      <c r="C73" s="44"/>
      <c r="D73" s="44"/>
      <c r="I73" s="96" t="s">
        <v>230</v>
      </c>
      <c r="J73" s="97" t="s">
        <v>88</v>
      </c>
      <c r="K73" s="80"/>
      <c r="O73" s="43" t="s">
        <v>265</v>
      </c>
      <c r="P73" s="297" t="s">
        <v>137</v>
      </c>
      <c r="Q73" s="80"/>
    </row>
    <row r="74" spans="1:17" hidden="1">
      <c r="A74" s="43" t="s">
        <v>300</v>
      </c>
      <c r="B74" s="43" t="s">
        <v>161</v>
      </c>
      <c r="C74" s="43"/>
      <c r="D74" s="43"/>
      <c r="I74" s="96" t="s">
        <v>230</v>
      </c>
      <c r="J74" s="97" t="s">
        <v>88</v>
      </c>
      <c r="K74" s="80"/>
      <c r="O74" s="43" t="s">
        <v>265</v>
      </c>
      <c r="P74" s="297" t="s">
        <v>137</v>
      </c>
      <c r="Q74" s="80"/>
    </row>
    <row r="75" spans="1:17" hidden="1">
      <c r="A75" s="292" t="s">
        <v>341</v>
      </c>
      <c r="B75" s="30" t="s">
        <v>325</v>
      </c>
      <c r="C75" s="30"/>
      <c r="D75" s="30"/>
      <c r="I75" s="96" t="s">
        <v>230</v>
      </c>
      <c r="J75" s="97" t="s">
        <v>88</v>
      </c>
      <c r="K75" s="80"/>
      <c r="O75" s="96" t="s">
        <v>230</v>
      </c>
      <c r="P75" s="97" t="s">
        <v>88</v>
      </c>
      <c r="Q75" s="80"/>
    </row>
    <row r="76" spans="1:17" hidden="1">
      <c r="A76" s="43" t="s">
        <v>260</v>
      </c>
      <c r="B76" s="44" t="s">
        <v>120</v>
      </c>
      <c r="C76" s="44"/>
      <c r="D76" s="44"/>
      <c r="I76" s="96" t="s">
        <v>230</v>
      </c>
      <c r="J76" s="97" t="s">
        <v>88</v>
      </c>
      <c r="K76" s="80"/>
      <c r="O76" s="43" t="s">
        <v>276</v>
      </c>
      <c r="P76" s="297" t="s">
        <v>681</v>
      </c>
      <c r="Q76" s="80"/>
    </row>
    <row r="77" spans="1:17" ht="16.5" hidden="1">
      <c r="A77" s="185" t="s">
        <v>311</v>
      </c>
      <c r="B77" s="297" t="s">
        <v>194</v>
      </c>
      <c r="C77" s="297"/>
      <c r="D77" s="297"/>
      <c r="I77" s="96" t="s">
        <v>230</v>
      </c>
      <c r="J77" s="97" t="s">
        <v>88</v>
      </c>
      <c r="K77" s="80"/>
      <c r="O77" s="96" t="s">
        <v>230</v>
      </c>
      <c r="P77" s="97" t="s">
        <v>88</v>
      </c>
      <c r="Q77" s="80"/>
    </row>
    <row r="78" spans="1:17" hidden="1">
      <c r="A78" s="43" t="s">
        <v>481</v>
      </c>
      <c r="B78" s="43" t="s">
        <v>93</v>
      </c>
      <c r="C78" s="43"/>
      <c r="D78" s="43"/>
      <c r="I78" s="96" t="s">
        <v>230</v>
      </c>
      <c r="J78" s="97" t="s">
        <v>88</v>
      </c>
      <c r="K78" s="80"/>
      <c r="O78" s="96" t="s">
        <v>293</v>
      </c>
      <c r="P78" s="297" t="s">
        <v>168</v>
      </c>
      <c r="Q78" s="80"/>
    </row>
    <row r="79" spans="1:17" hidden="1">
      <c r="A79" s="43" t="s">
        <v>250</v>
      </c>
      <c r="B79" s="44" t="s">
        <v>94</v>
      </c>
      <c r="C79" s="44"/>
      <c r="D79" s="44"/>
      <c r="I79" s="96" t="s">
        <v>230</v>
      </c>
      <c r="J79" s="97" t="s">
        <v>88</v>
      </c>
      <c r="K79" s="80"/>
      <c r="O79" s="96" t="s">
        <v>230</v>
      </c>
      <c r="P79" s="97" t="s">
        <v>88</v>
      </c>
      <c r="Q79" s="80"/>
    </row>
    <row r="80" spans="1:17" hidden="1">
      <c r="A80" s="43" t="s">
        <v>245</v>
      </c>
      <c r="B80" s="44" t="s">
        <v>118</v>
      </c>
      <c r="C80" s="44"/>
      <c r="D80" s="44"/>
      <c r="I80" s="96" t="s">
        <v>230</v>
      </c>
      <c r="J80" s="97" t="s">
        <v>88</v>
      </c>
      <c r="K80" s="80"/>
      <c r="O80" s="43" t="s">
        <v>233</v>
      </c>
      <c r="P80" s="297" t="s">
        <v>124</v>
      </c>
      <c r="Q80" s="80"/>
    </row>
    <row r="81" spans="1:17" hidden="1">
      <c r="A81" s="43" t="s">
        <v>261</v>
      </c>
      <c r="B81" s="44" t="s">
        <v>95</v>
      </c>
      <c r="C81" s="44"/>
      <c r="D81" s="44"/>
      <c r="I81" s="96" t="s">
        <v>230</v>
      </c>
      <c r="J81" s="97" t="s">
        <v>88</v>
      </c>
      <c r="K81" s="80"/>
      <c r="O81" s="96" t="s">
        <v>295</v>
      </c>
      <c r="P81" s="297" t="s">
        <v>691</v>
      </c>
      <c r="Q81" s="80"/>
    </row>
    <row r="82" spans="1:17" hidden="1">
      <c r="A82" s="43" t="s">
        <v>268</v>
      </c>
      <c r="B82" s="43" t="s">
        <v>361</v>
      </c>
      <c r="C82" s="43"/>
      <c r="D82" s="43"/>
      <c r="I82" s="43" t="s">
        <v>265</v>
      </c>
      <c r="J82" s="297" t="s">
        <v>643</v>
      </c>
      <c r="K82" s="80"/>
      <c r="O82" s="96" t="s">
        <v>230</v>
      </c>
      <c r="P82" s="97" t="s">
        <v>88</v>
      </c>
      <c r="Q82" s="80"/>
    </row>
    <row r="83" spans="1:17" hidden="1">
      <c r="A83" s="43" t="s">
        <v>230</v>
      </c>
      <c r="B83" s="44" t="s">
        <v>88</v>
      </c>
      <c r="C83" s="44"/>
      <c r="D83" s="44"/>
      <c r="I83" s="96" t="s">
        <v>230</v>
      </c>
      <c r="J83" s="97" t="s">
        <v>88</v>
      </c>
      <c r="K83" s="80"/>
      <c r="O83" s="96" t="s">
        <v>230</v>
      </c>
      <c r="P83" s="97" t="s">
        <v>88</v>
      </c>
      <c r="Q83" s="80"/>
    </row>
    <row r="84" spans="1:17" hidden="1">
      <c r="A84" s="43" t="s">
        <v>260</v>
      </c>
      <c r="B84" s="44" t="s">
        <v>120</v>
      </c>
      <c r="C84" s="44"/>
      <c r="D84" s="44"/>
      <c r="I84" s="96" t="s">
        <v>230</v>
      </c>
      <c r="J84" s="97" t="s">
        <v>88</v>
      </c>
      <c r="K84" s="80"/>
      <c r="O84" s="43" t="s">
        <v>233</v>
      </c>
      <c r="P84" s="297" t="s">
        <v>124</v>
      </c>
      <c r="Q84" s="80"/>
    </row>
    <row r="85" spans="1:17" hidden="1">
      <c r="A85" s="43" t="s">
        <v>230</v>
      </c>
      <c r="B85" s="44" t="s">
        <v>88</v>
      </c>
      <c r="C85" s="44"/>
      <c r="D85" s="44"/>
      <c r="I85" s="96" t="s">
        <v>230</v>
      </c>
      <c r="J85" s="97" t="s">
        <v>88</v>
      </c>
      <c r="K85" s="80"/>
      <c r="O85" s="96" t="s">
        <v>230</v>
      </c>
      <c r="P85" s="97" t="s">
        <v>88</v>
      </c>
      <c r="Q85" s="80"/>
    </row>
    <row r="86" spans="1:17" hidden="1">
      <c r="A86" s="43" t="s">
        <v>230</v>
      </c>
      <c r="B86" s="44" t="s">
        <v>88</v>
      </c>
      <c r="C86" s="44"/>
      <c r="D86" s="44"/>
      <c r="I86" s="96" t="s">
        <v>230</v>
      </c>
      <c r="J86" s="97" t="s">
        <v>88</v>
      </c>
      <c r="K86" s="80"/>
      <c r="O86" s="30" t="s">
        <v>286</v>
      </c>
      <c r="P86" s="30" t="s">
        <v>173</v>
      </c>
      <c r="Q86" s="80"/>
    </row>
    <row r="87" spans="1:17" hidden="1">
      <c r="A87" s="43" t="s">
        <v>268</v>
      </c>
      <c r="B87" s="297" t="s">
        <v>486</v>
      </c>
      <c r="C87" s="297"/>
      <c r="D87" s="297"/>
      <c r="I87" s="96" t="s">
        <v>230</v>
      </c>
      <c r="J87" s="97" t="s">
        <v>88</v>
      </c>
      <c r="K87" s="80"/>
      <c r="O87" s="96" t="s">
        <v>230</v>
      </c>
      <c r="P87" s="97" t="s">
        <v>88</v>
      </c>
      <c r="Q87" s="80"/>
    </row>
    <row r="88" spans="1:17" hidden="1">
      <c r="A88" s="43" t="s">
        <v>230</v>
      </c>
      <c r="B88" s="44" t="s">
        <v>88</v>
      </c>
      <c r="C88" s="44"/>
      <c r="D88" s="44"/>
      <c r="I88" s="96" t="s">
        <v>230</v>
      </c>
      <c r="J88" s="97" t="s">
        <v>88</v>
      </c>
      <c r="K88" s="80"/>
      <c r="O88" s="30" t="s">
        <v>292</v>
      </c>
      <c r="P88" s="30" t="s">
        <v>174</v>
      </c>
      <c r="Q88" s="80"/>
    </row>
    <row r="89" spans="1:17" hidden="1">
      <c r="A89" s="43" t="s">
        <v>229</v>
      </c>
      <c r="B89" s="43" t="s">
        <v>160</v>
      </c>
      <c r="C89" s="43"/>
      <c r="D89" s="43"/>
      <c r="I89" s="96" t="s">
        <v>230</v>
      </c>
      <c r="J89" s="97" t="s">
        <v>88</v>
      </c>
      <c r="K89" s="80"/>
      <c r="O89" s="30" t="s">
        <v>292</v>
      </c>
      <c r="P89" s="30" t="s">
        <v>174</v>
      </c>
      <c r="Q89" s="80"/>
    </row>
    <row r="90" spans="1:17" hidden="1">
      <c r="A90" s="43" t="s">
        <v>250</v>
      </c>
      <c r="B90" s="44" t="s">
        <v>94</v>
      </c>
      <c r="C90" s="44"/>
      <c r="D90" s="44"/>
      <c r="I90" s="96" t="s">
        <v>230</v>
      </c>
      <c r="J90" s="97" t="s">
        <v>88</v>
      </c>
      <c r="K90" s="80"/>
      <c r="O90" s="292" t="s">
        <v>282</v>
      </c>
      <c r="P90" s="297" t="s">
        <v>692</v>
      </c>
      <c r="Q90" s="80"/>
    </row>
    <row r="91" spans="1:17" hidden="1">
      <c r="A91" s="43" t="s">
        <v>230</v>
      </c>
      <c r="B91" s="44" t="s">
        <v>88</v>
      </c>
      <c r="C91" s="44"/>
      <c r="D91" s="44"/>
      <c r="I91" s="96" t="s">
        <v>230</v>
      </c>
      <c r="J91" s="97" t="s">
        <v>88</v>
      </c>
      <c r="K91" s="80"/>
      <c r="O91" s="43" t="s">
        <v>270</v>
      </c>
      <c r="P91" s="297" t="s">
        <v>662</v>
      </c>
      <c r="Q91" s="80"/>
    </row>
    <row r="92" spans="1:17" hidden="1">
      <c r="A92" s="43" t="s">
        <v>305</v>
      </c>
      <c r="B92" s="43" t="s">
        <v>121</v>
      </c>
      <c r="C92" s="43"/>
      <c r="D92" s="43"/>
      <c r="I92" s="96" t="s">
        <v>230</v>
      </c>
      <c r="J92" s="97" t="s">
        <v>88</v>
      </c>
      <c r="K92" s="80"/>
      <c r="O92" s="43" t="s">
        <v>260</v>
      </c>
      <c r="P92" s="297" t="s">
        <v>120</v>
      </c>
      <c r="Q92" s="80"/>
    </row>
    <row r="93" spans="1:17" hidden="1">
      <c r="A93" s="43" t="s">
        <v>230</v>
      </c>
      <c r="B93" s="44" t="s">
        <v>88</v>
      </c>
      <c r="C93" s="44"/>
      <c r="D93" s="44"/>
      <c r="I93" s="96" t="s">
        <v>230</v>
      </c>
      <c r="J93" s="97" t="s">
        <v>88</v>
      </c>
      <c r="K93" s="80"/>
      <c r="O93" s="30" t="s">
        <v>285</v>
      </c>
      <c r="P93" s="297" t="s">
        <v>177</v>
      </c>
      <c r="Q93" s="80"/>
    </row>
    <row r="94" spans="1:17" hidden="1">
      <c r="A94" s="43" t="s">
        <v>245</v>
      </c>
      <c r="B94" s="44" t="s">
        <v>118</v>
      </c>
      <c r="C94" s="44"/>
      <c r="D94" s="44"/>
      <c r="I94" s="96" t="s">
        <v>230</v>
      </c>
      <c r="J94" s="97" t="s">
        <v>88</v>
      </c>
      <c r="K94" s="80"/>
      <c r="O94" s="43" t="s">
        <v>276</v>
      </c>
      <c r="P94" s="298" t="s">
        <v>671</v>
      </c>
      <c r="Q94" s="80"/>
    </row>
    <row r="95" spans="1:17" hidden="1">
      <c r="A95" s="43" t="s">
        <v>236</v>
      </c>
      <c r="B95" s="44" t="s">
        <v>90</v>
      </c>
      <c r="C95" s="44"/>
      <c r="D95" s="44"/>
      <c r="I95" s="96" t="s">
        <v>230</v>
      </c>
      <c r="J95" s="97" t="s">
        <v>88</v>
      </c>
      <c r="K95" s="80"/>
      <c r="O95" s="43" t="s">
        <v>229</v>
      </c>
      <c r="P95" s="297" t="s">
        <v>681</v>
      </c>
      <c r="Q95" s="80"/>
    </row>
    <row r="96" spans="1:17" hidden="1">
      <c r="A96" s="43" t="s">
        <v>230</v>
      </c>
      <c r="B96" s="44" t="s">
        <v>88</v>
      </c>
      <c r="C96" s="44"/>
      <c r="D96" s="44"/>
      <c r="I96" s="96" t="s">
        <v>230</v>
      </c>
      <c r="J96" s="97" t="s">
        <v>88</v>
      </c>
      <c r="K96" s="80"/>
      <c r="O96" s="30" t="s">
        <v>338</v>
      </c>
      <c r="P96" s="297" t="s">
        <v>684</v>
      </c>
      <c r="Q96" s="80"/>
    </row>
    <row r="97" spans="1:17" hidden="1">
      <c r="A97" s="43" t="s">
        <v>264</v>
      </c>
      <c r="B97" s="43" t="s">
        <v>93</v>
      </c>
      <c r="C97" s="43"/>
      <c r="D97" s="43"/>
      <c r="I97" s="96" t="s">
        <v>230</v>
      </c>
      <c r="J97" s="97" t="s">
        <v>88</v>
      </c>
      <c r="K97" s="80"/>
      <c r="O97" s="30" t="s">
        <v>248</v>
      </c>
      <c r="P97" s="30" t="s">
        <v>178</v>
      </c>
      <c r="Q97" s="80"/>
    </row>
    <row r="98" spans="1:17" hidden="1">
      <c r="A98" s="43" t="s">
        <v>265</v>
      </c>
      <c r="B98" s="43" t="s">
        <v>169</v>
      </c>
      <c r="C98" s="43"/>
      <c r="D98" s="43"/>
      <c r="I98" s="183" t="s">
        <v>239</v>
      </c>
      <c r="J98" s="97" t="s">
        <v>125</v>
      </c>
      <c r="K98" s="80"/>
      <c r="O98" s="43" t="s">
        <v>270</v>
      </c>
      <c r="P98" s="30" t="s">
        <v>179</v>
      </c>
      <c r="Q98" s="80"/>
    </row>
    <row r="99" spans="1:17" hidden="1">
      <c r="A99" s="43" t="s">
        <v>229</v>
      </c>
      <c r="B99" s="43" t="s">
        <v>164</v>
      </c>
      <c r="C99" s="43"/>
      <c r="D99" s="43"/>
      <c r="I99" s="96" t="s">
        <v>230</v>
      </c>
      <c r="J99" s="97" t="s">
        <v>88</v>
      </c>
      <c r="K99" s="80"/>
      <c r="O99" s="30" t="s">
        <v>296</v>
      </c>
      <c r="P99" s="30" t="s">
        <v>180</v>
      </c>
      <c r="Q99" s="80"/>
    </row>
    <row r="100" spans="1:17" hidden="1">
      <c r="A100" s="43" t="s">
        <v>258</v>
      </c>
      <c r="B100" s="44" t="s">
        <v>119</v>
      </c>
      <c r="C100" s="44"/>
      <c r="D100" s="44"/>
      <c r="I100" s="183" t="s">
        <v>239</v>
      </c>
      <c r="J100" s="97" t="s">
        <v>125</v>
      </c>
      <c r="K100" s="80"/>
      <c r="O100" s="30" t="s">
        <v>248</v>
      </c>
      <c r="P100" s="30" t="s">
        <v>181</v>
      </c>
      <c r="Q100" s="80"/>
    </row>
    <row r="101" spans="1:17" ht="16.5" hidden="1">
      <c r="A101" s="184" t="s">
        <v>309</v>
      </c>
      <c r="B101" s="43"/>
      <c r="C101" s="43"/>
      <c r="D101" s="43"/>
      <c r="I101" s="96" t="s">
        <v>230</v>
      </c>
      <c r="J101" s="97" t="s">
        <v>88</v>
      </c>
      <c r="K101" s="80"/>
      <c r="O101" s="96" t="s">
        <v>230</v>
      </c>
      <c r="P101" s="97" t="s">
        <v>88</v>
      </c>
      <c r="Q101" s="80"/>
    </row>
    <row r="102" spans="1:17" hidden="1">
      <c r="A102" s="43" t="s">
        <v>265</v>
      </c>
      <c r="B102" s="43" t="s">
        <v>137</v>
      </c>
      <c r="C102" s="43"/>
      <c r="D102" s="43"/>
      <c r="I102" s="183" t="s">
        <v>239</v>
      </c>
      <c r="J102" s="97" t="s">
        <v>125</v>
      </c>
      <c r="K102" s="80"/>
      <c r="O102" s="43" t="s">
        <v>236</v>
      </c>
      <c r="P102" s="30" t="s">
        <v>90</v>
      </c>
      <c r="Q102" s="80"/>
    </row>
    <row r="103" spans="1:17" hidden="1">
      <c r="A103" s="43" t="s">
        <v>273</v>
      </c>
      <c r="B103" s="44" t="s">
        <v>101</v>
      </c>
      <c r="C103" s="44"/>
      <c r="D103" s="44"/>
      <c r="I103" s="96" t="s">
        <v>230</v>
      </c>
      <c r="J103" s="97" t="s">
        <v>88</v>
      </c>
      <c r="K103" s="80"/>
      <c r="O103" s="43" t="s">
        <v>233</v>
      </c>
      <c r="P103" s="297" t="s">
        <v>124</v>
      </c>
      <c r="Q103" s="80"/>
    </row>
    <row r="104" spans="1:17" hidden="1">
      <c r="A104" s="43" t="s">
        <v>230</v>
      </c>
      <c r="B104" s="44" t="s">
        <v>88</v>
      </c>
      <c r="C104" s="44"/>
      <c r="D104" s="44"/>
      <c r="I104" s="96" t="s">
        <v>230</v>
      </c>
      <c r="J104" s="97" t="s">
        <v>88</v>
      </c>
      <c r="K104" s="80"/>
      <c r="O104" s="43" t="s">
        <v>236</v>
      </c>
      <c r="P104" s="30" t="s">
        <v>90</v>
      </c>
      <c r="Q104" s="80"/>
    </row>
    <row r="105" spans="1:17" hidden="1">
      <c r="A105" s="43" t="s">
        <v>230</v>
      </c>
      <c r="B105" s="44" t="s">
        <v>88</v>
      </c>
      <c r="C105" s="44"/>
      <c r="D105" s="44"/>
      <c r="I105" s="43" t="s">
        <v>245</v>
      </c>
      <c r="J105" s="298" t="s">
        <v>657</v>
      </c>
      <c r="K105" s="80"/>
      <c r="O105" s="43" t="s">
        <v>261</v>
      </c>
      <c r="P105" s="30" t="s">
        <v>95</v>
      </c>
      <c r="Q105" s="80"/>
    </row>
    <row r="106" spans="1:17" hidden="1">
      <c r="A106" s="43" t="s">
        <v>230</v>
      </c>
      <c r="B106" s="44" t="s">
        <v>88</v>
      </c>
      <c r="C106" s="44"/>
      <c r="D106" s="44"/>
      <c r="I106" s="43" t="s">
        <v>245</v>
      </c>
      <c r="J106" s="298" t="s">
        <v>657</v>
      </c>
      <c r="K106" s="80"/>
      <c r="O106" s="43" t="s">
        <v>261</v>
      </c>
      <c r="P106" s="30" t="s">
        <v>95</v>
      </c>
      <c r="Q106" s="80"/>
    </row>
    <row r="107" spans="1:17" hidden="1">
      <c r="A107" s="43" t="s">
        <v>258</v>
      </c>
      <c r="B107" s="44" t="s">
        <v>119</v>
      </c>
      <c r="C107" s="44"/>
      <c r="D107" s="44"/>
      <c r="I107" s="43" t="s">
        <v>245</v>
      </c>
      <c r="J107" s="298" t="s">
        <v>657</v>
      </c>
      <c r="K107" s="80"/>
      <c r="O107" s="43" t="s">
        <v>294</v>
      </c>
      <c r="P107" s="30" t="s">
        <v>182</v>
      </c>
      <c r="Q107" s="80"/>
    </row>
    <row r="108" spans="1:17" hidden="1">
      <c r="A108" s="43" t="s">
        <v>258</v>
      </c>
      <c r="B108" s="44" t="s">
        <v>119</v>
      </c>
      <c r="C108" s="44"/>
      <c r="D108" s="44"/>
      <c r="I108" s="43" t="s">
        <v>245</v>
      </c>
      <c r="J108" s="298" t="s">
        <v>657</v>
      </c>
      <c r="K108" s="80"/>
      <c r="O108" s="43" t="s">
        <v>294</v>
      </c>
      <c r="P108" s="30" t="s">
        <v>182</v>
      </c>
      <c r="Q108" s="80"/>
    </row>
    <row r="109" spans="1:17" hidden="1">
      <c r="A109" s="43" t="s">
        <v>253</v>
      </c>
      <c r="B109" s="44" t="s">
        <v>122</v>
      </c>
      <c r="C109" s="44"/>
      <c r="D109" s="44"/>
      <c r="I109" s="43" t="s">
        <v>245</v>
      </c>
      <c r="J109" s="298" t="s">
        <v>657</v>
      </c>
      <c r="K109" s="80"/>
      <c r="O109" s="96" t="s">
        <v>264</v>
      </c>
      <c r="P109" s="30" t="s">
        <v>183</v>
      </c>
      <c r="Q109" s="80"/>
    </row>
    <row r="110" spans="1:17" hidden="1">
      <c r="A110" s="43" t="s">
        <v>268</v>
      </c>
      <c r="B110" s="43" t="s">
        <v>163</v>
      </c>
      <c r="C110" s="43"/>
      <c r="D110" s="43"/>
      <c r="I110" s="43" t="s">
        <v>245</v>
      </c>
      <c r="J110" s="298" t="s">
        <v>657</v>
      </c>
      <c r="K110" s="80"/>
      <c r="O110" s="43" t="s">
        <v>233</v>
      </c>
      <c r="P110" s="297" t="s">
        <v>124</v>
      </c>
      <c r="Q110" s="80"/>
    </row>
    <row r="111" spans="1:17" hidden="1">
      <c r="A111" s="43" t="s">
        <v>230</v>
      </c>
      <c r="B111" s="44" t="s">
        <v>88</v>
      </c>
      <c r="C111" s="44"/>
      <c r="D111" s="44"/>
      <c r="I111" s="43" t="s">
        <v>245</v>
      </c>
      <c r="J111" s="298" t="s">
        <v>657</v>
      </c>
      <c r="K111" s="80"/>
      <c r="O111" s="43" t="s">
        <v>294</v>
      </c>
      <c r="P111" s="30" t="s">
        <v>182</v>
      </c>
      <c r="Q111" s="80"/>
    </row>
    <row r="112" spans="1:17" hidden="1">
      <c r="A112" s="43" t="s">
        <v>230</v>
      </c>
      <c r="B112" s="44" t="s">
        <v>88</v>
      </c>
      <c r="C112" s="44"/>
      <c r="D112" s="44"/>
      <c r="I112" s="43" t="s">
        <v>245</v>
      </c>
      <c r="J112" s="298" t="s">
        <v>657</v>
      </c>
      <c r="K112" s="80"/>
      <c r="O112" s="96" t="s">
        <v>230</v>
      </c>
      <c r="P112" s="97" t="s">
        <v>88</v>
      </c>
      <c r="Q112" s="80"/>
    </row>
    <row r="113" spans="1:17" hidden="1">
      <c r="A113" s="43" t="s">
        <v>270</v>
      </c>
      <c r="B113" s="44" t="s">
        <v>96</v>
      </c>
      <c r="C113" s="44"/>
      <c r="D113" s="44"/>
      <c r="I113" s="43" t="s">
        <v>245</v>
      </c>
      <c r="J113" s="298" t="s">
        <v>657</v>
      </c>
      <c r="K113" s="80"/>
      <c r="O113" s="30" t="s">
        <v>291</v>
      </c>
      <c r="P113" s="30" t="s">
        <v>150</v>
      </c>
      <c r="Q113" s="80"/>
    </row>
    <row r="114" spans="1:17" hidden="1">
      <c r="A114" s="43" t="s">
        <v>253</v>
      </c>
      <c r="B114" s="44" t="s">
        <v>122</v>
      </c>
      <c r="C114" s="44"/>
      <c r="D114" s="44"/>
      <c r="I114" s="43" t="s">
        <v>245</v>
      </c>
      <c r="J114" s="298" t="s">
        <v>657</v>
      </c>
      <c r="K114" s="80"/>
      <c r="O114" s="96" t="s">
        <v>230</v>
      </c>
      <c r="P114" s="97" t="s">
        <v>88</v>
      </c>
      <c r="Q114" s="80"/>
    </row>
    <row r="115" spans="1:17" hidden="1">
      <c r="A115" s="43" t="s">
        <v>277</v>
      </c>
      <c r="B115" s="43" t="s">
        <v>190</v>
      </c>
      <c r="C115" s="43"/>
      <c r="D115" s="43"/>
      <c r="I115" s="43" t="s">
        <v>245</v>
      </c>
      <c r="J115" s="298" t="s">
        <v>657</v>
      </c>
      <c r="K115" s="80"/>
      <c r="O115" s="43" t="s">
        <v>265</v>
      </c>
      <c r="P115" s="30" t="s">
        <v>137</v>
      </c>
      <c r="Q115" s="80"/>
    </row>
    <row r="116" spans="1:17" hidden="1">
      <c r="A116" s="43" t="s">
        <v>301</v>
      </c>
      <c r="B116" s="43" t="s">
        <v>172</v>
      </c>
      <c r="C116" s="43"/>
      <c r="D116" s="43"/>
      <c r="I116" s="96" t="s">
        <v>230</v>
      </c>
      <c r="J116" s="97" t="s">
        <v>88</v>
      </c>
      <c r="K116" s="80"/>
      <c r="O116" s="96" t="s">
        <v>230</v>
      </c>
      <c r="P116" s="97" t="s">
        <v>88</v>
      </c>
      <c r="Q116" s="80"/>
    </row>
    <row r="117" spans="1:17" ht="16.5" hidden="1">
      <c r="A117" s="184" t="s">
        <v>309</v>
      </c>
      <c r="B117" s="43"/>
      <c r="C117" s="43"/>
      <c r="D117" s="43"/>
      <c r="I117" s="96" t="s">
        <v>230</v>
      </c>
      <c r="J117" s="97" t="s">
        <v>88</v>
      </c>
      <c r="K117" s="80"/>
      <c r="O117" s="30" t="s">
        <v>248</v>
      </c>
      <c r="P117" s="30" t="s">
        <v>181</v>
      </c>
      <c r="Q117" s="80"/>
    </row>
    <row r="118" spans="1:17" hidden="1">
      <c r="A118" s="43" t="s">
        <v>230</v>
      </c>
      <c r="B118" s="44" t="s">
        <v>88</v>
      </c>
      <c r="C118" s="44"/>
      <c r="D118" s="44"/>
      <c r="I118" s="96" t="s">
        <v>230</v>
      </c>
      <c r="J118" s="97" t="s">
        <v>88</v>
      </c>
      <c r="K118" s="80"/>
      <c r="O118" s="96" t="s">
        <v>230</v>
      </c>
      <c r="P118" s="97" t="s">
        <v>88</v>
      </c>
      <c r="Q118" s="80"/>
    </row>
    <row r="119" spans="1:17" hidden="1">
      <c r="A119" s="43" t="s">
        <v>230</v>
      </c>
      <c r="B119" s="44" t="s">
        <v>88</v>
      </c>
      <c r="C119" s="44"/>
      <c r="D119" s="44"/>
      <c r="I119" s="96" t="s">
        <v>230</v>
      </c>
      <c r="J119" s="97" t="s">
        <v>88</v>
      </c>
      <c r="K119" s="80"/>
      <c r="O119" s="30" t="s">
        <v>287</v>
      </c>
      <c r="P119" s="30"/>
      <c r="Q119" s="80"/>
    </row>
    <row r="120" spans="1:17" hidden="1">
      <c r="A120" s="43" t="s">
        <v>230</v>
      </c>
      <c r="B120" s="44" t="s">
        <v>88</v>
      </c>
      <c r="C120" s="44"/>
      <c r="D120" s="44"/>
      <c r="I120" s="96" t="s">
        <v>230</v>
      </c>
      <c r="J120" s="97" t="s">
        <v>88</v>
      </c>
      <c r="K120" s="80"/>
      <c r="O120" s="30" t="s">
        <v>281</v>
      </c>
      <c r="P120" s="30" t="s">
        <v>185</v>
      </c>
      <c r="Q120" s="80"/>
    </row>
    <row r="121" spans="1:17" hidden="1">
      <c r="A121" s="43" t="s">
        <v>230</v>
      </c>
      <c r="B121" s="44" t="s">
        <v>88</v>
      </c>
      <c r="C121" s="44"/>
      <c r="D121" s="44"/>
      <c r="I121" s="96" t="s">
        <v>230</v>
      </c>
      <c r="J121" s="97" t="s">
        <v>88</v>
      </c>
      <c r="K121" s="80"/>
      <c r="O121" s="30" t="s">
        <v>248</v>
      </c>
      <c r="P121" s="30" t="s">
        <v>181</v>
      </c>
      <c r="Q121" s="80"/>
    </row>
    <row r="122" spans="1:17" hidden="1">
      <c r="A122" s="43" t="s">
        <v>230</v>
      </c>
      <c r="B122" s="44" t="s">
        <v>88</v>
      </c>
      <c r="C122" s="44"/>
      <c r="D122" s="44"/>
      <c r="I122" s="183" t="s">
        <v>239</v>
      </c>
      <c r="J122" s="97" t="s">
        <v>125</v>
      </c>
      <c r="K122" s="80"/>
      <c r="O122" s="96" t="s">
        <v>230</v>
      </c>
      <c r="P122" s="97" t="s">
        <v>88</v>
      </c>
      <c r="Q122" s="80"/>
    </row>
    <row r="123" spans="1:17" hidden="1">
      <c r="A123" s="43" t="s">
        <v>242</v>
      </c>
      <c r="B123" s="43" t="s">
        <v>98</v>
      </c>
      <c r="C123" s="43"/>
      <c r="D123" s="43"/>
      <c r="I123" s="96" t="s">
        <v>230</v>
      </c>
      <c r="J123" s="97" t="s">
        <v>88</v>
      </c>
      <c r="K123" s="80"/>
      <c r="O123" s="30" t="s">
        <v>248</v>
      </c>
      <c r="P123" s="30" t="s">
        <v>181</v>
      </c>
      <c r="Q123" s="80"/>
    </row>
    <row r="124" spans="1:17" hidden="1">
      <c r="A124" s="43" t="s">
        <v>242</v>
      </c>
      <c r="B124" s="43" t="s">
        <v>98</v>
      </c>
      <c r="C124" s="43"/>
      <c r="D124" s="43"/>
      <c r="O124" s="96" t="s">
        <v>230</v>
      </c>
      <c r="P124" s="97" t="s">
        <v>88</v>
      </c>
      <c r="Q124" s="80"/>
    </row>
    <row r="125" spans="1:17">
      <c r="A125" s="43" t="s">
        <v>230</v>
      </c>
      <c r="B125" s="44" t="s">
        <v>88</v>
      </c>
      <c r="C125" s="44"/>
      <c r="D125" s="44"/>
      <c r="O125" s="184" t="s">
        <v>299</v>
      </c>
      <c r="P125" s="30" t="s">
        <v>186</v>
      </c>
      <c r="Q125" s="80"/>
    </row>
    <row r="126" spans="1:17" hidden="1">
      <c r="A126" s="43" t="s">
        <v>264</v>
      </c>
      <c r="B126" s="43" t="s">
        <v>93</v>
      </c>
      <c r="C126" s="43"/>
      <c r="D126" s="43"/>
      <c r="O126" s="30" t="s">
        <v>248</v>
      </c>
      <c r="P126" s="30" t="s">
        <v>181</v>
      </c>
      <c r="Q126" s="80"/>
    </row>
    <row r="127" spans="1:17" ht="16.5" hidden="1">
      <c r="A127" s="185" t="s">
        <v>311</v>
      </c>
      <c r="B127" s="297" t="s">
        <v>194</v>
      </c>
      <c r="C127" s="297"/>
      <c r="D127" s="297"/>
      <c r="O127" s="30" t="s">
        <v>248</v>
      </c>
      <c r="P127" s="30" t="s">
        <v>181</v>
      </c>
      <c r="Q127" s="80"/>
    </row>
    <row r="128" spans="1:17" hidden="1">
      <c r="A128" s="43" t="s">
        <v>250</v>
      </c>
      <c r="B128" s="44" t="s">
        <v>94</v>
      </c>
      <c r="C128" s="44"/>
      <c r="D128" s="44"/>
      <c r="O128" s="30" t="s">
        <v>286</v>
      </c>
      <c r="P128" s="30" t="s">
        <v>187</v>
      </c>
      <c r="Q128" s="80"/>
    </row>
    <row r="129" spans="1:17" hidden="1">
      <c r="A129" s="43" t="s">
        <v>230</v>
      </c>
      <c r="B129" s="44" t="s">
        <v>88</v>
      </c>
      <c r="C129" s="44"/>
      <c r="D129" s="44"/>
      <c r="O129" s="96" t="s">
        <v>264</v>
      </c>
      <c r="P129" s="30" t="s">
        <v>188</v>
      </c>
      <c r="Q129" s="80"/>
    </row>
    <row r="130" spans="1:17" hidden="1">
      <c r="A130" s="43" t="s">
        <v>230</v>
      </c>
      <c r="B130" s="44" t="s">
        <v>88</v>
      </c>
      <c r="C130" s="44"/>
      <c r="D130" s="44"/>
      <c r="O130" s="43" t="s">
        <v>233</v>
      </c>
      <c r="P130" s="297" t="s">
        <v>124</v>
      </c>
      <c r="Q130" s="80"/>
    </row>
    <row r="131" spans="1:17" hidden="1">
      <c r="A131" s="43" t="s">
        <v>230</v>
      </c>
      <c r="B131" s="44" t="s">
        <v>88</v>
      </c>
      <c r="C131" s="44"/>
      <c r="D131" s="44"/>
      <c r="O131" s="30" t="s">
        <v>280</v>
      </c>
      <c r="P131" s="30" t="s">
        <v>189</v>
      </c>
      <c r="Q131" s="80"/>
    </row>
    <row r="132" spans="1:17" hidden="1">
      <c r="A132" s="43" t="s">
        <v>242</v>
      </c>
      <c r="B132" s="43" t="s">
        <v>98</v>
      </c>
      <c r="C132" s="43"/>
      <c r="D132" s="43"/>
      <c r="O132" s="43" t="s">
        <v>260</v>
      </c>
      <c r="P132" s="30" t="s">
        <v>120</v>
      </c>
      <c r="Q132" s="80"/>
    </row>
    <row r="133" spans="1:17" hidden="1">
      <c r="A133" s="43" t="s">
        <v>236</v>
      </c>
      <c r="B133" s="44" t="s">
        <v>90</v>
      </c>
      <c r="C133" s="44"/>
      <c r="D133" s="44"/>
      <c r="O133" s="96" t="s">
        <v>230</v>
      </c>
      <c r="P133" s="97" t="s">
        <v>88</v>
      </c>
      <c r="Q133" s="80"/>
    </row>
    <row r="134" spans="1:17" hidden="1">
      <c r="A134" s="43" t="s">
        <v>242</v>
      </c>
      <c r="B134" s="43" t="s">
        <v>98</v>
      </c>
      <c r="C134" s="43"/>
      <c r="D134" s="43"/>
      <c r="O134" s="43" t="s">
        <v>270</v>
      </c>
      <c r="P134" s="30" t="s">
        <v>179</v>
      </c>
      <c r="Q134" s="80"/>
    </row>
    <row r="135" spans="1:17" hidden="1">
      <c r="A135" s="43" t="s">
        <v>236</v>
      </c>
      <c r="B135" s="44" t="s">
        <v>90</v>
      </c>
      <c r="C135" s="44"/>
      <c r="D135" s="44"/>
      <c r="O135" s="43" t="s">
        <v>229</v>
      </c>
      <c r="P135" s="297" t="s">
        <v>681</v>
      </c>
      <c r="Q135" s="80"/>
    </row>
    <row r="136" spans="1:17" hidden="1">
      <c r="A136" s="43" t="s">
        <v>230</v>
      </c>
      <c r="B136" s="44" t="s">
        <v>88</v>
      </c>
      <c r="C136" s="44"/>
      <c r="D136" s="44"/>
      <c r="O136" s="96" t="s">
        <v>230</v>
      </c>
      <c r="P136" s="97" t="s">
        <v>88</v>
      </c>
      <c r="Q136" s="80"/>
    </row>
    <row r="137" spans="1:17" hidden="1">
      <c r="A137" s="43" t="s">
        <v>230</v>
      </c>
      <c r="B137" s="44" t="s">
        <v>88</v>
      </c>
      <c r="C137" s="44"/>
      <c r="D137" s="44"/>
      <c r="O137" s="96" t="s">
        <v>264</v>
      </c>
      <c r="P137" s="30" t="s">
        <v>191</v>
      </c>
      <c r="Q137" s="80"/>
    </row>
    <row r="138" spans="1:17" hidden="1">
      <c r="A138" s="43" t="s">
        <v>264</v>
      </c>
      <c r="B138" s="43" t="s">
        <v>93</v>
      </c>
      <c r="C138" s="43"/>
      <c r="D138" s="43"/>
      <c r="O138" s="43" t="s">
        <v>229</v>
      </c>
      <c r="P138" s="297" t="s">
        <v>681</v>
      </c>
      <c r="Q138" s="80"/>
    </row>
    <row r="139" spans="1:17" hidden="1">
      <c r="A139" s="43" t="s">
        <v>230</v>
      </c>
      <c r="B139" s="44" t="s">
        <v>88</v>
      </c>
      <c r="C139" s="44"/>
      <c r="D139" s="44"/>
      <c r="O139" s="30" t="s">
        <v>272</v>
      </c>
      <c r="P139" s="30" t="s">
        <v>192</v>
      </c>
      <c r="Q139" s="80"/>
    </row>
    <row r="140" spans="1:17" hidden="1">
      <c r="A140" s="43" t="s">
        <v>253</v>
      </c>
      <c r="B140" s="44" t="s">
        <v>122</v>
      </c>
      <c r="C140" s="44"/>
      <c r="D140" s="44"/>
      <c r="O140" s="30" t="s">
        <v>272</v>
      </c>
      <c r="P140" s="30" t="s">
        <v>192</v>
      </c>
      <c r="Q140" s="80"/>
    </row>
    <row r="141" spans="1:17" hidden="1">
      <c r="A141" s="43" t="s">
        <v>230</v>
      </c>
      <c r="B141" s="44" t="s">
        <v>88</v>
      </c>
      <c r="C141" s="44"/>
      <c r="D141" s="44"/>
      <c r="O141" s="30" t="s">
        <v>248</v>
      </c>
      <c r="P141" s="30" t="s">
        <v>181</v>
      </c>
      <c r="Q141" s="80"/>
    </row>
    <row r="142" spans="1:17" hidden="1">
      <c r="A142" s="292" t="s">
        <v>334</v>
      </c>
      <c r="B142" s="292" t="s">
        <v>326</v>
      </c>
      <c r="C142" s="292"/>
      <c r="D142" s="292"/>
      <c r="O142" s="43" t="s">
        <v>260</v>
      </c>
      <c r="P142" s="30" t="s">
        <v>193</v>
      </c>
      <c r="Q142" s="80"/>
    </row>
    <row r="143" spans="1:17" hidden="1">
      <c r="A143" s="96" t="s">
        <v>302</v>
      </c>
      <c r="B143" s="43" t="s">
        <v>198</v>
      </c>
      <c r="C143" s="43"/>
      <c r="D143" s="43"/>
      <c r="O143" s="30" t="s">
        <v>248</v>
      </c>
      <c r="P143" s="30" t="s">
        <v>181</v>
      </c>
      <c r="Q143" s="80"/>
    </row>
    <row r="144" spans="1:17" hidden="1">
      <c r="A144" s="96" t="s">
        <v>250</v>
      </c>
      <c r="B144" s="44" t="s">
        <v>94</v>
      </c>
      <c r="C144" s="44"/>
      <c r="D144" s="44"/>
      <c r="O144" s="30" t="s">
        <v>248</v>
      </c>
      <c r="P144" s="30" t="s">
        <v>181</v>
      </c>
      <c r="Q144" s="80"/>
    </row>
    <row r="145" spans="1:17" hidden="1">
      <c r="A145" s="96" t="s">
        <v>260</v>
      </c>
      <c r="B145" s="44" t="s">
        <v>120</v>
      </c>
      <c r="C145" s="44"/>
      <c r="D145" s="44"/>
      <c r="O145" s="43" t="s">
        <v>294</v>
      </c>
      <c r="P145" s="30" t="s">
        <v>182</v>
      </c>
      <c r="Q145" s="80"/>
    </row>
    <row r="146" spans="1:17" hidden="1">
      <c r="A146" s="96" t="s">
        <v>230</v>
      </c>
      <c r="B146" s="44" t="s">
        <v>88</v>
      </c>
      <c r="C146" s="44"/>
      <c r="D146" s="44"/>
      <c r="O146" s="96" t="s">
        <v>230</v>
      </c>
      <c r="P146" s="97" t="s">
        <v>88</v>
      </c>
      <c r="Q146" s="80"/>
    </row>
    <row r="147" spans="1:17" hidden="1">
      <c r="A147" s="96" t="s">
        <v>242</v>
      </c>
      <c r="B147" s="43" t="s">
        <v>98</v>
      </c>
      <c r="C147" s="43"/>
      <c r="D147" s="43"/>
      <c r="O147" s="30" t="s">
        <v>274</v>
      </c>
      <c r="P147" s="30" t="s">
        <v>195</v>
      </c>
      <c r="Q147" s="80"/>
    </row>
    <row r="148" spans="1:17" hidden="1">
      <c r="A148" s="96" t="s">
        <v>258</v>
      </c>
      <c r="B148" s="44" t="s">
        <v>119</v>
      </c>
      <c r="C148" s="44"/>
      <c r="D148" s="44"/>
      <c r="O148" s="43" t="s">
        <v>242</v>
      </c>
      <c r="P148" s="30" t="s">
        <v>98</v>
      </c>
      <c r="Q148" s="80"/>
    </row>
    <row r="149" spans="1:17" hidden="1">
      <c r="A149" s="96" t="s">
        <v>295</v>
      </c>
      <c r="B149" s="43" t="s">
        <v>199</v>
      </c>
      <c r="C149" s="43"/>
      <c r="D149" s="43"/>
      <c r="O149" s="30" t="s">
        <v>248</v>
      </c>
      <c r="P149" s="30" t="s">
        <v>181</v>
      </c>
      <c r="Q149" s="80"/>
    </row>
    <row r="150" spans="1:17" hidden="1">
      <c r="A150" s="96" t="s">
        <v>295</v>
      </c>
      <c r="B150" s="43" t="s">
        <v>199</v>
      </c>
      <c r="C150" s="43"/>
      <c r="D150" s="43"/>
      <c r="O150" s="96" t="s">
        <v>230</v>
      </c>
      <c r="P150" s="97" t="s">
        <v>88</v>
      </c>
      <c r="Q150" s="80"/>
    </row>
    <row r="151" spans="1:17" hidden="1">
      <c r="A151" s="96" t="s">
        <v>264</v>
      </c>
      <c r="B151" s="43" t="s">
        <v>93</v>
      </c>
      <c r="C151" s="43"/>
      <c r="D151" s="43"/>
      <c r="O151" s="30" t="s">
        <v>289</v>
      </c>
      <c r="P151" s="30" t="s">
        <v>196</v>
      </c>
      <c r="Q151" s="80"/>
    </row>
    <row r="152" spans="1:17" hidden="1">
      <c r="A152" s="96" t="s">
        <v>242</v>
      </c>
      <c r="B152" s="43" t="s">
        <v>98</v>
      </c>
      <c r="C152" s="43"/>
      <c r="D152" s="43"/>
      <c r="O152" s="43" t="s">
        <v>276</v>
      </c>
      <c r="P152" s="297" t="s">
        <v>681</v>
      </c>
      <c r="Q152" s="80"/>
    </row>
    <row r="153" spans="1:17" hidden="1">
      <c r="A153" s="96" t="s">
        <v>253</v>
      </c>
      <c r="B153" s="44" t="s">
        <v>122</v>
      </c>
      <c r="C153" s="44"/>
      <c r="D153" s="44"/>
      <c r="O153" s="30" t="s">
        <v>284</v>
      </c>
      <c r="P153" s="30" t="s">
        <v>197</v>
      </c>
      <c r="Q153" s="80"/>
    </row>
    <row r="154" spans="1:17" hidden="1">
      <c r="A154" s="96" t="s">
        <v>258</v>
      </c>
      <c r="B154" s="44" t="s">
        <v>119</v>
      </c>
      <c r="C154" s="44"/>
      <c r="D154" s="44"/>
      <c r="O154" s="30" t="s">
        <v>286</v>
      </c>
      <c r="P154" s="30" t="s">
        <v>187</v>
      </c>
      <c r="Q154" s="80"/>
    </row>
    <row r="155" spans="1:17" hidden="1">
      <c r="A155" s="96" t="s">
        <v>265</v>
      </c>
      <c r="B155" s="43" t="s">
        <v>137</v>
      </c>
      <c r="C155" s="43"/>
      <c r="D155" s="43"/>
      <c r="O155" s="30" t="s">
        <v>286</v>
      </c>
      <c r="P155" s="30" t="s">
        <v>187</v>
      </c>
      <c r="Q155" s="80"/>
    </row>
    <row r="156" spans="1:17" hidden="1">
      <c r="A156" s="96" t="s">
        <v>302</v>
      </c>
      <c r="B156" s="297" t="s">
        <v>198</v>
      </c>
      <c r="C156" s="297"/>
      <c r="D156" s="297"/>
      <c r="O156" s="96" t="s">
        <v>230</v>
      </c>
      <c r="P156" s="97" t="s">
        <v>88</v>
      </c>
      <c r="Q156" s="80"/>
    </row>
    <row r="157" spans="1:17" hidden="1">
      <c r="A157" s="96" t="s">
        <v>302</v>
      </c>
      <c r="B157" s="43" t="s">
        <v>198</v>
      </c>
      <c r="C157" s="43"/>
      <c r="D157" s="43"/>
      <c r="O157" s="43" t="s">
        <v>258</v>
      </c>
      <c r="P157" s="30" t="s">
        <v>119</v>
      </c>
      <c r="Q157" s="80"/>
    </row>
    <row r="158" spans="1:17" ht="16.5" hidden="1">
      <c r="A158" s="185" t="s">
        <v>311</v>
      </c>
      <c r="B158" s="297" t="s">
        <v>194</v>
      </c>
      <c r="C158" s="297"/>
      <c r="D158" s="297"/>
      <c r="O158" s="96" t="s">
        <v>230</v>
      </c>
      <c r="P158" s="97" t="s">
        <v>88</v>
      </c>
      <c r="Q158" s="80"/>
    </row>
    <row r="159" spans="1:17" hidden="1">
      <c r="A159" s="96" t="s">
        <v>293</v>
      </c>
      <c r="B159" s="43" t="s">
        <v>168</v>
      </c>
      <c r="C159" s="43"/>
      <c r="D159" s="43"/>
      <c r="O159" s="30" t="s">
        <v>248</v>
      </c>
      <c r="P159" s="30" t="s">
        <v>181</v>
      </c>
      <c r="Q159" s="80"/>
    </row>
    <row r="160" spans="1:17" hidden="1">
      <c r="A160" s="96" t="s">
        <v>242</v>
      </c>
      <c r="B160" s="43" t="s">
        <v>98</v>
      </c>
      <c r="C160" s="43"/>
      <c r="D160" s="43"/>
      <c r="O160" s="43" t="s">
        <v>261</v>
      </c>
      <c r="P160" s="297" t="s">
        <v>95</v>
      </c>
      <c r="Q160" s="80"/>
    </row>
    <row r="161" spans="1:17" hidden="1">
      <c r="A161" s="96" t="s">
        <v>253</v>
      </c>
      <c r="B161" s="44" t="s">
        <v>122</v>
      </c>
      <c r="C161" s="44"/>
      <c r="D161" s="44"/>
      <c r="O161" s="43" t="s">
        <v>242</v>
      </c>
      <c r="P161" s="30" t="s">
        <v>98</v>
      </c>
      <c r="Q161" s="80"/>
    </row>
    <row r="162" spans="1:17">
      <c r="A162" s="96" t="s">
        <v>264</v>
      </c>
      <c r="B162" s="43" t="s">
        <v>93</v>
      </c>
      <c r="C162" s="43"/>
      <c r="D162" s="43"/>
    </row>
    <row r="163" spans="1:17">
      <c r="A163" s="96" t="s">
        <v>268</v>
      </c>
      <c r="B163" s="43" t="s">
        <v>163</v>
      </c>
      <c r="C163" s="43"/>
      <c r="D163" s="43"/>
    </row>
    <row r="164" spans="1:17">
      <c r="A164" s="96" t="s">
        <v>268</v>
      </c>
      <c r="B164" s="43" t="s">
        <v>163</v>
      </c>
      <c r="C164" s="43"/>
      <c r="D164" s="43"/>
    </row>
    <row r="165" spans="1:17">
      <c r="A165" s="184" t="s">
        <v>310</v>
      </c>
      <c r="B165" s="43"/>
      <c r="C165" s="43"/>
      <c r="D165" s="43"/>
    </row>
    <row r="166" spans="1:17">
      <c r="A166" s="96" t="s">
        <v>253</v>
      </c>
      <c r="B166" s="44" t="s">
        <v>122</v>
      </c>
      <c r="C166" s="44"/>
      <c r="D166" s="44"/>
    </row>
    <row r="167" spans="1:17">
      <c r="A167" s="96" t="s">
        <v>295</v>
      </c>
      <c r="B167" s="43" t="s">
        <v>199</v>
      </c>
      <c r="C167" s="43"/>
      <c r="D167" s="43"/>
    </row>
    <row r="168" spans="1:17">
      <c r="A168" s="96" t="s">
        <v>276</v>
      </c>
      <c r="B168" s="43" t="s">
        <v>143</v>
      </c>
      <c r="C168" s="43"/>
      <c r="D168" s="43"/>
    </row>
    <row r="169" spans="1:17">
      <c r="A169" s="96" t="s">
        <v>253</v>
      </c>
      <c r="B169" s="44" t="s">
        <v>122</v>
      </c>
      <c r="C169" s="44"/>
      <c r="D169" s="44"/>
    </row>
    <row r="170" spans="1:17">
      <c r="A170" s="96" t="s">
        <v>236</v>
      </c>
      <c r="B170" s="44" t="s">
        <v>90</v>
      </c>
      <c r="C170" s="44"/>
      <c r="D170" s="44"/>
    </row>
    <row r="171" spans="1:17">
      <c r="A171" s="96" t="s">
        <v>242</v>
      </c>
      <c r="B171" s="43" t="s">
        <v>98</v>
      </c>
      <c r="C171" s="43"/>
      <c r="D171" s="43"/>
    </row>
    <row r="172" spans="1:17">
      <c r="A172" s="96" t="s">
        <v>230</v>
      </c>
      <c r="B172" s="44" t="s">
        <v>88</v>
      </c>
      <c r="C172" s="44"/>
      <c r="D172" s="44"/>
    </row>
    <row r="173" spans="1:17">
      <c r="A173" s="96" t="s">
        <v>264</v>
      </c>
      <c r="B173" s="43" t="s">
        <v>93</v>
      </c>
      <c r="C173" s="43"/>
      <c r="D173" s="43"/>
    </row>
    <row r="174" spans="1:17">
      <c r="A174" s="96" t="s">
        <v>230</v>
      </c>
      <c r="B174" s="44" t="s">
        <v>88</v>
      </c>
      <c r="C174" s="44"/>
      <c r="D174" s="44"/>
    </row>
    <row r="175" spans="1:17">
      <c r="A175" s="96" t="s">
        <v>283</v>
      </c>
      <c r="B175" s="43" t="s">
        <v>157</v>
      </c>
      <c r="C175" s="43"/>
      <c r="D175" s="43"/>
    </row>
    <row r="176" spans="1:17">
      <c r="A176" s="96" t="s">
        <v>253</v>
      </c>
      <c r="B176" s="44" t="s">
        <v>122</v>
      </c>
      <c r="C176" s="44"/>
      <c r="D176" s="44"/>
    </row>
    <row r="177" spans="1:4">
      <c r="A177" s="96" t="s">
        <v>242</v>
      </c>
      <c r="B177" s="43" t="s">
        <v>98</v>
      </c>
      <c r="C177" s="43"/>
      <c r="D177" s="43"/>
    </row>
    <row r="178" spans="1:4">
      <c r="A178" s="96" t="s">
        <v>258</v>
      </c>
      <c r="B178" s="44" t="s">
        <v>119</v>
      </c>
      <c r="C178" s="44"/>
      <c r="D178" s="44"/>
    </row>
    <row r="179" spans="1:4">
      <c r="A179" s="43" t="s">
        <v>264</v>
      </c>
      <c r="B179" s="43" t="s">
        <v>93</v>
      </c>
      <c r="C179" s="43"/>
      <c r="D179" s="43"/>
    </row>
    <row r="180" spans="1:4">
      <c r="A180" s="96" t="s">
        <v>295</v>
      </c>
      <c r="B180" s="43" t="s">
        <v>170</v>
      </c>
      <c r="C180" s="43"/>
      <c r="D180" s="43"/>
    </row>
    <row r="181" spans="1:4">
      <c r="A181" s="96" t="s">
        <v>230</v>
      </c>
      <c r="B181" s="44" t="s">
        <v>88</v>
      </c>
      <c r="C181" s="44"/>
      <c r="D181" s="44"/>
    </row>
    <row r="182" spans="1:4">
      <c r="A182" s="43" t="s">
        <v>236</v>
      </c>
      <c r="B182" s="44" t="s">
        <v>90</v>
      </c>
      <c r="C182" s="44"/>
      <c r="D182" s="44"/>
    </row>
    <row r="183" spans="1:4">
      <c r="A183" s="43" t="s">
        <v>242</v>
      </c>
      <c r="B183" s="43" t="s">
        <v>98</v>
      </c>
      <c r="C183" s="43"/>
      <c r="D183" s="43"/>
    </row>
    <row r="184" spans="1:4">
      <c r="A184" s="184" t="s">
        <v>310</v>
      </c>
      <c r="B184" s="43"/>
      <c r="C184" s="43"/>
      <c r="D184" s="43"/>
    </row>
    <row r="185" spans="1:4">
      <c r="A185" s="43" t="s">
        <v>265</v>
      </c>
      <c r="B185" s="43" t="s">
        <v>169</v>
      </c>
      <c r="C185" s="43"/>
      <c r="D185" s="43"/>
    </row>
    <row r="186" spans="1:4">
      <c r="A186" s="96" t="s">
        <v>293</v>
      </c>
      <c r="B186" s="43" t="s">
        <v>168</v>
      </c>
      <c r="C186" s="43"/>
      <c r="D186" s="43"/>
    </row>
    <row r="187" spans="1:4">
      <c r="A187" s="43" t="s">
        <v>242</v>
      </c>
      <c r="B187" s="43" t="s">
        <v>98</v>
      </c>
      <c r="C187" s="43"/>
      <c r="D187" s="43"/>
    </row>
    <row r="188" spans="1:4">
      <c r="A188" s="96" t="s">
        <v>230</v>
      </c>
      <c r="B188" s="44" t="s">
        <v>88</v>
      </c>
      <c r="C188" s="44"/>
      <c r="D188" s="44"/>
    </row>
    <row r="189" spans="1:4">
      <c r="A189" s="96" t="s">
        <v>230</v>
      </c>
      <c r="B189" s="44" t="s">
        <v>88</v>
      </c>
      <c r="C189" s="44"/>
      <c r="D189" s="44"/>
    </row>
    <row r="190" spans="1:4">
      <c r="A190" s="43" t="s">
        <v>307</v>
      </c>
      <c r="B190" s="43" t="s">
        <v>203</v>
      </c>
      <c r="C190" s="43"/>
      <c r="D190" s="43"/>
    </row>
    <row r="191" spans="1:4">
      <c r="A191" s="96" t="s">
        <v>253</v>
      </c>
      <c r="B191" s="44" t="s">
        <v>122</v>
      </c>
      <c r="C191" s="44"/>
      <c r="D191" s="44"/>
    </row>
    <row r="192" spans="1:4">
      <c r="A192" s="96" t="s">
        <v>250</v>
      </c>
      <c r="B192" s="44" t="s">
        <v>94</v>
      </c>
      <c r="C192" s="44"/>
      <c r="D192" s="44"/>
    </row>
    <row r="193" spans="1:4">
      <c r="A193" s="96" t="s">
        <v>230</v>
      </c>
      <c r="B193" s="44" t="s">
        <v>88</v>
      </c>
      <c r="C193" s="44"/>
      <c r="D193" s="44"/>
    </row>
    <row r="194" spans="1:4">
      <c r="A194" s="43" t="s">
        <v>258</v>
      </c>
      <c r="B194" s="44" t="s">
        <v>119</v>
      </c>
      <c r="C194" s="44"/>
      <c r="D194" s="44"/>
    </row>
    <row r="195" spans="1:4">
      <c r="A195" s="96" t="s">
        <v>293</v>
      </c>
      <c r="B195" s="43" t="s">
        <v>168</v>
      </c>
      <c r="C195" s="43"/>
      <c r="D195" s="43"/>
    </row>
    <row r="196" spans="1:4">
      <c r="A196" s="96" t="s">
        <v>230</v>
      </c>
      <c r="B196" s="44" t="s">
        <v>88</v>
      </c>
      <c r="C196" s="44"/>
      <c r="D196" s="44"/>
    </row>
    <row r="197" spans="1:4">
      <c r="A197" s="43" t="s">
        <v>258</v>
      </c>
      <c r="B197" s="44" t="s">
        <v>119</v>
      </c>
      <c r="C197" s="44"/>
      <c r="D197" s="44"/>
    </row>
    <row r="198" spans="1:4">
      <c r="A198" s="96" t="s">
        <v>230</v>
      </c>
      <c r="B198" s="44" t="s">
        <v>88</v>
      </c>
      <c r="C198" s="44"/>
      <c r="D198" s="44"/>
    </row>
    <row r="199" spans="1:4">
      <c r="A199" s="96" t="s">
        <v>230</v>
      </c>
      <c r="B199" s="44" t="s">
        <v>88</v>
      </c>
      <c r="C199" s="44"/>
      <c r="D199" s="44"/>
    </row>
    <row r="200" spans="1:4">
      <c r="A200" s="43" t="s">
        <v>303</v>
      </c>
      <c r="B200" s="43" t="s">
        <v>204</v>
      </c>
      <c r="C200" s="43"/>
      <c r="D200" s="43"/>
    </row>
    <row r="201" spans="1:4">
      <c r="A201" s="96" t="s">
        <v>293</v>
      </c>
      <c r="B201" s="43" t="s">
        <v>168</v>
      </c>
      <c r="C201" s="43"/>
      <c r="D201" s="43"/>
    </row>
    <row r="202" spans="1:4">
      <c r="A202" s="43" t="s">
        <v>257</v>
      </c>
      <c r="B202" s="43" t="s">
        <v>205</v>
      </c>
      <c r="C202" s="43"/>
      <c r="D202" s="43"/>
    </row>
    <row r="203" spans="1:4">
      <c r="A203" s="43" t="s">
        <v>265</v>
      </c>
      <c r="B203" s="43" t="s">
        <v>169</v>
      </c>
      <c r="C203" s="43"/>
      <c r="D203" s="43"/>
    </row>
    <row r="204" spans="1:4">
      <c r="A204" s="96" t="s">
        <v>295</v>
      </c>
      <c r="B204" s="43" t="s">
        <v>170</v>
      </c>
      <c r="C204" s="43"/>
      <c r="D204" s="43"/>
    </row>
    <row r="205" spans="1:4">
      <c r="A205" s="292" t="s">
        <v>344</v>
      </c>
      <c r="B205" s="30" t="s">
        <v>329</v>
      </c>
      <c r="C205" s="30"/>
      <c r="D205" s="30"/>
    </row>
  </sheetData>
  <autoFilter ref="O2:P161">
    <filterColumn colId="0">
      <filters>
        <filter val="ခိန်"/>
        <filter val="သစ်ကုလား"/>
      </filters>
    </filterColumn>
  </autoFilter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E43"/>
  <sheetViews>
    <sheetView tabSelected="1" zoomScaleSheetLayoutView="110" workbookViewId="0">
      <selection activeCell="I24" sqref="I24"/>
    </sheetView>
  </sheetViews>
  <sheetFormatPr defaultRowHeight="15"/>
  <cols>
    <col min="1" max="1" width="8.140625" style="1" customWidth="1"/>
    <col min="2" max="2" width="12.140625" style="1" customWidth="1"/>
    <col min="3" max="3" width="21.140625" style="1" bestFit="1" customWidth="1"/>
    <col min="4" max="4" width="15.42578125" style="1" customWidth="1"/>
    <col min="5" max="5" width="9.7109375" style="1" customWidth="1"/>
    <col min="6" max="6" width="9.85546875" style="1" customWidth="1"/>
    <col min="7" max="7" width="12.140625" style="1" bestFit="1" customWidth="1"/>
    <col min="8" max="8" width="18" style="1" bestFit="1" customWidth="1"/>
    <col min="9" max="9" width="21.140625" style="1" bestFit="1" customWidth="1"/>
    <col min="10" max="10" width="21.140625" style="1" customWidth="1"/>
    <col min="11" max="11" width="9" style="1" customWidth="1"/>
    <col min="12" max="12" width="11.85546875" style="1" customWidth="1"/>
    <col min="13" max="13" width="13.85546875" style="1" customWidth="1"/>
    <col min="14" max="14" width="16" style="1" customWidth="1"/>
    <col min="15" max="15" width="8.5703125" style="1" customWidth="1"/>
    <col min="16" max="16" width="12.140625" style="1" bestFit="1" customWidth="1"/>
    <col min="17" max="17" width="11.7109375" style="1" bestFit="1" customWidth="1"/>
    <col min="18" max="18" width="11.7109375" style="1" customWidth="1"/>
    <col min="19" max="19" width="9.140625" style="1"/>
    <col min="20" max="20" width="14.28515625" style="1" customWidth="1"/>
    <col min="21" max="21" width="14.42578125" style="1" customWidth="1"/>
    <col min="22" max="22" width="14" style="1" customWidth="1"/>
    <col min="23" max="23" width="14.85546875" style="1" customWidth="1"/>
    <col min="24" max="27" width="9.140625" style="1"/>
    <col min="28" max="29" width="10.7109375" style="1" customWidth="1"/>
    <col min="30" max="30" width="11.85546875" style="1" customWidth="1"/>
    <col min="31" max="31" width="15.5703125" style="1" customWidth="1"/>
    <col min="32" max="16384" width="9.140625" style="1"/>
  </cols>
  <sheetData>
    <row r="1" spans="1:31">
      <c r="A1" s="338" t="s">
        <v>434</v>
      </c>
      <c r="B1" s="338"/>
      <c r="C1" s="338"/>
      <c r="D1" s="302"/>
      <c r="E1" s="338" t="s">
        <v>435</v>
      </c>
      <c r="F1" s="338"/>
      <c r="G1" s="338"/>
      <c r="H1" s="286"/>
      <c r="K1" s="342" t="s">
        <v>436</v>
      </c>
      <c r="L1" s="342"/>
      <c r="M1" s="342"/>
      <c r="N1" s="342"/>
      <c r="O1" s="342"/>
      <c r="U1" s="2" t="s">
        <v>437</v>
      </c>
      <c r="V1" s="2"/>
      <c r="X1" s="338"/>
      <c r="Y1" s="338"/>
      <c r="AA1" s="338" t="s">
        <v>438</v>
      </c>
      <c r="AB1" s="338"/>
      <c r="AC1" s="338"/>
    </row>
    <row r="2" spans="1:31">
      <c r="A2" s="2" t="s">
        <v>439</v>
      </c>
      <c r="B2" s="2"/>
      <c r="E2" s="338" t="s">
        <v>440</v>
      </c>
      <c r="F2" s="338"/>
      <c r="G2" s="338"/>
      <c r="H2" s="286"/>
      <c r="K2" s="2"/>
      <c r="L2" s="2"/>
      <c r="N2" s="338"/>
      <c r="O2" s="338"/>
      <c r="P2" s="338"/>
      <c r="Q2" s="286"/>
      <c r="R2" s="286"/>
      <c r="U2" s="338"/>
      <c r="V2" s="338"/>
      <c r="X2" s="338"/>
      <c r="Y2" s="338"/>
      <c r="Z2" s="338"/>
    </row>
    <row r="3" spans="1:31">
      <c r="AA3" s="1">
        <v>2</v>
      </c>
      <c r="AB3" s="1">
        <v>8</v>
      </c>
      <c r="AD3" s="1">
        <v>3</v>
      </c>
    </row>
    <row r="4" spans="1:31">
      <c r="A4" s="26" t="s">
        <v>441</v>
      </c>
      <c r="B4" s="26" t="s">
        <v>442</v>
      </c>
      <c r="C4" s="26" t="s">
        <v>224</v>
      </c>
      <c r="D4" s="26" t="s">
        <v>225</v>
      </c>
      <c r="E4" s="26" t="s">
        <v>443</v>
      </c>
      <c r="F4" s="26" t="s">
        <v>444</v>
      </c>
      <c r="G4" s="26" t="s">
        <v>445</v>
      </c>
      <c r="H4" s="210" t="s">
        <v>446</v>
      </c>
      <c r="I4" s="320" t="s">
        <v>766</v>
      </c>
      <c r="J4" s="320"/>
      <c r="K4" s="3" t="s">
        <v>441</v>
      </c>
      <c r="L4" s="3" t="s">
        <v>442</v>
      </c>
      <c r="M4" s="26" t="s">
        <v>224</v>
      </c>
      <c r="N4" s="3" t="s">
        <v>443</v>
      </c>
      <c r="O4" s="3" t="s">
        <v>444</v>
      </c>
      <c r="P4" s="26" t="s">
        <v>445</v>
      </c>
      <c r="Q4" s="210" t="s">
        <v>447</v>
      </c>
      <c r="R4" s="210"/>
      <c r="T4" s="3" t="s">
        <v>441</v>
      </c>
      <c r="U4" s="3" t="s">
        <v>442</v>
      </c>
      <c r="V4" s="26" t="s">
        <v>224</v>
      </c>
      <c r="W4" s="3" t="s">
        <v>443</v>
      </c>
      <c r="X4" s="3" t="s">
        <v>444</v>
      </c>
      <c r="Y4" s="26" t="s">
        <v>448</v>
      </c>
      <c r="AA4" s="9"/>
      <c r="AB4" s="10"/>
      <c r="AC4" s="10"/>
      <c r="AD4" s="11"/>
    </row>
    <row r="5" spans="1:31">
      <c r="A5" s="31">
        <v>1</v>
      </c>
      <c r="B5" s="66" t="s">
        <v>275</v>
      </c>
      <c r="C5" s="40" t="s">
        <v>86</v>
      </c>
      <c r="D5" s="325" t="s">
        <v>241</v>
      </c>
      <c r="E5" s="33">
        <v>22</v>
      </c>
      <c r="F5" s="34">
        <v>10.365853658536587</v>
      </c>
      <c r="G5" s="34">
        <f>0.0543*E5^2.579</f>
        <v>157.36491932170634</v>
      </c>
      <c r="H5" s="81">
        <f>SUM(G5:G28)/1000/0.25</f>
        <v>86.233986466685167</v>
      </c>
      <c r="I5" s="321">
        <f>AVERAGE(F5:F28)</f>
        <v>21.824186991869919</v>
      </c>
      <c r="J5" s="44"/>
      <c r="K5" s="319">
        <v>25</v>
      </c>
      <c r="L5" s="66" t="s">
        <v>275</v>
      </c>
      <c r="M5" s="40" t="s">
        <v>86</v>
      </c>
      <c r="N5" s="8">
        <v>18</v>
      </c>
      <c r="O5" s="35">
        <v>12.195121951219512</v>
      </c>
      <c r="P5" s="34">
        <f>0.0543*N5^2.579</f>
        <v>93.788074609647225</v>
      </c>
      <c r="Q5" s="84">
        <f>SUM(P5:P19)/1000/0.0625</f>
        <v>12.068308917544892</v>
      </c>
      <c r="R5" s="30"/>
      <c r="T5" s="8">
        <v>40</v>
      </c>
      <c r="U5" s="66" t="s">
        <v>275</v>
      </c>
      <c r="V5" s="40" t="s">
        <v>86</v>
      </c>
      <c r="W5" s="8">
        <v>9</v>
      </c>
      <c r="X5" s="32">
        <v>9.1463414634146343</v>
      </c>
      <c r="Y5" s="7"/>
      <c r="AA5" s="9"/>
      <c r="AB5" s="12"/>
      <c r="AC5" s="12"/>
      <c r="AD5" s="13"/>
    </row>
    <row r="6" spans="1:31">
      <c r="A6" s="31">
        <v>2</v>
      </c>
      <c r="B6" s="66" t="s">
        <v>230</v>
      </c>
      <c r="C6" s="40" t="s">
        <v>88</v>
      </c>
      <c r="D6" s="43" t="s">
        <v>232</v>
      </c>
      <c r="E6" s="33">
        <v>54</v>
      </c>
      <c r="F6" s="34">
        <v>34.146341463414636</v>
      </c>
      <c r="G6" s="34">
        <f t="shared" ref="G6:G28" si="0">0.0543*E6^2.579</f>
        <v>1594.5690714042569</v>
      </c>
      <c r="H6" s="81"/>
      <c r="I6" s="44"/>
      <c r="J6" s="44"/>
      <c r="K6" s="319">
        <v>26</v>
      </c>
      <c r="L6" s="66" t="s">
        <v>275</v>
      </c>
      <c r="M6" s="40" t="s">
        <v>86</v>
      </c>
      <c r="N6" s="8">
        <v>16</v>
      </c>
      <c r="O6" s="35">
        <v>10.060975609756099</v>
      </c>
      <c r="P6" s="34">
        <f t="shared" ref="P6:P19" si="1">0.0543*N6^2.579</f>
        <v>69.2189910848019</v>
      </c>
      <c r="Q6" s="30"/>
      <c r="R6" s="30"/>
      <c r="T6" s="24" t="s">
        <v>449</v>
      </c>
      <c r="AA6" s="9"/>
      <c r="AB6" s="12"/>
      <c r="AC6" s="12"/>
      <c r="AD6" s="14"/>
    </row>
    <row r="7" spans="1:31">
      <c r="A7" s="31">
        <v>3</v>
      </c>
      <c r="B7" s="66" t="s">
        <v>236</v>
      </c>
      <c r="C7" s="40" t="s">
        <v>90</v>
      </c>
      <c r="D7" s="43" t="s">
        <v>238</v>
      </c>
      <c r="E7" s="33">
        <v>46</v>
      </c>
      <c r="F7" s="34">
        <v>34.146341463414636</v>
      </c>
      <c r="G7" s="34">
        <f t="shared" si="0"/>
        <v>1054.5138241472591</v>
      </c>
      <c r="H7" s="81"/>
      <c r="I7" s="44"/>
      <c r="J7" s="44"/>
      <c r="K7" s="319">
        <v>27</v>
      </c>
      <c r="L7" s="66" t="s">
        <v>275</v>
      </c>
      <c r="M7" s="40" t="s">
        <v>86</v>
      </c>
      <c r="N7" s="8">
        <v>11.5</v>
      </c>
      <c r="O7" s="35">
        <v>10.060975609756099</v>
      </c>
      <c r="P7" s="34">
        <f t="shared" si="1"/>
        <v>29.535175775586723</v>
      </c>
      <c r="Q7" s="30"/>
      <c r="R7" s="30"/>
      <c r="AA7" s="9">
        <v>6</v>
      </c>
      <c r="AB7" s="12"/>
      <c r="AC7" s="15"/>
      <c r="AD7" s="16"/>
      <c r="AE7" s="18">
        <v>7</v>
      </c>
    </row>
    <row r="8" spans="1:31">
      <c r="A8" s="31">
        <v>4</v>
      </c>
      <c r="B8" s="66" t="s">
        <v>294</v>
      </c>
      <c r="C8" s="40" t="s">
        <v>92</v>
      </c>
      <c r="D8" s="325" t="s">
        <v>241</v>
      </c>
      <c r="E8" s="33">
        <v>27</v>
      </c>
      <c r="F8" s="34">
        <v>11.280487804878049</v>
      </c>
      <c r="G8" s="34">
        <f t="shared" si="0"/>
        <v>266.86214798310266</v>
      </c>
      <c r="H8" s="81"/>
      <c r="I8" s="43"/>
      <c r="J8" s="43"/>
      <c r="K8" s="319">
        <v>28</v>
      </c>
      <c r="L8" s="66" t="s">
        <v>275</v>
      </c>
      <c r="M8" s="40" t="s">
        <v>86</v>
      </c>
      <c r="N8" s="8">
        <v>14</v>
      </c>
      <c r="O8" s="35">
        <v>8.536585365853659</v>
      </c>
      <c r="P8" s="34">
        <f t="shared" si="1"/>
        <v>49.052826098345776</v>
      </c>
      <c r="Q8" s="30"/>
      <c r="R8" s="30"/>
      <c r="T8" s="27" t="s">
        <v>442</v>
      </c>
      <c r="U8" s="3" t="s">
        <v>224</v>
      </c>
      <c r="V8" s="27" t="s">
        <v>450</v>
      </c>
      <c r="W8" s="27" t="s">
        <v>448</v>
      </c>
      <c r="AA8" s="9"/>
      <c r="AB8" s="12">
        <v>1</v>
      </c>
      <c r="AC8" s="9"/>
      <c r="AD8" s="14"/>
    </row>
    <row r="9" spans="1:31">
      <c r="A9" s="31">
        <v>5</v>
      </c>
      <c r="B9" s="66" t="s">
        <v>264</v>
      </c>
      <c r="C9" s="33" t="s">
        <v>93</v>
      </c>
      <c r="D9" s="43" t="s">
        <v>719</v>
      </c>
      <c r="E9" s="33">
        <v>21</v>
      </c>
      <c r="F9" s="34">
        <v>12.195121951219512</v>
      </c>
      <c r="G9" s="34">
        <f t="shared" si="0"/>
        <v>139.57363547262395</v>
      </c>
      <c r="H9" s="81"/>
      <c r="I9" s="44"/>
      <c r="J9" s="44"/>
      <c r="K9" s="319">
        <v>29</v>
      </c>
      <c r="L9" s="66" t="s">
        <v>308</v>
      </c>
      <c r="M9" s="40" t="s">
        <v>314</v>
      </c>
      <c r="N9" s="8">
        <v>15</v>
      </c>
      <c r="O9" s="35">
        <v>11.585365853658537</v>
      </c>
      <c r="P9" s="34">
        <f t="shared" si="1"/>
        <v>58.60560946148339</v>
      </c>
      <c r="Q9" s="30"/>
      <c r="R9" s="30"/>
      <c r="S9" s="36"/>
      <c r="T9" s="66" t="s">
        <v>270</v>
      </c>
      <c r="U9" s="40" t="s">
        <v>96</v>
      </c>
      <c r="V9" s="37">
        <v>4</v>
      </c>
      <c r="W9" s="37"/>
      <c r="AA9" s="9"/>
      <c r="AB9" s="12"/>
      <c r="AC9" s="9"/>
      <c r="AD9" s="14"/>
    </row>
    <row r="10" spans="1:31">
      <c r="A10" s="31">
        <v>6</v>
      </c>
      <c r="B10" s="66" t="s">
        <v>250</v>
      </c>
      <c r="C10" s="40" t="s">
        <v>94</v>
      </c>
      <c r="D10" s="43" t="s">
        <v>241</v>
      </c>
      <c r="E10" s="33">
        <v>24</v>
      </c>
      <c r="F10" s="34">
        <v>12.5</v>
      </c>
      <c r="G10" s="34">
        <f t="shared" si="0"/>
        <v>196.95391678520957</v>
      </c>
      <c r="H10" s="81"/>
      <c r="I10" s="44"/>
      <c r="J10" s="44"/>
      <c r="K10" s="319">
        <v>30</v>
      </c>
      <c r="L10" s="66" t="s">
        <v>275</v>
      </c>
      <c r="M10" s="40" t="s">
        <v>86</v>
      </c>
      <c r="N10" s="8">
        <v>15</v>
      </c>
      <c r="O10" s="35">
        <v>8.536585365853659</v>
      </c>
      <c r="P10" s="34">
        <f t="shared" si="1"/>
        <v>58.60560946148339</v>
      </c>
      <c r="Q10" s="30"/>
      <c r="R10" s="30"/>
      <c r="S10" s="36"/>
      <c r="T10" s="66" t="s">
        <v>275</v>
      </c>
      <c r="U10" s="40" t="s">
        <v>86</v>
      </c>
      <c r="V10" s="37">
        <v>3</v>
      </c>
      <c r="W10" s="37"/>
      <c r="AA10" s="9"/>
      <c r="AB10" s="12"/>
      <c r="AC10" s="9"/>
      <c r="AD10" s="14"/>
    </row>
    <row r="11" spans="1:31">
      <c r="A11" s="31">
        <v>7</v>
      </c>
      <c r="B11" s="66" t="s">
        <v>230</v>
      </c>
      <c r="C11" s="40" t="s">
        <v>88</v>
      </c>
      <c r="D11" s="43" t="s">
        <v>232</v>
      </c>
      <c r="E11" s="33">
        <v>65</v>
      </c>
      <c r="F11" s="34">
        <v>32.012195121951223</v>
      </c>
      <c r="G11" s="34">
        <f t="shared" si="0"/>
        <v>2572.1919597953765</v>
      </c>
      <c r="H11" s="81"/>
      <c r="I11" s="44"/>
      <c r="J11" s="44"/>
      <c r="K11" s="319">
        <v>31</v>
      </c>
      <c r="L11" s="66" t="s">
        <v>275</v>
      </c>
      <c r="M11" s="40" t="s">
        <v>86</v>
      </c>
      <c r="N11" s="8">
        <v>14</v>
      </c>
      <c r="O11" s="35">
        <v>8.536585365853659</v>
      </c>
      <c r="P11" s="34">
        <f t="shared" si="1"/>
        <v>49.052826098345776</v>
      </c>
      <c r="Q11" s="30"/>
      <c r="R11" s="30"/>
      <c r="S11" s="36"/>
      <c r="T11" s="66" t="s">
        <v>294</v>
      </c>
      <c r="U11" s="40" t="s">
        <v>92</v>
      </c>
      <c r="V11" s="37">
        <v>2</v>
      </c>
      <c r="W11" s="37"/>
      <c r="AA11" s="9">
        <v>4</v>
      </c>
      <c r="AB11" s="15"/>
      <c r="AC11" s="17"/>
      <c r="AD11" s="16"/>
      <c r="AE11" s="18">
        <v>5</v>
      </c>
    </row>
    <row r="12" spans="1:31">
      <c r="A12" s="31">
        <v>8</v>
      </c>
      <c r="B12" s="66" t="s">
        <v>261</v>
      </c>
      <c r="C12" s="40" t="s">
        <v>95</v>
      </c>
      <c r="D12" s="325" t="s">
        <v>723</v>
      </c>
      <c r="E12" s="33">
        <v>26</v>
      </c>
      <c r="F12" s="34">
        <v>17.073170731707318</v>
      </c>
      <c r="G12" s="34">
        <f t="shared" si="0"/>
        <v>242.11187664507929</v>
      </c>
      <c r="H12" s="81"/>
      <c r="I12" s="44"/>
      <c r="J12" s="44"/>
      <c r="K12" s="319">
        <v>32</v>
      </c>
      <c r="L12" s="66" t="s">
        <v>275</v>
      </c>
      <c r="M12" s="40" t="s">
        <v>86</v>
      </c>
      <c r="N12" s="8">
        <v>12</v>
      </c>
      <c r="O12" s="35">
        <v>8.536585365853659</v>
      </c>
      <c r="P12" s="34">
        <f t="shared" si="1"/>
        <v>32.961598358796536</v>
      </c>
      <c r="Q12" s="30"/>
      <c r="R12" s="30"/>
      <c r="S12" s="36"/>
      <c r="T12" s="66" t="s">
        <v>242</v>
      </c>
      <c r="U12" s="33" t="s">
        <v>98</v>
      </c>
      <c r="V12" s="37">
        <v>1</v>
      </c>
      <c r="W12" s="37"/>
      <c r="AB12" s="1">
        <v>9</v>
      </c>
    </row>
    <row r="13" spans="1:31">
      <c r="A13" s="31">
        <v>9</v>
      </c>
      <c r="B13" s="66" t="s">
        <v>270</v>
      </c>
      <c r="C13" s="40" t="s">
        <v>96</v>
      </c>
      <c r="D13" s="43" t="s">
        <v>271</v>
      </c>
      <c r="E13" s="33">
        <v>54</v>
      </c>
      <c r="F13" s="34">
        <v>18.292682926829269</v>
      </c>
      <c r="G13" s="34">
        <f t="shared" si="0"/>
        <v>1594.5690714042569</v>
      </c>
      <c r="H13" s="81"/>
      <c r="I13" s="44"/>
      <c r="J13" s="44"/>
      <c r="K13" s="319">
        <v>33</v>
      </c>
      <c r="L13" s="66" t="s">
        <v>275</v>
      </c>
      <c r="M13" s="40" t="s">
        <v>86</v>
      </c>
      <c r="N13" s="8">
        <v>14</v>
      </c>
      <c r="O13" s="35">
        <v>9.1463414634146343</v>
      </c>
      <c r="P13" s="34">
        <f t="shared" si="1"/>
        <v>49.052826098345776</v>
      </c>
      <c r="Q13" s="30"/>
      <c r="R13" s="30"/>
      <c r="T13" s="24" t="s">
        <v>451</v>
      </c>
    </row>
    <row r="14" spans="1:31">
      <c r="A14" s="31">
        <v>10</v>
      </c>
      <c r="B14" s="66" t="s">
        <v>294</v>
      </c>
      <c r="C14" s="40" t="s">
        <v>92</v>
      </c>
      <c r="D14" s="325" t="s">
        <v>241</v>
      </c>
      <c r="E14" s="33">
        <v>37</v>
      </c>
      <c r="F14" s="34">
        <v>19.81707317073171</v>
      </c>
      <c r="G14" s="34">
        <f t="shared" si="0"/>
        <v>601.4396781402761</v>
      </c>
      <c r="H14" s="81"/>
      <c r="I14" s="44"/>
      <c r="J14" s="44"/>
      <c r="K14" s="319">
        <v>34</v>
      </c>
      <c r="L14" s="66" t="s">
        <v>275</v>
      </c>
      <c r="M14" s="40" t="s">
        <v>86</v>
      </c>
      <c r="N14" s="8">
        <v>12</v>
      </c>
      <c r="O14" s="35">
        <v>8.536585365853659</v>
      </c>
      <c r="P14" s="34">
        <f t="shared" si="1"/>
        <v>32.961598358796536</v>
      </c>
      <c r="Q14" s="30"/>
      <c r="R14" s="30"/>
      <c r="T14" s="24" t="s">
        <v>452</v>
      </c>
      <c r="AA14" s="338" t="s">
        <v>453</v>
      </c>
      <c r="AB14" s="338"/>
      <c r="AC14" s="338"/>
      <c r="AD14" s="338"/>
    </row>
    <row r="15" spans="1:31">
      <c r="A15" s="31">
        <v>11</v>
      </c>
      <c r="B15" s="66" t="s">
        <v>294</v>
      </c>
      <c r="C15" s="40" t="s">
        <v>92</v>
      </c>
      <c r="D15" s="325" t="s">
        <v>241</v>
      </c>
      <c r="E15" s="33">
        <v>28</v>
      </c>
      <c r="F15" s="34">
        <v>25.609756097560979</v>
      </c>
      <c r="G15" s="34">
        <f t="shared" si="0"/>
        <v>293.10308694040185</v>
      </c>
      <c r="H15" s="81"/>
      <c r="I15" s="43"/>
      <c r="J15" s="43"/>
      <c r="K15" s="319">
        <v>35</v>
      </c>
      <c r="L15" s="66" t="s">
        <v>275</v>
      </c>
      <c r="M15" s="40" t="s">
        <v>86</v>
      </c>
      <c r="N15" s="8">
        <v>13</v>
      </c>
      <c r="O15" s="35">
        <v>8.536585365853659</v>
      </c>
      <c r="P15" s="34">
        <f t="shared" si="1"/>
        <v>40.51909485289751</v>
      </c>
      <c r="Q15" s="30"/>
      <c r="R15" s="30"/>
      <c r="AA15" s="338" t="s">
        <v>454</v>
      </c>
      <c r="AB15" s="338"/>
      <c r="AC15" s="338"/>
      <c r="AD15" s="338"/>
    </row>
    <row r="16" spans="1:31">
      <c r="A16" s="31">
        <v>12</v>
      </c>
      <c r="B16" s="66" t="s">
        <v>264</v>
      </c>
      <c r="C16" s="33" t="s">
        <v>93</v>
      </c>
      <c r="D16" s="43" t="s">
        <v>719</v>
      </c>
      <c r="E16" s="33">
        <v>57</v>
      </c>
      <c r="F16" s="34">
        <v>35.060975609756099</v>
      </c>
      <c r="G16" s="34">
        <f t="shared" si="0"/>
        <v>1833.1629973562706</v>
      </c>
      <c r="H16" s="81"/>
      <c r="I16" s="44"/>
      <c r="J16" s="44"/>
      <c r="K16" s="319">
        <v>36</v>
      </c>
      <c r="L16" s="66" t="s">
        <v>275</v>
      </c>
      <c r="M16" s="40" t="s">
        <v>86</v>
      </c>
      <c r="N16" s="8">
        <v>19</v>
      </c>
      <c r="O16" s="35">
        <v>12.195121951219512</v>
      </c>
      <c r="P16" s="34">
        <f t="shared" si="1"/>
        <v>107.82149926957081</v>
      </c>
      <c r="Q16" s="30"/>
      <c r="R16" s="30"/>
      <c r="AA16" s="338" t="s">
        <v>455</v>
      </c>
      <c r="AB16" s="338"/>
      <c r="AC16" s="338"/>
      <c r="AD16" s="338"/>
    </row>
    <row r="17" spans="1:30">
      <c r="A17" s="31">
        <v>13</v>
      </c>
      <c r="B17" s="66" t="s">
        <v>230</v>
      </c>
      <c r="C17" s="40" t="s">
        <v>88</v>
      </c>
      <c r="D17" s="325" t="s">
        <v>241</v>
      </c>
      <c r="E17" s="33">
        <v>54</v>
      </c>
      <c r="F17" s="34">
        <v>34.451219512195124</v>
      </c>
      <c r="G17" s="34">
        <f t="shared" si="0"/>
        <v>1594.5690714042569</v>
      </c>
      <c r="H17" s="81"/>
      <c r="I17" s="44"/>
      <c r="J17" s="44"/>
      <c r="K17" s="319">
        <v>37</v>
      </c>
      <c r="L17" s="66" t="s">
        <v>275</v>
      </c>
      <c r="M17" s="40" t="s">
        <v>86</v>
      </c>
      <c r="N17" s="8">
        <v>12</v>
      </c>
      <c r="O17" s="35">
        <v>8.536585365853659</v>
      </c>
      <c r="P17" s="34">
        <f t="shared" si="1"/>
        <v>32.961598358796536</v>
      </c>
      <c r="Q17" s="30"/>
      <c r="R17" s="30"/>
      <c r="AA17" s="338" t="s">
        <v>456</v>
      </c>
      <c r="AB17" s="338"/>
      <c r="AC17" s="338"/>
      <c r="AD17" s="338"/>
    </row>
    <row r="18" spans="1:30">
      <c r="A18" s="31">
        <v>14</v>
      </c>
      <c r="B18" s="66" t="s">
        <v>294</v>
      </c>
      <c r="C18" s="40" t="s">
        <v>92</v>
      </c>
      <c r="D18" s="325" t="s">
        <v>241</v>
      </c>
      <c r="E18" s="33">
        <v>31</v>
      </c>
      <c r="F18" s="34">
        <v>18.292682926829269</v>
      </c>
      <c r="G18" s="34">
        <f t="shared" si="0"/>
        <v>381.08480982637832</v>
      </c>
      <c r="H18" s="81"/>
      <c r="I18" s="43"/>
      <c r="J18" s="43"/>
      <c r="K18" s="319">
        <v>38</v>
      </c>
      <c r="L18" s="66" t="s">
        <v>275</v>
      </c>
      <c r="M18" s="40" t="s">
        <v>86</v>
      </c>
      <c r="N18" s="8">
        <v>10</v>
      </c>
      <c r="O18" s="35">
        <v>8.536585365853659</v>
      </c>
      <c r="P18" s="34">
        <f t="shared" si="1"/>
        <v>20.596803684070956</v>
      </c>
      <c r="Q18" s="30"/>
      <c r="R18" s="30"/>
      <c r="AA18" s="338" t="s">
        <v>457</v>
      </c>
      <c r="AB18" s="338"/>
      <c r="AC18" s="338"/>
      <c r="AD18" s="338"/>
    </row>
    <row r="19" spans="1:30">
      <c r="A19" s="31">
        <v>15</v>
      </c>
      <c r="B19" s="66" t="s">
        <v>242</v>
      </c>
      <c r="C19" s="33" t="s">
        <v>98</v>
      </c>
      <c r="D19" s="325" t="s">
        <v>244</v>
      </c>
      <c r="E19" s="33">
        <v>39</v>
      </c>
      <c r="F19" s="34">
        <v>16.76829268292683</v>
      </c>
      <c r="G19" s="34">
        <f t="shared" si="0"/>
        <v>688.89883626078586</v>
      </c>
      <c r="H19" s="81"/>
      <c r="I19" s="43"/>
      <c r="J19" s="43"/>
      <c r="K19" s="319">
        <v>39</v>
      </c>
      <c r="L19" s="66" t="s">
        <v>275</v>
      </c>
      <c r="M19" s="40" t="s">
        <v>86</v>
      </c>
      <c r="N19" s="8">
        <v>11.5</v>
      </c>
      <c r="O19" s="35">
        <v>9.7560975609756095</v>
      </c>
      <c r="P19" s="34">
        <f t="shared" si="1"/>
        <v>29.535175775586723</v>
      </c>
      <c r="Q19" s="30"/>
      <c r="R19" s="30"/>
      <c r="AA19" s="338" t="s">
        <v>458</v>
      </c>
      <c r="AB19" s="338"/>
      <c r="AC19" s="338"/>
      <c r="AD19" s="338"/>
    </row>
    <row r="20" spans="1:30">
      <c r="A20" s="31">
        <v>16</v>
      </c>
      <c r="B20" s="66" t="s">
        <v>242</v>
      </c>
      <c r="C20" s="33" t="s">
        <v>98</v>
      </c>
      <c r="D20" s="325" t="s">
        <v>244</v>
      </c>
      <c r="E20" s="33">
        <v>28</v>
      </c>
      <c r="F20" s="34">
        <v>17.682926829268293</v>
      </c>
      <c r="G20" s="34">
        <f t="shared" si="0"/>
        <v>293.10308694040185</v>
      </c>
      <c r="H20" s="81"/>
      <c r="I20" s="44"/>
      <c r="J20" s="44"/>
      <c r="K20" s="24" t="s">
        <v>459</v>
      </c>
      <c r="P20" s="34"/>
      <c r="AA20" s="338" t="s">
        <v>460</v>
      </c>
      <c r="AB20" s="338"/>
      <c r="AC20" s="338"/>
      <c r="AD20" s="338"/>
    </row>
    <row r="21" spans="1:30">
      <c r="A21" s="31">
        <v>17</v>
      </c>
      <c r="B21" s="66" t="s">
        <v>261</v>
      </c>
      <c r="C21" s="40" t="s">
        <v>95</v>
      </c>
      <c r="D21" s="325" t="s">
        <v>723</v>
      </c>
      <c r="E21" s="33">
        <v>23</v>
      </c>
      <c r="F21" s="34">
        <v>17.073170731707318</v>
      </c>
      <c r="G21" s="34">
        <f t="shared" si="0"/>
        <v>176.48017212699972</v>
      </c>
      <c r="H21" s="81"/>
      <c r="I21" s="44"/>
      <c r="J21" s="44"/>
      <c r="K21" s="341"/>
      <c r="L21" s="341"/>
      <c r="M21" s="341"/>
      <c r="N21" s="341"/>
      <c r="O21" s="341"/>
      <c r="P21" s="341"/>
      <c r="Q21" s="288"/>
      <c r="R21" s="288"/>
      <c r="AA21" s="338" t="s">
        <v>461</v>
      </c>
      <c r="AB21" s="338"/>
      <c r="AC21" s="338"/>
      <c r="AD21" s="338"/>
    </row>
    <row r="22" spans="1:30">
      <c r="A22" s="31">
        <v>18</v>
      </c>
      <c r="B22" s="66" t="s">
        <v>275</v>
      </c>
      <c r="C22" s="40" t="s">
        <v>86</v>
      </c>
      <c r="D22" s="325" t="s">
        <v>241</v>
      </c>
      <c r="E22" s="33">
        <v>21</v>
      </c>
      <c r="F22" s="34">
        <v>12.195121951219512</v>
      </c>
      <c r="G22" s="34">
        <f t="shared" si="0"/>
        <v>139.57363547262395</v>
      </c>
      <c r="H22" s="81"/>
      <c r="I22" s="44"/>
      <c r="J22" s="44"/>
      <c r="AA22" s="338" t="s">
        <v>462</v>
      </c>
      <c r="AB22" s="338"/>
      <c r="AC22" s="338"/>
      <c r="AD22" s="338"/>
    </row>
    <row r="23" spans="1:30">
      <c r="A23" s="31">
        <v>19</v>
      </c>
      <c r="B23" s="66" t="s">
        <v>236</v>
      </c>
      <c r="C23" s="40" t="s">
        <v>90</v>
      </c>
      <c r="D23" s="43" t="s">
        <v>238</v>
      </c>
      <c r="E23" s="33">
        <v>55</v>
      </c>
      <c r="F23" s="34">
        <v>29.878048780487806</v>
      </c>
      <c r="G23" s="34">
        <f t="shared" si="0"/>
        <v>1671.8419015293216</v>
      </c>
      <c r="H23" s="81"/>
      <c r="I23" s="44"/>
      <c r="J23" s="44"/>
      <c r="L23" s="338"/>
      <c r="M23" s="338"/>
      <c r="O23" s="338"/>
      <c r="P23" s="338"/>
      <c r="Q23" s="286"/>
      <c r="R23" s="286"/>
    </row>
    <row r="24" spans="1:30">
      <c r="A24" s="31">
        <v>20</v>
      </c>
      <c r="B24" s="66" t="s">
        <v>236</v>
      </c>
      <c r="C24" s="40" t="s">
        <v>90</v>
      </c>
      <c r="D24" s="43" t="s">
        <v>238</v>
      </c>
      <c r="E24" s="33">
        <v>59</v>
      </c>
      <c r="F24" s="34">
        <v>42.682926829268297</v>
      </c>
      <c r="G24" s="34">
        <f t="shared" si="0"/>
        <v>2003.6744838262262</v>
      </c>
      <c r="H24" s="81"/>
      <c r="I24" s="43"/>
      <c r="J24" s="43"/>
      <c r="L24" s="338"/>
      <c r="M24" s="338"/>
      <c r="O24" s="338"/>
      <c r="P24" s="338"/>
      <c r="Q24" s="338"/>
      <c r="R24" s="338"/>
      <c r="S24" s="338"/>
    </row>
    <row r="25" spans="1:30">
      <c r="A25" s="31">
        <v>21</v>
      </c>
      <c r="B25" s="66" t="s">
        <v>242</v>
      </c>
      <c r="C25" s="33" t="s">
        <v>98</v>
      </c>
      <c r="D25" s="325" t="s">
        <v>244</v>
      </c>
      <c r="E25" s="33">
        <v>42</v>
      </c>
      <c r="F25" s="34">
        <v>17.073170731707318</v>
      </c>
      <c r="G25" s="34">
        <f t="shared" si="0"/>
        <v>833.98789970839402</v>
      </c>
      <c r="H25" s="81"/>
      <c r="I25" s="43"/>
      <c r="J25" s="43"/>
    </row>
    <row r="26" spans="1:30">
      <c r="A26" s="31">
        <v>22</v>
      </c>
      <c r="B26" s="66" t="s">
        <v>264</v>
      </c>
      <c r="C26" s="33" t="s">
        <v>93</v>
      </c>
      <c r="D26" s="43" t="s">
        <v>719</v>
      </c>
      <c r="E26" s="33">
        <v>47</v>
      </c>
      <c r="F26" s="34">
        <v>24.390243902439025</v>
      </c>
      <c r="G26" s="34">
        <f t="shared" si="0"/>
        <v>1114.654324289058</v>
      </c>
      <c r="H26" s="81"/>
      <c r="I26" s="44"/>
      <c r="J26" s="44"/>
      <c r="L26" s="20"/>
      <c r="M26" s="20"/>
      <c r="N26" s="20"/>
      <c r="O26" s="20"/>
      <c r="P26" s="20"/>
      <c r="Q26" s="20"/>
      <c r="R26" s="20"/>
      <c r="T26" s="22"/>
      <c r="U26" s="22"/>
    </row>
    <row r="27" spans="1:30">
      <c r="A27" s="31">
        <v>23</v>
      </c>
      <c r="B27" s="66" t="s">
        <v>273</v>
      </c>
      <c r="C27" s="40" t="s">
        <v>101</v>
      </c>
      <c r="D27" s="326" t="s">
        <v>267</v>
      </c>
      <c r="E27" s="33">
        <v>24</v>
      </c>
      <c r="F27" s="34">
        <v>14.329268292682928</v>
      </c>
      <c r="G27" s="34">
        <f t="shared" si="0"/>
        <v>196.95391678520957</v>
      </c>
      <c r="H27" s="81"/>
      <c r="I27" s="43"/>
      <c r="J27" s="43"/>
      <c r="L27" s="20"/>
      <c r="M27" s="20"/>
      <c r="N27" s="20"/>
      <c r="O27" s="20"/>
      <c r="P27" s="21"/>
      <c r="Q27" s="21"/>
      <c r="R27" s="21"/>
      <c r="T27" s="290"/>
      <c r="U27" s="290"/>
      <c r="V27" s="290"/>
    </row>
    <row r="28" spans="1:30">
      <c r="A28" s="31">
        <v>24</v>
      </c>
      <c r="B28" s="66" t="s">
        <v>264</v>
      </c>
      <c r="C28" s="33" t="s">
        <v>93</v>
      </c>
      <c r="D28" s="43" t="s">
        <v>719</v>
      </c>
      <c r="E28" s="33">
        <v>58</v>
      </c>
      <c r="F28" s="34">
        <v>16.463414634146343</v>
      </c>
      <c r="G28" s="34">
        <f t="shared" si="0"/>
        <v>1917.2582931058187</v>
      </c>
      <c r="H28" s="81"/>
      <c r="T28" s="290"/>
      <c r="U28" s="290"/>
      <c r="V28" s="290"/>
    </row>
    <row r="29" spans="1:30">
      <c r="A29" s="340" t="s">
        <v>463</v>
      </c>
      <c r="B29" s="340"/>
      <c r="C29" s="340"/>
      <c r="D29" s="340"/>
      <c r="E29" s="340"/>
      <c r="F29" s="340"/>
      <c r="G29" s="34"/>
      <c r="H29" s="81"/>
      <c r="T29" s="290"/>
      <c r="U29" s="290"/>
      <c r="V29" s="290"/>
    </row>
    <row r="30" spans="1:30">
      <c r="A30" s="23"/>
      <c r="B30" s="339"/>
      <c r="C30" s="339"/>
      <c r="D30" s="339"/>
      <c r="E30" s="339"/>
      <c r="F30" s="339"/>
      <c r="G30" s="339"/>
      <c r="H30" s="287"/>
      <c r="T30" s="290"/>
      <c r="U30" s="290"/>
      <c r="V30" s="290"/>
    </row>
    <row r="31" spans="1:30">
      <c r="C31" s="1" t="s">
        <v>781</v>
      </c>
      <c r="D31" s="1">
        <f>COUNTIF(D4:D28,D11)</f>
        <v>2</v>
      </c>
      <c r="E31" s="329">
        <v>8.3299999999999999E-2</v>
      </c>
    </row>
    <row r="32" spans="1:30">
      <c r="B32" s="36"/>
      <c r="K32" s="36"/>
    </row>
    <row r="33" spans="2:18">
      <c r="B33" s="43"/>
      <c r="K33" s="43"/>
    </row>
    <row r="34" spans="2:18">
      <c r="B34" s="43"/>
      <c r="K34" s="43"/>
      <c r="L34" s="9"/>
      <c r="M34" s="9"/>
      <c r="N34" s="9"/>
      <c r="O34" s="9"/>
      <c r="P34" s="9"/>
      <c r="Q34" s="9"/>
      <c r="R34" s="9"/>
    </row>
    <row r="35" spans="2:18">
      <c r="B35" s="43"/>
      <c r="K35" s="36"/>
      <c r="L35" s="9"/>
      <c r="M35" s="9"/>
      <c r="N35" s="9"/>
      <c r="O35" s="9"/>
      <c r="P35" s="9"/>
      <c r="Q35" s="9"/>
      <c r="R35" s="9"/>
    </row>
    <row r="36" spans="2:18">
      <c r="B36" s="43"/>
      <c r="L36" s="9"/>
      <c r="M36" s="9"/>
      <c r="N36" s="9"/>
      <c r="O36" s="9"/>
      <c r="P36" s="9"/>
      <c r="Q36" s="9"/>
      <c r="R36" s="9"/>
    </row>
    <row r="37" spans="2:18">
      <c r="B37" s="43"/>
      <c r="G37" s="9"/>
      <c r="H37" s="9"/>
      <c r="I37" s="9"/>
      <c r="J37" s="9"/>
      <c r="L37" s="9"/>
      <c r="M37" s="9"/>
      <c r="N37" s="9"/>
      <c r="O37" s="9"/>
      <c r="P37" s="9"/>
      <c r="Q37" s="9"/>
      <c r="R37" s="9"/>
    </row>
    <row r="38" spans="2:18">
      <c r="B38" s="43"/>
      <c r="G38" s="9"/>
      <c r="H38" s="9"/>
      <c r="I38" s="9"/>
      <c r="J38" s="9"/>
      <c r="L38" s="9"/>
      <c r="M38" s="9"/>
      <c r="N38" s="9"/>
      <c r="O38" s="9"/>
      <c r="P38" s="25"/>
      <c r="Q38" s="25"/>
      <c r="R38" s="25"/>
    </row>
    <row r="39" spans="2:18">
      <c r="B39" s="43"/>
      <c r="G39" s="9"/>
      <c r="H39" s="9"/>
      <c r="I39" s="9"/>
      <c r="J39" s="9"/>
      <c r="L39" s="9"/>
      <c r="M39" s="9"/>
      <c r="N39" s="9"/>
      <c r="O39" s="9"/>
      <c r="P39" s="9"/>
      <c r="Q39" s="9"/>
      <c r="R39" s="9"/>
    </row>
    <row r="40" spans="2:18">
      <c r="B40" s="43"/>
      <c r="G40" s="9"/>
      <c r="H40" s="9"/>
      <c r="I40" s="9"/>
      <c r="J40" s="9"/>
      <c r="L40" s="9"/>
      <c r="M40" s="9"/>
      <c r="N40" s="9"/>
      <c r="O40" s="9"/>
      <c r="P40" s="9"/>
      <c r="Q40" s="9"/>
      <c r="R40" s="9"/>
    </row>
    <row r="41" spans="2:18">
      <c r="B41" s="43"/>
      <c r="G41" s="9"/>
      <c r="H41" s="9"/>
      <c r="I41" s="9"/>
      <c r="J41" s="9"/>
      <c r="L41" s="9"/>
      <c r="M41" s="9"/>
      <c r="N41" s="9"/>
      <c r="O41" s="9"/>
      <c r="P41" s="9"/>
      <c r="Q41" s="9"/>
      <c r="R41" s="9"/>
    </row>
    <row r="42" spans="2:18">
      <c r="B42" s="43"/>
      <c r="G42" s="9"/>
      <c r="H42" s="9"/>
      <c r="I42" s="9"/>
      <c r="J42" s="9"/>
      <c r="L42" s="9"/>
      <c r="M42" s="9"/>
      <c r="N42" s="9"/>
      <c r="O42" s="9"/>
      <c r="P42" s="25"/>
      <c r="Q42" s="25"/>
      <c r="R42" s="25"/>
    </row>
    <row r="43" spans="2:18">
      <c r="G43" s="9"/>
      <c r="H43" s="9"/>
      <c r="I43" s="9"/>
      <c r="J43" s="9"/>
    </row>
  </sheetData>
  <mergeCells count="25">
    <mergeCell ref="AA22:AD22"/>
    <mergeCell ref="AA16:AD16"/>
    <mergeCell ref="AA17:AD17"/>
    <mergeCell ref="AA18:AD18"/>
    <mergeCell ref="AA19:AD19"/>
    <mergeCell ref="AA20:AD20"/>
    <mergeCell ref="AA1:AC1"/>
    <mergeCell ref="AA14:AD14"/>
    <mergeCell ref="AA15:AD15"/>
    <mergeCell ref="K21:P21"/>
    <mergeCell ref="X1:Y1"/>
    <mergeCell ref="U2:V2"/>
    <mergeCell ref="X2:Z2"/>
    <mergeCell ref="K1:O1"/>
    <mergeCell ref="AA21:AD21"/>
    <mergeCell ref="L23:M23"/>
    <mergeCell ref="O23:P23"/>
    <mergeCell ref="L24:M24"/>
    <mergeCell ref="O24:S24"/>
    <mergeCell ref="N2:P2"/>
    <mergeCell ref="E2:G2"/>
    <mergeCell ref="E1:G1"/>
    <mergeCell ref="A1:C1"/>
    <mergeCell ref="B30:G30"/>
    <mergeCell ref="A29:F29"/>
  </mergeCells>
  <pageMargins left="0.7" right="0.7" top="0.75" bottom="0.75" header="0.3" footer="0.3"/>
  <pageSetup paperSize="9"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M51"/>
  <sheetViews>
    <sheetView zoomScale="85" zoomScaleNormal="85" workbookViewId="0">
      <selection activeCell="Q5" sqref="Q5"/>
    </sheetView>
  </sheetViews>
  <sheetFormatPr defaultRowHeight="15"/>
  <cols>
    <col min="1" max="1" width="8.85546875" style="1" customWidth="1"/>
    <col min="2" max="2" width="12.85546875" style="1" customWidth="1"/>
    <col min="3" max="3" width="22.140625" style="1" bestFit="1" customWidth="1"/>
    <col min="4" max="4" width="15.5703125" style="1" customWidth="1"/>
    <col min="5" max="5" width="9.5703125" style="1" customWidth="1"/>
    <col min="6" max="6" width="13.28515625" style="1" customWidth="1"/>
    <col min="7" max="7" width="12.28515625" style="1" bestFit="1" customWidth="1"/>
    <col min="8" max="8" width="13.5703125" style="1" bestFit="1" customWidth="1"/>
    <col min="9" max="10" width="11.28515625" style="1" customWidth="1"/>
    <col min="11" max="11" width="12.5703125" style="1" customWidth="1"/>
    <col min="12" max="12" width="12.7109375" style="1" customWidth="1"/>
    <col min="13" max="13" width="13.5703125" style="1" customWidth="1"/>
    <col min="14" max="15" width="9.140625" style="1"/>
    <col min="16" max="16" width="12.28515625" style="1" bestFit="1" customWidth="1"/>
    <col min="17" max="17" width="13.5703125" style="1" bestFit="1" customWidth="1"/>
    <col min="18" max="18" width="9.140625" style="1"/>
    <col min="19" max="19" width="11.42578125" style="1" customWidth="1"/>
    <col min="20" max="20" width="13.85546875" style="1" customWidth="1"/>
    <col min="21" max="21" width="12.28515625" style="1" customWidth="1"/>
    <col min="22" max="16384" width="9.140625" style="1"/>
  </cols>
  <sheetData>
    <row r="1" spans="1:39">
      <c r="A1" s="338" t="s">
        <v>464</v>
      </c>
      <c r="B1" s="338"/>
      <c r="C1" s="338"/>
      <c r="D1" s="324"/>
      <c r="E1" s="338" t="s">
        <v>435</v>
      </c>
      <c r="F1" s="338"/>
      <c r="G1" s="338"/>
      <c r="I1" s="2"/>
      <c r="J1" s="2"/>
      <c r="K1" s="338" t="s">
        <v>465</v>
      </c>
      <c r="L1" s="338"/>
      <c r="M1" s="338"/>
      <c r="N1" s="338"/>
      <c r="O1" s="338"/>
      <c r="T1" s="2" t="s">
        <v>466</v>
      </c>
      <c r="AC1" s="338" t="s">
        <v>438</v>
      </c>
      <c r="AD1" s="338"/>
      <c r="AE1" s="338"/>
    </row>
    <row r="2" spans="1:39">
      <c r="A2" s="2" t="s">
        <v>439</v>
      </c>
      <c r="B2" s="2"/>
      <c r="E2" s="338" t="s">
        <v>440</v>
      </c>
      <c r="F2" s="338"/>
      <c r="G2" s="338"/>
      <c r="I2" s="338"/>
      <c r="J2" s="338"/>
      <c r="K2" s="338"/>
      <c r="M2" s="338"/>
      <c r="N2" s="338"/>
      <c r="O2" s="338"/>
    </row>
    <row r="4" spans="1:39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445</v>
      </c>
      <c r="H4" s="72" t="s">
        <v>4</v>
      </c>
      <c r="I4" s="1" t="s">
        <v>765</v>
      </c>
      <c r="K4" s="3" t="s">
        <v>441</v>
      </c>
      <c r="L4" s="3" t="s">
        <v>442</v>
      </c>
      <c r="M4" s="26" t="s">
        <v>224</v>
      </c>
      <c r="N4" s="3" t="s">
        <v>443</v>
      </c>
      <c r="O4" s="3" t="s">
        <v>444</v>
      </c>
      <c r="P4" s="26" t="s">
        <v>445</v>
      </c>
      <c r="Q4" s="72" t="s">
        <v>4</v>
      </c>
      <c r="S4" s="3" t="s">
        <v>441</v>
      </c>
      <c r="T4" s="3" t="s">
        <v>442</v>
      </c>
      <c r="U4" s="26" t="s">
        <v>224</v>
      </c>
      <c r="V4" s="3" t="s">
        <v>443</v>
      </c>
      <c r="W4" s="3" t="s">
        <v>444</v>
      </c>
      <c r="X4" s="26" t="s">
        <v>448</v>
      </c>
      <c r="AB4" s="1">
        <v>2</v>
      </c>
      <c r="AC4" s="1">
        <v>8</v>
      </c>
      <c r="AE4" s="1">
        <v>3</v>
      </c>
    </row>
    <row r="5" spans="1:39">
      <c r="A5" s="33">
        <v>1</v>
      </c>
      <c r="B5" s="66" t="s">
        <v>230</v>
      </c>
      <c r="C5" s="219" t="s">
        <v>88</v>
      </c>
      <c r="D5" s="43" t="s">
        <v>232</v>
      </c>
      <c r="E5" s="66">
        <v>55</v>
      </c>
      <c r="F5" s="220">
        <v>27.439024390243905</v>
      </c>
      <c r="G5" s="221">
        <f>0.0543*E5^2.579</f>
        <v>1671.8419015293216</v>
      </c>
      <c r="H5" s="212">
        <f>SUM(G5:G37)/1000/0.25</f>
        <v>189.55585952123243</v>
      </c>
      <c r="I5" s="83">
        <f>AVERAGE(F5:F37)</f>
        <v>26.274944567627493</v>
      </c>
      <c r="J5" s="212"/>
      <c r="K5" s="6">
        <v>34</v>
      </c>
      <c r="L5" s="67" t="s">
        <v>341</v>
      </c>
      <c r="M5" s="4" t="s">
        <v>325</v>
      </c>
      <c r="N5" s="6">
        <v>13</v>
      </c>
      <c r="O5" s="5">
        <v>10.060975609756099</v>
      </c>
      <c r="P5" s="33">
        <f>0.0543*N5^2.579</f>
        <v>40.51909485289751</v>
      </c>
      <c r="Q5" s="212">
        <f>P5/1000/0.0625</f>
        <v>0.64830551764636013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AB5" s="9"/>
      <c r="AC5" s="10"/>
      <c r="AD5" s="10"/>
      <c r="AE5" s="11"/>
    </row>
    <row r="6" spans="1:39">
      <c r="A6" s="33">
        <v>2</v>
      </c>
      <c r="B6" s="66" t="s">
        <v>230</v>
      </c>
      <c r="C6" s="40" t="s">
        <v>88</v>
      </c>
      <c r="D6" s="43" t="s">
        <v>232</v>
      </c>
      <c r="E6" s="33">
        <v>54.5</v>
      </c>
      <c r="F6" s="34">
        <v>32.012195121951223</v>
      </c>
      <c r="G6" s="218">
        <f>0.0543*E6^2.579</f>
        <v>1632.9256423719487</v>
      </c>
      <c r="I6" s="85"/>
      <c r="J6" s="85"/>
      <c r="K6" s="24" t="s">
        <v>459</v>
      </c>
      <c r="L6" s="28"/>
      <c r="M6" s="28"/>
      <c r="N6" s="28"/>
      <c r="O6" s="28"/>
      <c r="S6" s="24" t="s">
        <v>449</v>
      </c>
      <c r="AB6" s="9"/>
      <c r="AC6" s="12"/>
      <c r="AD6" s="12"/>
      <c r="AE6" s="13"/>
      <c r="AM6" s="18"/>
    </row>
    <row r="7" spans="1:39">
      <c r="A7" s="33">
        <v>3</v>
      </c>
      <c r="B7" s="66" t="s">
        <v>250</v>
      </c>
      <c r="C7" s="40" t="s">
        <v>94</v>
      </c>
      <c r="D7" s="43" t="s">
        <v>241</v>
      </c>
      <c r="E7" s="33">
        <v>22</v>
      </c>
      <c r="F7" s="34">
        <v>14.634146341463415</v>
      </c>
      <c r="G7" s="218">
        <f>0.0543*E7^2.579</f>
        <v>157.36491932170634</v>
      </c>
      <c r="I7" s="85"/>
      <c r="J7" s="85"/>
      <c r="K7" s="9"/>
      <c r="L7" s="9"/>
      <c r="M7" s="9"/>
      <c r="N7" s="20"/>
      <c r="O7" s="21"/>
      <c r="AB7" s="9"/>
      <c r="AC7" s="12"/>
      <c r="AD7" s="12"/>
      <c r="AE7" s="14"/>
      <c r="AI7" s="9"/>
      <c r="AJ7" s="9"/>
      <c r="AK7" s="9"/>
      <c r="AL7" s="9"/>
      <c r="AM7" s="18"/>
    </row>
    <row r="8" spans="1:39">
      <c r="A8" s="33">
        <v>4</v>
      </c>
      <c r="B8" s="66" t="s">
        <v>230</v>
      </c>
      <c r="C8" s="40" t="s">
        <v>88</v>
      </c>
      <c r="D8" s="43" t="s">
        <v>232</v>
      </c>
      <c r="E8" s="33">
        <v>31.5</v>
      </c>
      <c r="F8" s="34">
        <v>16.76829268292683</v>
      </c>
      <c r="G8" s="218">
        <f t="shared" ref="G8:G37" si="0">0.0543*E8^2.579</f>
        <v>397.13919193948004</v>
      </c>
      <c r="I8" s="85"/>
      <c r="J8" s="85"/>
      <c r="S8" s="27" t="s">
        <v>442</v>
      </c>
      <c r="T8" s="3" t="s">
        <v>224</v>
      </c>
      <c r="U8" s="27" t="s">
        <v>450</v>
      </c>
      <c r="V8" s="27" t="s">
        <v>448</v>
      </c>
      <c r="AB8" s="9">
        <v>6</v>
      </c>
      <c r="AC8" s="12"/>
      <c r="AD8" s="15"/>
      <c r="AE8" s="16"/>
      <c r="AF8" s="18">
        <v>7</v>
      </c>
      <c r="AI8" s="9"/>
      <c r="AJ8" s="9"/>
      <c r="AK8" s="9"/>
      <c r="AL8" s="9"/>
      <c r="AM8" s="18"/>
    </row>
    <row r="9" spans="1:39">
      <c r="A9" s="33">
        <v>5</v>
      </c>
      <c r="B9" s="66" t="s">
        <v>278</v>
      </c>
      <c r="C9" s="33" t="s">
        <v>156</v>
      </c>
      <c r="D9" s="96" t="s">
        <v>255</v>
      </c>
      <c r="E9" s="33">
        <v>60</v>
      </c>
      <c r="F9" s="34">
        <v>33.536585365853661</v>
      </c>
      <c r="G9" s="218">
        <f t="shared" si="0"/>
        <v>2092.4346555199027</v>
      </c>
      <c r="I9" s="85"/>
      <c r="J9" s="2"/>
      <c r="K9" s="2"/>
      <c r="M9" s="338"/>
      <c r="N9" s="338"/>
      <c r="S9" s="4" t="s">
        <v>357</v>
      </c>
      <c r="T9" s="4"/>
      <c r="U9" s="4" t="s">
        <v>358</v>
      </c>
      <c r="V9" s="4" t="s">
        <v>359</v>
      </c>
      <c r="AB9" s="9"/>
      <c r="AC9" s="12">
        <v>1</v>
      </c>
      <c r="AD9" s="9"/>
      <c r="AE9" s="14"/>
      <c r="AI9" s="9"/>
      <c r="AJ9" s="9"/>
      <c r="AK9" s="9"/>
      <c r="AL9" s="9"/>
      <c r="AM9" s="18"/>
    </row>
    <row r="10" spans="1:39">
      <c r="A10" s="33">
        <v>6</v>
      </c>
      <c r="B10" s="66" t="s">
        <v>245</v>
      </c>
      <c r="C10" s="40" t="s">
        <v>118</v>
      </c>
      <c r="D10" s="325" t="s">
        <v>241</v>
      </c>
      <c r="E10" s="33">
        <v>88.5</v>
      </c>
      <c r="F10" s="34">
        <v>33.536585365853661</v>
      </c>
      <c r="G10" s="218">
        <f t="shared" si="0"/>
        <v>5701.2032589247692</v>
      </c>
      <c r="I10" s="85"/>
      <c r="J10" s="286"/>
      <c r="K10" s="286"/>
      <c r="L10" s="293" t="s">
        <v>128</v>
      </c>
      <c r="M10" s="338"/>
      <c r="N10" s="338"/>
      <c r="O10" s="338"/>
      <c r="S10" s="24" t="s">
        <v>451</v>
      </c>
      <c r="AB10" s="9"/>
      <c r="AC10" s="12"/>
      <c r="AD10" s="9"/>
      <c r="AE10" s="14"/>
      <c r="AI10" s="9"/>
      <c r="AJ10" s="9"/>
      <c r="AK10" s="9"/>
      <c r="AL10" s="9"/>
      <c r="AM10" s="18"/>
    </row>
    <row r="11" spans="1:39">
      <c r="A11" s="33">
        <v>7</v>
      </c>
      <c r="B11" s="66" t="s">
        <v>229</v>
      </c>
      <c r="C11" s="33" t="s">
        <v>160</v>
      </c>
      <c r="D11" s="96" t="s">
        <v>720</v>
      </c>
      <c r="E11" s="33">
        <v>35</v>
      </c>
      <c r="F11" s="34">
        <v>30.487804878048781</v>
      </c>
      <c r="G11" s="218">
        <f t="shared" si="0"/>
        <v>521.13628890815676</v>
      </c>
      <c r="I11" s="85"/>
      <c r="K11" s="292" t="s">
        <v>341</v>
      </c>
      <c r="L11" s="1">
        <v>1</v>
      </c>
      <c r="S11" s="24" t="s">
        <v>452</v>
      </c>
      <c r="AB11" s="9"/>
      <c r="AC11" s="12"/>
      <c r="AD11" s="9"/>
      <c r="AE11" s="14"/>
      <c r="AI11" s="9"/>
      <c r="AJ11" s="9"/>
      <c r="AK11" s="9"/>
      <c r="AL11" s="9"/>
      <c r="AM11" s="18"/>
    </row>
    <row r="12" spans="1:39">
      <c r="A12" s="33">
        <v>8</v>
      </c>
      <c r="B12" s="66" t="s">
        <v>270</v>
      </c>
      <c r="C12" s="40" t="s">
        <v>96</v>
      </c>
      <c r="D12" s="43" t="s">
        <v>271</v>
      </c>
      <c r="E12" s="33">
        <v>30.5</v>
      </c>
      <c r="F12" s="34">
        <v>17.987804878048781</v>
      </c>
      <c r="G12" s="218">
        <f t="shared" si="0"/>
        <v>365.4341376472259</v>
      </c>
      <c r="I12" s="85"/>
      <c r="J12" s="29"/>
      <c r="K12" s="29"/>
      <c r="L12" s="29"/>
      <c r="M12" s="30"/>
      <c r="AB12" s="9">
        <v>4</v>
      </c>
      <c r="AC12" s="15"/>
      <c r="AD12" s="17"/>
      <c r="AE12" s="16"/>
      <c r="AF12" s="18">
        <v>5</v>
      </c>
      <c r="AI12" s="9"/>
      <c r="AJ12" s="9"/>
      <c r="AK12" s="9"/>
      <c r="AL12" s="9"/>
      <c r="AM12" s="18"/>
    </row>
    <row r="13" spans="1:39">
      <c r="A13" s="33">
        <v>9</v>
      </c>
      <c r="B13" s="66" t="s">
        <v>242</v>
      </c>
      <c r="C13" s="33" t="s">
        <v>98</v>
      </c>
      <c r="D13" s="325" t="s">
        <v>244</v>
      </c>
      <c r="E13" s="33">
        <v>33</v>
      </c>
      <c r="F13" s="34">
        <v>30.487804878048781</v>
      </c>
      <c r="G13" s="218">
        <f t="shared" si="0"/>
        <v>447.76204823655206</v>
      </c>
      <c r="I13" s="85"/>
      <c r="J13" s="30"/>
      <c r="K13" s="30"/>
      <c r="L13" s="30"/>
      <c r="M13" s="30"/>
      <c r="AC13" s="1">
        <v>9</v>
      </c>
      <c r="AI13" s="9"/>
      <c r="AJ13" s="9"/>
      <c r="AK13" s="9"/>
      <c r="AL13" s="9"/>
      <c r="AM13" s="18"/>
    </row>
    <row r="14" spans="1:39">
      <c r="A14" s="33">
        <v>10</v>
      </c>
      <c r="B14" s="66" t="s">
        <v>265</v>
      </c>
      <c r="C14" s="33" t="s">
        <v>137</v>
      </c>
      <c r="D14" s="325" t="s">
        <v>267</v>
      </c>
      <c r="E14" s="33">
        <v>54</v>
      </c>
      <c r="F14" s="34">
        <v>32.012195121951223</v>
      </c>
      <c r="G14" s="218">
        <f t="shared" si="0"/>
        <v>1594.5690714042569</v>
      </c>
      <c r="I14" s="85"/>
      <c r="AI14" s="9"/>
      <c r="AJ14" s="9"/>
      <c r="AK14" s="9"/>
      <c r="AL14" s="9"/>
      <c r="AM14" s="18"/>
    </row>
    <row r="15" spans="1:39">
      <c r="A15" s="33">
        <v>11</v>
      </c>
      <c r="B15" s="66" t="s">
        <v>230</v>
      </c>
      <c r="C15" s="40" t="s">
        <v>88</v>
      </c>
      <c r="D15" s="43" t="s">
        <v>232</v>
      </c>
      <c r="E15" s="33">
        <v>31</v>
      </c>
      <c r="F15" s="34">
        <v>28.963414634146343</v>
      </c>
      <c r="G15" s="218">
        <f t="shared" si="0"/>
        <v>381.08480982637832</v>
      </c>
      <c r="I15" s="85"/>
      <c r="AB15" s="338" t="s">
        <v>467</v>
      </c>
      <c r="AC15" s="338"/>
      <c r="AD15" s="338"/>
      <c r="AE15" s="338"/>
      <c r="AJ15" s="9"/>
      <c r="AK15" s="9"/>
      <c r="AL15" s="9"/>
    </row>
    <row r="16" spans="1:39">
      <c r="A16" s="33">
        <v>12</v>
      </c>
      <c r="B16" s="66" t="s">
        <v>300</v>
      </c>
      <c r="C16" s="33" t="s">
        <v>161</v>
      </c>
      <c r="D16" s="325" t="s">
        <v>241</v>
      </c>
      <c r="E16" s="33">
        <v>48</v>
      </c>
      <c r="F16" s="34">
        <v>36.585365853658537</v>
      </c>
      <c r="G16" s="218">
        <f t="shared" si="0"/>
        <v>1176.8496452989223</v>
      </c>
      <c r="I16" s="85"/>
      <c r="AB16" s="338" t="s">
        <v>468</v>
      </c>
      <c r="AC16" s="338"/>
      <c r="AD16" s="338"/>
      <c r="AE16" s="338"/>
    </row>
    <row r="17" spans="1:31">
      <c r="A17" s="33">
        <v>13</v>
      </c>
      <c r="B17" s="66" t="s">
        <v>245</v>
      </c>
      <c r="C17" s="40" t="s">
        <v>118</v>
      </c>
      <c r="D17" s="325" t="s">
        <v>241</v>
      </c>
      <c r="E17" s="33">
        <v>90</v>
      </c>
      <c r="F17" s="34">
        <v>36.585365853658537</v>
      </c>
      <c r="G17" s="218">
        <f t="shared" si="0"/>
        <v>5953.7591427310153</v>
      </c>
      <c r="I17" s="85"/>
      <c r="AB17" s="338" t="s">
        <v>469</v>
      </c>
      <c r="AC17" s="338"/>
      <c r="AD17" s="338"/>
      <c r="AE17" s="338"/>
    </row>
    <row r="18" spans="1:31">
      <c r="A18" s="33">
        <v>14</v>
      </c>
      <c r="B18" s="66" t="s">
        <v>242</v>
      </c>
      <c r="C18" s="33" t="s">
        <v>98</v>
      </c>
      <c r="D18" s="325" t="s">
        <v>244</v>
      </c>
      <c r="E18" s="33">
        <v>37.5</v>
      </c>
      <c r="F18" s="34">
        <v>25.914634146341466</v>
      </c>
      <c r="G18" s="218">
        <f t="shared" si="0"/>
        <v>622.62487716254441</v>
      </c>
      <c r="I18" s="85"/>
      <c r="AB18" s="338" t="s">
        <v>470</v>
      </c>
      <c r="AC18" s="338"/>
      <c r="AD18" s="338"/>
      <c r="AE18" s="338"/>
    </row>
    <row r="19" spans="1:31">
      <c r="A19" s="33">
        <v>15</v>
      </c>
      <c r="B19" s="66" t="s">
        <v>268</v>
      </c>
      <c r="C19" s="33" t="s">
        <v>163</v>
      </c>
      <c r="D19" s="325" t="s">
        <v>241</v>
      </c>
      <c r="E19" s="33">
        <v>42</v>
      </c>
      <c r="F19" s="34">
        <v>27.439024390243905</v>
      </c>
      <c r="G19" s="218">
        <f t="shared" si="0"/>
        <v>833.98789970839402</v>
      </c>
      <c r="I19" s="85"/>
      <c r="AB19" s="338" t="s">
        <v>471</v>
      </c>
      <c r="AC19" s="338"/>
      <c r="AD19" s="338"/>
      <c r="AE19" s="338"/>
    </row>
    <row r="20" spans="1:31">
      <c r="A20" s="33">
        <v>16</v>
      </c>
      <c r="B20" s="66" t="s">
        <v>245</v>
      </c>
      <c r="C20" s="40" t="s">
        <v>118</v>
      </c>
      <c r="D20" s="325" t="s">
        <v>241</v>
      </c>
      <c r="E20" s="33">
        <v>23</v>
      </c>
      <c r="F20" s="34">
        <v>13.719512195121952</v>
      </c>
      <c r="G20" s="218">
        <f t="shared" si="0"/>
        <v>176.48017212699972</v>
      </c>
      <c r="I20" s="85"/>
      <c r="AB20" s="338" t="s">
        <v>472</v>
      </c>
      <c r="AC20" s="338"/>
      <c r="AD20" s="338"/>
      <c r="AE20" s="338"/>
    </row>
    <row r="21" spans="1:31">
      <c r="A21" s="33">
        <v>17</v>
      </c>
      <c r="B21" s="66" t="s">
        <v>229</v>
      </c>
      <c r="C21" s="33" t="s">
        <v>164</v>
      </c>
      <c r="D21" s="96" t="s">
        <v>720</v>
      </c>
      <c r="E21" s="33">
        <v>37</v>
      </c>
      <c r="F21" s="34">
        <v>20.731707317073173</v>
      </c>
      <c r="G21" s="218">
        <f t="shared" si="0"/>
        <v>601.4396781402761</v>
      </c>
      <c r="I21" s="85"/>
      <c r="AB21" s="338" t="s">
        <v>473</v>
      </c>
      <c r="AC21" s="338"/>
      <c r="AD21" s="338"/>
      <c r="AE21" s="338"/>
    </row>
    <row r="22" spans="1:31">
      <c r="A22" s="33">
        <v>18</v>
      </c>
      <c r="B22" s="66" t="s">
        <v>230</v>
      </c>
      <c r="C22" s="40" t="s">
        <v>88</v>
      </c>
      <c r="D22" s="43" t="s">
        <v>232</v>
      </c>
      <c r="E22" s="33">
        <v>41</v>
      </c>
      <c r="F22" s="34">
        <v>20.121951219512198</v>
      </c>
      <c r="G22" s="218">
        <f t="shared" si="0"/>
        <v>783.73527821042649</v>
      </c>
      <c r="I22" s="85"/>
      <c r="AB22" s="338" t="s">
        <v>474</v>
      </c>
      <c r="AC22" s="338"/>
      <c r="AD22" s="338"/>
      <c r="AE22" s="338"/>
    </row>
    <row r="23" spans="1:31">
      <c r="A23" s="33">
        <v>19</v>
      </c>
      <c r="B23" s="66" t="s">
        <v>236</v>
      </c>
      <c r="C23" s="40" t="s">
        <v>90</v>
      </c>
      <c r="D23" s="43" t="s">
        <v>238</v>
      </c>
      <c r="E23" s="33">
        <v>57</v>
      </c>
      <c r="F23" s="34">
        <v>36.585365853658537</v>
      </c>
      <c r="G23" s="218">
        <f t="shared" si="0"/>
        <v>1833.1629973562706</v>
      </c>
      <c r="I23" s="85"/>
      <c r="AB23" s="338" t="s">
        <v>475</v>
      </c>
      <c r="AC23" s="338"/>
      <c r="AD23" s="338"/>
      <c r="AE23" s="338"/>
    </row>
    <row r="24" spans="1:31">
      <c r="A24" s="33">
        <v>20</v>
      </c>
      <c r="B24" s="66" t="s">
        <v>230</v>
      </c>
      <c r="C24" s="40" t="s">
        <v>88</v>
      </c>
      <c r="D24" s="43" t="s">
        <v>232</v>
      </c>
      <c r="E24" s="33">
        <v>29.5</v>
      </c>
      <c r="F24" s="34">
        <v>19.81707317073171</v>
      </c>
      <c r="G24" s="218">
        <f t="shared" si="0"/>
        <v>335.32876449303853</v>
      </c>
      <c r="I24" s="85"/>
    </row>
    <row r="25" spans="1:31">
      <c r="A25" s="33">
        <v>21</v>
      </c>
      <c r="B25" s="66" t="s">
        <v>242</v>
      </c>
      <c r="C25" s="33" t="s">
        <v>98</v>
      </c>
      <c r="D25" s="325" t="s">
        <v>244</v>
      </c>
      <c r="E25" s="33">
        <v>21</v>
      </c>
      <c r="F25" s="34">
        <v>13.109756097560977</v>
      </c>
      <c r="G25" s="218">
        <f t="shared" si="0"/>
        <v>139.57363547262395</v>
      </c>
      <c r="I25" s="85"/>
    </row>
    <row r="26" spans="1:31">
      <c r="A26" s="33">
        <v>22</v>
      </c>
      <c r="B26" s="66" t="s">
        <v>230</v>
      </c>
      <c r="C26" s="40" t="s">
        <v>88</v>
      </c>
      <c r="D26" s="43" t="s">
        <v>232</v>
      </c>
      <c r="E26" s="33">
        <v>34</v>
      </c>
      <c r="F26" s="34">
        <v>25.914634146341466</v>
      </c>
      <c r="G26" s="218">
        <f t="shared" si="0"/>
        <v>483.5973993039749</v>
      </c>
      <c r="I26" s="85"/>
    </row>
    <row r="27" spans="1:31">
      <c r="A27" s="33">
        <v>23</v>
      </c>
      <c r="B27" s="66" t="s">
        <v>230</v>
      </c>
      <c r="C27" s="40" t="s">
        <v>88</v>
      </c>
      <c r="D27" s="43" t="s">
        <v>232</v>
      </c>
      <c r="E27" s="33">
        <v>40.5</v>
      </c>
      <c r="F27" s="34">
        <v>26.219512195121954</v>
      </c>
      <c r="G27" s="218">
        <f t="shared" si="0"/>
        <v>759.32261454944103</v>
      </c>
      <c r="I27" s="85"/>
    </row>
    <row r="28" spans="1:31">
      <c r="A28" s="33">
        <v>24</v>
      </c>
      <c r="B28" s="66" t="s">
        <v>230</v>
      </c>
      <c r="C28" s="40" t="s">
        <v>88</v>
      </c>
      <c r="D28" s="43" t="s">
        <v>232</v>
      </c>
      <c r="E28" s="33">
        <v>64.5</v>
      </c>
      <c r="F28" s="34">
        <v>33.536585365853661</v>
      </c>
      <c r="G28" s="218">
        <f t="shared" si="0"/>
        <v>2521.4730670583576</v>
      </c>
      <c r="I28" s="85"/>
    </row>
    <row r="29" spans="1:31">
      <c r="A29" s="33">
        <v>25</v>
      </c>
      <c r="B29" s="66" t="s">
        <v>230</v>
      </c>
      <c r="C29" s="40" t="s">
        <v>88</v>
      </c>
      <c r="D29" s="43" t="s">
        <v>232</v>
      </c>
      <c r="E29" s="33">
        <v>45</v>
      </c>
      <c r="F29" s="34">
        <v>26.829268292682929</v>
      </c>
      <c r="G29" s="218">
        <f t="shared" si="0"/>
        <v>996.4027158786098</v>
      </c>
      <c r="I29" s="85"/>
    </row>
    <row r="30" spans="1:31">
      <c r="A30" s="33">
        <v>26</v>
      </c>
      <c r="B30" s="66" t="s">
        <v>230</v>
      </c>
      <c r="C30" s="40" t="s">
        <v>88</v>
      </c>
      <c r="D30" s="43" t="s">
        <v>232</v>
      </c>
      <c r="E30" s="33">
        <v>53</v>
      </c>
      <c r="F30" s="34">
        <v>20.426829268292686</v>
      </c>
      <c r="G30" s="218">
        <f t="shared" si="0"/>
        <v>1519.5230671755387</v>
      </c>
      <c r="I30" s="85"/>
    </row>
    <row r="31" spans="1:31">
      <c r="A31" s="33">
        <v>27</v>
      </c>
      <c r="B31" s="66" t="s">
        <v>236</v>
      </c>
      <c r="C31" s="40" t="s">
        <v>90</v>
      </c>
      <c r="D31" s="43" t="s">
        <v>238</v>
      </c>
      <c r="E31" s="33">
        <v>79</v>
      </c>
      <c r="F31" s="34">
        <v>39.634146341463421</v>
      </c>
      <c r="G31" s="218">
        <f t="shared" si="0"/>
        <v>4253.8296890317552</v>
      </c>
      <c r="I31" s="85"/>
    </row>
    <row r="32" spans="1:31">
      <c r="A32" s="33">
        <v>28</v>
      </c>
      <c r="B32" s="66" t="s">
        <v>230</v>
      </c>
      <c r="C32" s="40" t="s">
        <v>88</v>
      </c>
      <c r="D32" s="43" t="s">
        <v>232</v>
      </c>
      <c r="E32" s="33">
        <v>72</v>
      </c>
      <c r="F32" s="34">
        <v>26.524390243902442</v>
      </c>
      <c r="G32" s="218">
        <f t="shared" si="0"/>
        <v>3348.5773698281932</v>
      </c>
      <c r="I32" s="85"/>
    </row>
    <row r="33" spans="1:9">
      <c r="A33" s="33">
        <v>29</v>
      </c>
      <c r="B33" s="66" t="s">
        <v>250</v>
      </c>
      <c r="C33" s="40" t="s">
        <v>94</v>
      </c>
      <c r="D33" s="43" t="s">
        <v>241</v>
      </c>
      <c r="E33" s="33">
        <v>20</v>
      </c>
      <c r="F33" s="34">
        <v>12.804878048780489</v>
      </c>
      <c r="G33" s="218">
        <f t="shared" si="0"/>
        <v>123.07113006706489</v>
      </c>
      <c r="I33" s="85"/>
    </row>
    <row r="34" spans="1:9">
      <c r="A34" s="33">
        <v>30</v>
      </c>
      <c r="B34" s="66" t="s">
        <v>265</v>
      </c>
      <c r="C34" s="33" t="s">
        <v>137</v>
      </c>
      <c r="D34" s="325" t="s">
        <v>267</v>
      </c>
      <c r="E34" s="33">
        <v>43</v>
      </c>
      <c r="F34" s="34">
        <v>25.914634146341466</v>
      </c>
      <c r="G34" s="218">
        <f t="shared" si="0"/>
        <v>886.16578232166205</v>
      </c>
      <c r="I34" s="85"/>
    </row>
    <row r="35" spans="1:9">
      <c r="A35" s="33">
        <v>31</v>
      </c>
      <c r="B35" s="66" t="s">
        <v>276</v>
      </c>
      <c r="C35" s="33" t="s">
        <v>143</v>
      </c>
      <c r="D35" s="96" t="s">
        <v>255</v>
      </c>
      <c r="E35" s="33">
        <v>32.5</v>
      </c>
      <c r="F35" s="34">
        <v>20.426829268292686</v>
      </c>
      <c r="G35" s="218">
        <f t="shared" si="0"/>
        <v>430.47409091621506</v>
      </c>
      <c r="I35" s="85"/>
    </row>
    <row r="36" spans="1:9">
      <c r="A36" s="33">
        <v>32</v>
      </c>
      <c r="B36" s="66" t="s">
        <v>236</v>
      </c>
      <c r="C36" s="40" t="s">
        <v>90</v>
      </c>
      <c r="D36" s="43" t="s">
        <v>238</v>
      </c>
      <c r="E36" s="33">
        <v>73</v>
      </c>
      <c r="F36" s="34">
        <v>33.536585365853661</v>
      </c>
      <c r="G36" s="218">
        <f>0.0543*E36^2.579</f>
        <v>3469.8402925481637</v>
      </c>
      <c r="I36" s="85"/>
    </row>
    <row r="37" spans="1:9">
      <c r="A37" s="33">
        <v>33</v>
      </c>
      <c r="B37" s="66" t="s">
        <v>300</v>
      </c>
      <c r="C37" s="33" t="s">
        <v>161</v>
      </c>
      <c r="D37" s="325" t="s">
        <v>241</v>
      </c>
      <c r="E37" s="33">
        <v>48</v>
      </c>
      <c r="F37" s="34">
        <v>26.829268292682929</v>
      </c>
      <c r="G37" s="218">
        <f t="shared" si="0"/>
        <v>1176.8496452989223</v>
      </c>
      <c r="I37" s="85"/>
    </row>
    <row r="38" spans="1:9">
      <c r="A38" s="340" t="s">
        <v>463</v>
      </c>
      <c r="B38" s="340"/>
      <c r="C38" s="340"/>
      <c r="D38" s="340"/>
      <c r="E38" s="340"/>
      <c r="F38" s="340"/>
      <c r="G38" s="33"/>
      <c r="I38" s="85"/>
    </row>
    <row r="39" spans="1:9">
      <c r="C39" s="293"/>
      <c r="D39" s="293"/>
    </row>
    <row r="40" spans="1:9">
      <c r="B40" s="43"/>
      <c r="C40" s="1" t="s">
        <v>781</v>
      </c>
      <c r="D40" s="1">
        <f>COUNTIF(D4:D37,D32)</f>
        <v>12</v>
      </c>
      <c r="E40" s="1">
        <v>36.36</v>
      </c>
    </row>
    <row r="41" spans="1:9">
      <c r="B41" s="43"/>
    </row>
    <row r="42" spans="1:9">
      <c r="B42" s="43"/>
    </row>
    <row r="43" spans="1:9">
      <c r="B43" s="43"/>
    </row>
    <row r="44" spans="1:9">
      <c r="B44" s="44"/>
    </row>
    <row r="45" spans="1:9">
      <c r="B45" s="43"/>
    </row>
    <row r="46" spans="1:9">
      <c r="B46" s="43"/>
    </row>
    <row r="47" spans="1:9">
      <c r="B47" s="43"/>
    </row>
    <row r="48" spans="1:9">
      <c r="B48" s="43"/>
    </row>
    <row r="49" spans="2:2">
      <c r="B49" s="43"/>
    </row>
    <row r="50" spans="2:2">
      <c r="B50" s="43"/>
    </row>
    <row r="51" spans="2:2">
      <c r="B51" s="43"/>
    </row>
  </sheetData>
  <mergeCells count="19">
    <mergeCell ref="AB19:AE19"/>
    <mergeCell ref="AB20:AE20"/>
    <mergeCell ref="AB21:AE21"/>
    <mergeCell ref="AB22:AE22"/>
    <mergeCell ref="AB23:AE23"/>
    <mergeCell ref="AC1:AE1"/>
    <mergeCell ref="AB15:AE15"/>
    <mergeCell ref="AB16:AE16"/>
    <mergeCell ref="AB17:AE17"/>
    <mergeCell ref="AB18:AE18"/>
    <mergeCell ref="A1:C1"/>
    <mergeCell ref="E1:G1"/>
    <mergeCell ref="E2:G2"/>
    <mergeCell ref="A38:F38"/>
    <mergeCell ref="K1:O1"/>
    <mergeCell ref="M10:O10"/>
    <mergeCell ref="I2:K2"/>
    <mergeCell ref="M2:O2"/>
    <mergeCell ref="M9:N9"/>
  </mergeCells>
  <pageMargins left="0.7" right="0.7" top="0.75" bottom="0.75" header="0.3" footer="0.3"/>
  <pageSetup orientation="portrait" horizontalDpi="30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K38"/>
  <sheetViews>
    <sheetView topLeftCell="D1" zoomScaleNormal="100" workbookViewId="0">
      <selection activeCell="P5" sqref="P5"/>
    </sheetView>
  </sheetViews>
  <sheetFormatPr defaultRowHeight="15"/>
  <cols>
    <col min="1" max="1" width="9.140625" style="1"/>
    <col min="2" max="2" width="25.28515625" style="1" customWidth="1"/>
    <col min="3" max="3" width="21.85546875" style="1" bestFit="1" customWidth="1"/>
    <col min="4" max="4" width="15.42578125" style="1" customWidth="1"/>
    <col min="5" max="5" width="9.140625" style="1"/>
    <col min="6" max="6" width="13.85546875" style="1" customWidth="1"/>
    <col min="7" max="7" width="12.28515625" style="1" bestFit="1" customWidth="1"/>
    <col min="8" max="8" width="13.5703125" style="1" bestFit="1" customWidth="1"/>
    <col min="9" max="9" width="14" style="1" bestFit="1" customWidth="1"/>
    <col min="10" max="10" width="9.140625" style="1"/>
    <col min="11" max="11" width="17.7109375" style="1" customWidth="1"/>
    <col min="12" max="12" width="17.140625" style="1" customWidth="1"/>
    <col min="13" max="13" width="15.7109375" style="1" customWidth="1"/>
    <col min="14" max="14" width="15.28515625" style="1" customWidth="1"/>
    <col min="15" max="15" width="12.28515625" style="1" bestFit="1" customWidth="1"/>
    <col min="16" max="16" width="13.85546875" style="1" bestFit="1" customWidth="1"/>
    <col min="17" max="17" width="17.140625" style="1" customWidth="1"/>
    <col min="18" max="18" width="16.7109375" style="1" customWidth="1"/>
    <col min="19" max="16384" width="9.140625" style="1"/>
  </cols>
  <sheetData>
    <row r="1" spans="1:37">
      <c r="A1" s="338" t="s">
        <v>476</v>
      </c>
      <c r="B1" s="338"/>
      <c r="C1" s="338"/>
      <c r="D1" s="324"/>
      <c r="E1" s="338" t="s">
        <v>477</v>
      </c>
      <c r="F1" s="338"/>
      <c r="G1" s="338"/>
      <c r="I1" s="338" t="s">
        <v>478</v>
      </c>
      <c r="J1" s="338"/>
      <c r="K1" s="338"/>
      <c r="L1" s="338"/>
      <c r="M1" s="338"/>
      <c r="R1" s="2" t="s">
        <v>479</v>
      </c>
      <c r="Z1" s="338" t="s">
        <v>438</v>
      </c>
      <c r="AA1" s="338"/>
      <c r="AB1" s="338"/>
    </row>
    <row r="2" spans="1:37">
      <c r="A2" s="2" t="s">
        <v>480</v>
      </c>
      <c r="B2" s="2"/>
      <c r="E2" s="338" t="s">
        <v>440</v>
      </c>
      <c r="F2" s="338"/>
      <c r="G2" s="338"/>
      <c r="I2" s="338"/>
      <c r="J2" s="338"/>
      <c r="L2" s="338"/>
      <c r="M2" s="338"/>
      <c r="N2" s="338"/>
    </row>
    <row r="3" spans="1:37">
      <c r="Y3" s="1">
        <v>2</v>
      </c>
      <c r="Z3" s="1">
        <v>8</v>
      </c>
      <c r="AB3" s="1">
        <v>3</v>
      </c>
    </row>
    <row r="4" spans="1:37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445</v>
      </c>
      <c r="H4" s="1" t="s">
        <v>4</v>
      </c>
      <c r="I4" s="1" t="s">
        <v>767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26" t="s">
        <v>445</v>
      </c>
      <c r="P4" s="210" t="s">
        <v>4</v>
      </c>
      <c r="R4" s="3" t="s">
        <v>441</v>
      </c>
      <c r="S4" s="3" t="s">
        <v>442</v>
      </c>
      <c r="T4" s="26" t="s">
        <v>224</v>
      </c>
      <c r="U4" s="3" t="s">
        <v>443</v>
      </c>
      <c r="V4" s="3" t="s">
        <v>444</v>
      </c>
      <c r="W4" s="26" t="s">
        <v>448</v>
      </c>
      <c r="Y4" s="9"/>
      <c r="Z4" s="10"/>
      <c r="AA4" s="10"/>
      <c r="AB4" s="11"/>
    </row>
    <row r="5" spans="1:37">
      <c r="A5" s="7">
        <v>1</v>
      </c>
      <c r="B5" s="66" t="s">
        <v>236</v>
      </c>
      <c r="C5" s="40" t="s">
        <v>90</v>
      </c>
      <c r="D5" s="43" t="s">
        <v>238</v>
      </c>
      <c r="E5" s="33">
        <v>60</v>
      </c>
      <c r="F5" s="34">
        <v>26.524390243902442</v>
      </c>
      <c r="G5" s="33">
        <f>0.0543*E5^2.579</f>
        <v>2092.4346555199027</v>
      </c>
      <c r="H5" s="212">
        <f>SUM(G5:G36)/1000/0.025</f>
        <v>1420.5214954602827</v>
      </c>
      <c r="I5" s="75">
        <f>AVERAGE(F5:F36)</f>
        <v>22.34184451219512</v>
      </c>
      <c r="J5" s="37">
        <v>33</v>
      </c>
      <c r="K5" s="66" t="s">
        <v>260</v>
      </c>
      <c r="L5" s="44" t="s">
        <v>120</v>
      </c>
      <c r="M5" s="37">
        <v>17</v>
      </c>
      <c r="N5" s="33">
        <v>13.719512195121952</v>
      </c>
      <c r="O5" s="33">
        <f>0.0543*M5^2.579</f>
        <v>80.933365039903734</v>
      </c>
      <c r="P5" s="211">
        <f>SUM(O5:O6)/1000/0.0625</f>
        <v>2.7955430343928156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Y5" s="9"/>
      <c r="Z5" s="12"/>
      <c r="AA5" s="12"/>
      <c r="AB5" s="13"/>
      <c r="AG5" s="9"/>
      <c r="AH5" s="9"/>
      <c r="AI5" s="9"/>
      <c r="AJ5" s="9"/>
      <c r="AK5" s="25"/>
    </row>
    <row r="6" spans="1:37">
      <c r="A6" s="7">
        <v>2</v>
      </c>
      <c r="B6" s="66" t="s">
        <v>264</v>
      </c>
      <c r="C6" s="33" t="s">
        <v>93</v>
      </c>
      <c r="D6" s="43" t="s">
        <v>719</v>
      </c>
      <c r="E6" s="33">
        <v>30</v>
      </c>
      <c r="F6" s="34">
        <v>15.24390243902439</v>
      </c>
      <c r="G6" s="33">
        <f t="shared" ref="G6:G36" si="0">0.0543*E6^2.579</f>
        <v>350.18339230333765</v>
      </c>
      <c r="J6" s="37">
        <v>34</v>
      </c>
      <c r="K6" s="78" t="s">
        <v>311</v>
      </c>
      <c r="L6" s="114" t="s">
        <v>194</v>
      </c>
      <c r="M6" s="37">
        <v>18</v>
      </c>
      <c r="N6" s="33">
        <v>9.1463414634146343</v>
      </c>
      <c r="O6" s="33">
        <f t="shared" ref="O6" si="1">0.0543*M6^2.579</f>
        <v>93.788074609647225</v>
      </c>
      <c r="P6" s="43"/>
      <c r="R6" s="24" t="s">
        <v>449</v>
      </c>
      <c r="Y6" s="9"/>
      <c r="Z6" s="12"/>
      <c r="AA6" s="12"/>
      <c r="AB6" s="14"/>
      <c r="AG6" s="9"/>
      <c r="AH6" s="9"/>
      <c r="AI6" s="9"/>
      <c r="AJ6" s="9"/>
      <c r="AK6" s="25"/>
    </row>
    <row r="7" spans="1:37">
      <c r="A7" s="7">
        <v>3</v>
      </c>
      <c r="B7" s="66" t="s">
        <v>230</v>
      </c>
      <c r="C7" s="40" t="s">
        <v>88</v>
      </c>
      <c r="D7" s="43" t="s">
        <v>232</v>
      </c>
      <c r="E7" s="33">
        <v>59</v>
      </c>
      <c r="F7" s="34">
        <v>30.487804878048781</v>
      </c>
      <c r="G7" s="222">
        <f t="shared" si="0"/>
        <v>2003.6744838262262</v>
      </c>
      <c r="J7" s="24" t="s">
        <v>459</v>
      </c>
      <c r="O7" s="33"/>
      <c r="Y7" s="9">
        <v>6</v>
      </c>
      <c r="Z7" s="12"/>
      <c r="AA7" s="15"/>
      <c r="AB7" s="16"/>
      <c r="AC7" s="18">
        <v>7</v>
      </c>
      <c r="AG7" s="9"/>
      <c r="AH7" s="9"/>
      <c r="AI7" s="9"/>
      <c r="AJ7" s="9"/>
      <c r="AK7" s="25"/>
    </row>
    <row r="8" spans="1:37">
      <c r="A8" s="7">
        <v>4</v>
      </c>
      <c r="B8" s="66" t="s">
        <v>236</v>
      </c>
      <c r="C8" s="40" t="s">
        <v>90</v>
      </c>
      <c r="D8" s="43" t="s">
        <v>238</v>
      </c>
      <c r="E8" s="33">
        <v>50</v>
      </c>
      <c r="F8" s="34">
        <v>32.012195121951223</v>
      </c>
      <c r="G8" s="33">
        <f t="shared" si="0"/>
        <v>1307.5053385567558</v>
      </c>
      <c r="R8" s="27" t="s">
        <v>442</v>
      </c>
      <c r="S8" s="3" t="s">
        <v>224</v>
      </c>
      <c r="T8" s="27" t="s">
        <v>450</v>
      </c>
      <c r="U8" s="27" t="s">
        <v>448</v>
      </c>
      <c r="Y8" s="9"/>
      <c r="Z8" s="12">
        <v>1</v>
      </c>
      <c r="AA8" s="9"/>
      <c r="AB8" s="14"/>
      <c r="AG8" s="9"/>
      <c r="AH8" s="9"/>
      <c r="AI8" s="9"/>
      <c r="AJ8" s="9"/>
      <c r="AK8" s="25"/>
    </row>
    <row r="9" spans="1:37">
      <c r="A9" s="7">
        <v>5</v>
      </c>
      <c r="B9" s="66" t="s">
        <v>275</v>
      </c>
      <c r="C9" s="40" t="s">
        <v>86</v>
      </c>
      <c r="D9" s="325" t="s">
        <v>241</v>
      </c>
      <c r="E9" s="33">
        <v>30</v>
      </c>
      <c r="F9" s="34">
        <v>14.329268292682928</v>
      </c>
      <c r="G9" s="33">
        <f t="shared" si="0"/>
        <v>350.18339230333765</v>
      </c>
      <c r="Q9" s="36"/>
      <c r="R9" s="66" t="s">
        <v>481</v>
      </c>
      <c r="S9" s="33" t="s">
        <v>93</v>
      </c>
      <c r="T9" s="33">
        <v>1</v>
      </c>
      <c r="U9" s="33"/>
      <c r="Y9" s="9"/>
      <c r="Z9" s="12"/>
      <c r="AA9" s="9"/>
      <c r="AB9" s="14"/>
      <c r="AG9" s="9"/>
      <c r="AH9" s="9"/>
      <c r="AI9" s="9"/>
      <c r="AJ9" s="9"/>
      <c r="AK9" s="25"/>
    </row>
    <row r="10" spans="1:37">
      <c r="A10" s="7">
        <v>6</v>
      </c>
      <c r="B10" s="66" t="s">
        <v>236</v>
      </c>
      <c r="C10" s="40" t="s">
        <v>90</v>
      </c>
      <c r="D10" s="43" t="s">
        <v>238</v>
      </c>
      <c r="E10" s="33">
        <v>41</v>
      </c>
      <c r="F10" s="34">
        <v>32.31707317073171</v>
      </c>
      <c r="G10" s="33">
        <f t="shared" si="0"/>
        <v>783.73527821042649</v>
      </c>
      <c r="Q10" s="36"/>
      <c r="R10" s="66" t="s">
        <v>250</v>
      </c>
      <c r="S10" s="40" t="s">
        <v>94</v>
      </c>
      <c r="T10" s="33">
        <v>2</v>
      </c>
      <c r="U10" s="33"/>
      <c r="Y10" s="9"/>
      <c r="Z10" s="12"/>
      <c r="AA10" s="9"/>
      <c r="AB10" s="14"/>
      <c r="AG10" s="9"/>
      <c r="AH10" s="9"/>
      <c r="AI10" s="9"/>
      <c r="AJ10" s="9"/>
      <c r="AK10" s="25"/>
    </row>
    <row r="11" spans="1:37">
      <c r="A11" s="7">
        <v>7</v>
      </c>
      <c r="B11" s="66" t="s">
        <v>230</v>
      </c>
      <c r="C11" s="40" t="s">
        <v>88</v>
      </c>
      <c r="D11" s="43" t="s">
        <v>232</v>
      </c>
      <c r="E11" s="33">
        <v>71</v>
      </c>
      <c r="F11" s="34">
        <v>34.451219512195124</v>
      </c>
      <c r="G11" s="222">
        <f t="shared" si="0"/>
        <v>3229.9448793271786</v>
      </c>
      <c r="J11" s="338"/>
      <c r="K11" s="338"/>
      <c r="M11" s="338"/>
      <c r="N11" s="338"/>
      <c r="Q11" s="36"/>
      <c r="R11" s="66" t="s">
        <v>245</v>
      </c>
      <c r="S11" s="40" t="s">
        <v>118</v>
      </c>
      <c r="T11" s="33">
        <v>1</v>
      </c>
      <c r="U11" s="33"/>
      <c r="Y11" s="9">
        <v>4</v>
      </c>
      <c r="Z11" s="15"/>
      <c r="AA11" s="17"/>
      <c r="AB11" s="16"/>
      <c r="AC11" s="18">
        <v>5</v>
      </c>
      <c r="AG11" s="9"/>
      <c r="AH11" s="9"/>
      <c r="AI11" s="9"/>
      <c r="AJ11" s="9"/>
      <c r="AK11" s="25"/>
    </row>
    <row r="12" spans="1:37">
      <c r="A12" s="7">
        <v>8</v>
      </c>
      <c r="B12" s="66" t="s">
        <v>293</v>
      </c>
      <c r="C12" s="33" t="s">
        <v>168</v>
      </c>
      <c r="D12" s="43" t="s">
        <v>721</v>
      </c>
      <c r="E12" s="33">
        <v>32</v>
      </c>
      <c r="F12" s="34">
        <v>9.7560975609756095</v>
      </c>
      <c r="G12" s="33">
        <f t="shared" si="0"/>
        <v>413.60104148086589</v>
      </c>
      <c r="J12" s="338"/>
      <c r="K12" s="338"/>
      <c r="M12" s="338"/>
      <c r="N12" s="338"/>
      <c r="O12" s="338"/>
      <c r="P12" s="286"/>
      <c r="Q12" s="36"/>
      <c r="R12" s="66" t="s">
        <v>261</v>
      </c>
      <c r="S12" s="40" t="s">
        <v>95</v>
      </c>
      <c r="T12" s="33">
        <v>1</v>
      </c>
      <c r="U12" s="33"/>
      <c r="Z12" s="1">
        <v>9</v>
      </c>
      <c r="AG12" s="9"/>
      <c r="AH12" s="9"/>
      <c r="AI12" s="9"/>
      <c r="AJ12" s="9"/>
      <c r="AK12" s="25"/>
    </row>
    <row r="13" spans="1:37">
      <c r="A13" s="7">
        <v>9</v>
      </c>
      <c r="B13" s="66" t="s">
        <v>236</v>
      </c>
      <c r="C13" s="40" t="s">
        <v>90</v>
      </c>
      <c r="D13" s="43" t="s">
        <v>238</v>
      </c>
      <c r="E13" s="33">
        <v>48</v>
      </c>
      <c r="F13" s="34">
        <v>35.975609756097562</v>
      </c>
      <c r="G13" s="33">
        <f t="shared" si="0"/>
        <v>1176.8496452989223</v>
      </c>
      <c r="Q13" s="36"/>
      <c r="R13" s="66" t="s">
        <v>268</v>
      </c>
      <c r="S13" s="33" t="s">
        <v>361</v>
      </c>
      <c r="T13" s="33">
        <v>1</v>
      </c>
      <c r="U13" s="33"/>
      <c r="AG13" s="9"/>
      <c r="AH13" s="9"/>
      <c r="AI13" s="9"/>
      <c r="AJ13" s="9"/>
      <c r="AK13" s="25"/>
    </row>
    <row r="14" spans="1:37">
      <c r="A14" s="7">
        <v>10</v>
      </c>
      <c r="B14" s="66" t="s">
        <v>275</v>
      </c>
      <c r="C14" s="40" t="s">
        <v>86</v>
      </c>
      <c r="D14" s="325" t="s">
        <v>241</v>
      </c>
      <c r="E14" s="33">
        <v>23</v>
      </c>
      <c r="F14" s="34">
        <v>10.975609756097562</v>
      </c>
      <c r="G14" s="33">
        <f t="shared" si="0"/>
        <v>176.48017212699972</v>
      </c>
      <c r="Q14" s="36"/>
      <c r="R14" s="66" t="s">
        <v>230</v>
      </c>
      <c r="S14" s="40" t="s">
        <v>88</v>
      </c>
      <c r="T14" s="33">
        <v>1</v>
      </c>
      <c r="U14" s="33"/>
      <c r="Y14" s="338" t="s">
        <v>482</v>
      </c>
      <c r="Z14" s="338"/>
      <c r="AA14" s="338"/>
      <c r="AB14" s="338"/>
      <c r="AG14" s="9"/>
      <c r="AH14" s="9"/>
      <c r="AI14" s="9"/>
      <c r="AJ14" s="9"/>
      <c r="AK14" s="9"/>
    </row>
    <row r="15" spans="1:37">
      <c r="A15" s="7">
        <v>11</v>
      </c>
      <c r="B15" s="66" t="s">
        <v>258</v>
      </c>
      <c r="C15" s="40" t="s">
        <v>119</v>
      </c>
      <c r="D15" s="325" t="s">
        <v>238</v>
      </c>
      <c r="E15" s="33">
        <v>61</v>
      </c>
      <c r="F15" s="34">
        <v>36.585365853658537</v>
      </c>
      <c r="G15" s="33">
        <f t="shared" si="0"/>
        <v>2183.5617300226813</v>
      </c>
      <c r="N15" s="1" t="s">
        <v>483</v>
      </c>
      <c r="Q15" s="36"/>
      <c r="R15" s="66" t="s">
        <v>260</v>
      </c>
      <c r="S15" s="40" t="s">
        <v>120</v>
      </c>
      <c r="T15" s="33">
        <v>1</v>
      </c>
      <c r="U15" s="33"/>
      <c r="Y15" s="338" t="s">
        <v>484</v>
      </c>
      <c r="Z15" s="338"/>
      <c r="AA15" s="338"/>
      <c r="AB15" s="338"/>
    </row>
    <row r="16" spans="1:37">
      <c r="A16" s="7">
        <v>12</v>
      </c>
      <c r="B16" s="66" t="s">
        <v>270</v>
      </c>
      <c r="C16" s="40" t="s">
        <v>96</v>
      </c>
      <c r="D16" s="43" t="s">
        <v>271</v>
      </c>
      <c r="E16" s="33">
        <v>25</v>
      </c>
      <c r="F16" s="34">
        <v>15.24390243902439</v>
      </c>
      <c r="G16" s="33">
        <f t="shared" si="0"/>
        <v>218.82004950676119</v>
      </c>
      <c r="Q16" s="36"/>
      <c r="R16" s="33"/>
      <c r="S16" s="33"/>
      <c r="T16" s="33"/>
      <c r="U16" s="33"/>
      <c r="Y16" s="338" t="s">
        <v>485</v>
      </c>
      <c r="Z16" s="338"/>
      <c r="AA16" s="338"/>
      <c r="AB16" s="338"/>
    </row>
    <row r="17" spans="1:28">
      <c r="A17" s="7">
        <v>13</v>
      </c>
      <c r="B17" s="66" t="s">
        <v>268</v>
      </c>
      <c r="C17" s="114" t="s">
        <v>486</v>
      </c>
      <c r="D17" s="325" t="s">
        <v>241</v>
      </c>
      <c r="E17" s="33">
        <v>51</v>
      </c>
      <c r="F17" s="34">
        <v>19.207317073170731</v>
      </c>
      <c r="G17" s="33">
        <f t="shared" si="0"/>
        <v>1376.0154611813107</v>
      </c>
      <c r="Q17" s="36"/>
      <c r="R17" s="33" t="s">
        <v>362</v>
      </c>
      <c r="S17" s="33"/>
      <c r="T17" s="33" t="s">
        <v>363</v>
      </c>
      <c r="U17" s="33" t="s">
        <v>364</v>
      </c>
      <c r="Y17" s="338" t="s">
        <v>487</v>
      </c>
      <c r="Z17" s="338"/>
      <c r="AA17" s="338"/>
      <c r="AB17" s="338"/>
    </row>
    <row r="18" spans="1:28">
      <c r="A18" s="7">
        <v>14</v>
      </c>
      <c r="B18" s="66" t="s">
        <v>283</v>
      </c>
      <c r="C18" s="33" t="s">
        <v>157</v>
      </c>
      <c r="D18" s="43" t="s">
        <v>721</v>
      </c>
      <c r="E18" s="33">
        <v>39</v>
      </c>
      <c r="F18" s="34">
        <v>22.865853658536587</v>
      </c>
      <c r="G18" s="33">
        <f t="shared" si="0"/>
        <v>688.89883626078586</v>
      </c>
      <c r="R18" s="24" t="s">
        <v>451</v>
      </c>
      <c r="Y18" s="338" t="s">
        <v>488</v>
      </c>
      <c r="Z18" s="338"/>
      <c r="AA18" s="338"/>
      <c r="AB18" s="338"/>
    </row>
    <row r="19" spans="1:28">
      <c r="A19" s="7">
        <v>15</v>
      </c>
      <c r="B19" s="66" t="s">
        <v>230</v>
      </c>
      <c r="C19" s="40" t="s">
        <v>88</v>
      </c>
      <c r="D19" s="43" t="s">
        <v>232</v>
      </c>
      <c r="E19" s="33">
        <v>49</v>
      </c>
      <c r="F19" s="34">
        <v>19.81707317073171</v>
      </c>
      <c r="G19" s="222">
        <f t="shared" si="0"/>
        <v>1241.1249893651739</v>
      </c>
      <c r="R19" s="24" t="s">
        <v>452</v>
      </c>
      <c r="Y19" s="338" t="s">
        <v>489</v>
      </c>
      <c r="Z19" s="338"/>
      <c r="AA19" s="338"/>
      <c r="AB19" s="338"/>
    </row>
    <row r="20" spans="1:28">
      <c r="A20" s="7">
        <v>16</v>
      </c>
      <c r="B20" s="66" t="s">
        <v>301</v>
      </c>
      <c r="C20" s="33" t="s">
        <v>172</v>
      </c>
      <c r="D20" s="43" t="s">
        <v>241</v>
      </c>
      <c r="E20" s="33">
        <v>30</v>
      </c>
      <c r="F20" s="34">
        <v>16.76829268292683</v>
      </c>
      <c r="G20" s="33">
        <f t="shared" si="0"/>
        <v>350.18339230333765</v>
      </c>
      <c r="Y20" s="338" t="s">
        <v>490</v>
      </c>
      <c r="Z20" s="338"/>
      <c r="AA20" s="338"/>
      <c r="AB20" s="338"/>
    </row>
    <row r="21" spans="1:28">
      <c r="A21" s="7">
        <v>17</v>
      </c>
      <c r="B21" s="66" t="s">
        <v>275</v>
      </c>
      <c r="C21" s="40" t="s">
        <v>86</v>
      </c>
      <c r="D21" s="325" t="s">
        <v>241</v>
      </c>
      <c r="E21" s="33">
        <v>21</v>
      </c>
      <c r="F21" s="34">
        <v>13.719512195121952</v>
      </c>
      <c r="G21" s="33">
        <f t="shared" si="0"/>
        <v>139.57363547262395</v>
      </c>
      <c r="S21" s="1" t="s">
        <v>128</v>
      </c>
      <c r="Y21" s="338" t="s">
        <v>491</v>
      </c>
      <c r="Z21" s="338"/>
      <c r="AA21" s="338"/>
      <c r="AB21" s="338"/>
    </row>
    <row r="22" spans="1:28">
      <c r="A22" s="7">
        <v>18</v>
      </c>
      <c r="B22" s="66" t="s">
        <v>242</v>
      </c>
      <c r="C22" s="33" t="s">
        <v>98</v>
      </c>
      <c r="D22" s="325" t="s">
        <v>241</v>
      </c>
      <c r="E22" s="33">
        <v>22</v>
      </c>
      <c r="F22" s="34">
        <v>14.329268292682928</v>
      </c>
      <c r="G22" s="33">
        <f t="shared" si="0"/>
        <v>157.36491932170634</v>
      </c>
      <c r="R22" s="43" t="s">
        <v>250</v>
      </c>
      <c r="S22" s="1">
        <v>6</v>
      </c>
      <c r="Y22" s="338" t="s">
        <v>492</v>
      </c>
      <c r="Z22" s="338"/>
      <c r="AA22" s="338"/>
      <c r="AB22" s="338"/>
    </row>
    <row r="23" spans="1:28">
      <c r="A23" s="7">
        <v>19</v>
      </c>
      <c r="B23" s="66" t="s">
        <v>236</v>
      </c>
      <c r="C23" s="40" t="s">
        <v>90</v>
      </c>
      <c r="D23" s="43" t="s">
        <v>238</v>
      </c>
      <c r="E23" s="33">
        <v>62</v>
      </c>
      <c r="F23" s="34">
        <v>32.012195121951223</v>
      </c>
      <c r="G23" s="33">
        <f t="shared" si="0"/>
        <v>2277.0784688789677</v>
      </c>
      <c r="R23" s="43" t="s">
        <v>245</v>
      </c>
    </row>
    <row r="24" spans="1:28">
      <c r="A24" s="7">
        <v>20</v>
      </c>
      <c r="B24" s="66" t="s">
        <v>230</v>
      </c>
      <c r="C24" s="40" t="s">
        <v>88</v>
      </c>
      <c r="D24" s="43" t="s">
        <v>232</v>
      </c>
      <c r="E24" s="33">
        <v>38</v>
      </c>
      <c r="F24" s="34">
        <v>15.548780487804878</v>
      </c>
      <c r="G24" s="222">
        <f t="shared" si="0"/>
        <v>644.26082629965481</v>
      </c>
      <c r="R24" s="43" t="s">
        <v>261</v>
      </c>
    </row>
    <row r="25" spans="1:28">
      <c r="A25" s="7">
        <v>21</v>
      </c>
      <c r="B25" s="66" t="s">
        <v>268</v>
      </c>
      <c r="C25" s="33" t="s">
        <v>171</v>
      </c>
      <c r="D25" s="325" t="s">
        <v>241</v>
      </c>
      <c r="E25" s="33">
        <v>48</v>
      </c>
      <c r="F25" s="34">
        <v>21.951219512195124</v>
      </c>
      <c r="G25" s="33">
        <f t="shared" si="0"/>
        <v>1176.8496452989223</v>
      </c>
      <c r="R25" s="43" t="s">
        <v>268</v>
      </c>
    </row>
    <row r="26" spans="1:28">
      <c r="A26" s="7">
        <v>22</v>
      </c>
      <c r="B26" s="66" t="s">
        <v>250</v>
      </c>
      <c r="C26" s="40" t="s">
        <v>94</v>
      </c>
      <c r="D26" s="43" t="s">
        <v>241</v>
      </c>
      <c r="E26" s="33">
        <v>33</v>
      </c>
      <c r="F26" s="34">
        <v>19.207317073170731</v>
      </c>
      <c r="G26" s="33">
        <f t="shared" si="0"/>
        <v>447.76204823655206</v>
      </c>
      <c r="R26" s="43" t="s">
        <v>230</v>
      </c>
      <c r="S26" s="29"/>
      <c r="T26" s="29"/>
    </row>
    <row r="27" spans="1:28">
      <c r="A27" s="7">
        <v>23</v>
      </c>
      <c r="B27" s="66" t="s">
        <v>250</v>
      </c>
      <c r="C27" s="40" t="s">
        <v>94</v>
      </c>
      <c r="D27" s="43" t="s">
        <v>241</v>
      </c>
      <c r="E27" s="33">
        <v>39</v>
      </c>
      <c r="F27" s="34">
        <v>18.902439024390244</v>
      </c>
      <c r="G27" s="33">
        <f t="shared" si="0"/>
        <v>688.89883626078586</v>
      </c>
      <c r="R27" s="43" t="s">
        <v>260</v>
      </c>
      <c r="S27" s="30"/>
      <c r="T27" s="30"/>
    </row>
    <row r="28" spans="1:28">
      <c r="A28" s="7">
        <v>24</v>
      </c>
      <c r="B28" s="66" t="s">
        <v>265</v>
      </c>
      <c r="C28" s="33" t="s">
        <v>169</v>
      </c>
      <c r="D28" s="43" t="s">
        <v>241</v>
      </c>
      <c r="E28" s="33">
        <v>64</v>
      </c>
      <c r="F28" s="34">
        <v>24.390243902439025</v>
      </c>
      <c r="G28" s="33">
        <f t="shared" si="0"/>
        <v>2471.3712065591867</v>
      </c>
      <c r="R28" s="30"/>
      <c r="S28" s="30"/>
      <c r="T28" s="30"/>
    </row>
    <row r="29" spans="1:28">
      <c r="A29" s="7">
        <v>25</v>
      </c>
      <c r="B29" s="66" t="s">
        <v>230</v>
      </c>
      <c r="C29" s="40" t="s">
        <v>88</v>
      </c>
      <c r="D29" s="43" t="s">
        <v>232</v>
      </c>
      <c r="E29" s="33">
        <v>36</v>
      </c>
      <c r="F29" s="34">
        <v>16.158536585365855</v>
      </c>
      <c r="G29" s="222">
        <f t="shared" si="0"/>
        <v>560.40755187418995</v>
      </c>
      <c r="R29" s="30"/>
      <c r="S29" s="30"/>
      <c r="T29" s="30"/>
    </row>
    <row r="30" spans="1:28">
      <c r="A30" s="7">
        <v>26</v>
      </c>
      <c r="B30" s="66" t="s">
        <v>236</v>
      </c>
      <c r="C30" s="40" t="s">
        <v>90</v>
      </c>
      <c r="D30" s="43" t="s">
        <v>238</v>
      </c>
      <c r="E30" s="33">
        <v>64</v>
      </c>
      <c r="F30" s="34">
        <v>35.060975609756099</v>
      </c>
      <c r="G30" s="33">
        <f t="shared" si="0"/>
        <v>2471.3712065591867</v>
      </c>
      <c r="R30" s="30"/>
      <c r="S30" s="30"/>
      <c r="T30" s="30"/>
    </row>
    <row r="31" spans="1:28">
      <c r="A31" s="7">
        <v>27</v>
      </c>
      <c r="B31" s="66" t="s">
        <v>230</v>
      </c>
      <c r="C31" s="40" t="s">
        <v>88</v>
      </c>
      <c r="D31" s="43" t="s">
        <v>232</v>
      </c>
      <c r="E31" s="33">
        <v>38</v>
      </c>
      <c r="F31" s="34">
        <v>9.7560975609756095</v>
      </c>
      <c r="G31" s="222">
        <f t="shared" si="0"/>
        <v>644.26082629965481</v>
      </c>
      <c r="R31" s="30"/>
      <c r="S31" s="30"/>
      <c r="T31" s="30"/>
    </row>
    <row r="32" spans="1:28">
      <c r="A32" s="7">
        <v>28</v>
      </c>
      <c r="B32" s="66" t="s">
        <v>236</v>
      </c>
      <c r="C32" s="40" t="s">
        <v>90</v>
      </c>
      <c r="D32" s="43" t="s">
        <v>238</v>
      </c>
      <c r="E32" s="33">
        <v>52</v>
      </c>
      <c r="F32" s="34">
        <v>24.390243902439025</v>
      </c>
      <c r="G32" s="33">
        <f t="shared" si="0"/>
        <v>1446.679917836572</v>
      </c>
      <c r="R32" s="30"/>
      <c r="S32" s="30"/>
      <c r="T32" s="30"/>
    </row>
    <row r="33" spans="1:20">
      <c r="A33" s="7">
        <v>29</v>
      </c>
      <c r="B33" s="66" t="s">
        <v>236</v>
      </c>
      <c r="C33" s="40" t="s">
        <v>90</v>
      </c>
      <c r="D33" s="43" t="s">
        <v>238</v>
      </c>
      <c r="E33" s="33">
        <v>42</v>
      </c>
      <c r="F33" s="34">
        <v>25.609756097560979</v>
      </c>
      <c r="G33" s="33">
        <f t="shared" si="0"/>
        <v>833.98789970839402</v>
      </c>
      <c r="R33" s="30"/>
      <c r="S33" s="30"/>
      <c r="T33" s="30"/>
    </row>
    <row r="34" spans="1:20">
      <c r="A34" s="7">
        <v>30</v>
      </c>
      <c r="B34" s="66" t="s">
        <v>260</v>
      </c>
      <c r="C34" s="40" t="s">
        <v>120</v>
      </c>
      <c r="D34" s="325" t="s">
        <v>722</v>
      </c>
      <c r="E34" s="33">
        <v>60</v>
      </c>
      <c r="F34" s="34">
        <v>25</v>
      </c>
      <c r="G34" s="33">
        <f t="shared" si="0"/>
        <v>2092.4346555199027</v>
      </c>
      <c r="R34" s="30"/>
      <c r="S34" s="30"/>
      <c r="T34" s="30"/>
    </row>
    <row r="35" spans="1:20">
      <c r="A35" s="7">
        <v>31</v>
      </c>
      <c r="B35" s="66" t="s">
        <v>230</v>
      </c>
      <c r="C35" s="40" t="s">
        <v>88</v>
      </c>
      <c r="D35" s="43" t="s">
        <v>232</v>
      </c>
      <c r="E35" s="33">
        <v>35</v>
      </c>
      <c r="F35" s="34">
        <v>22.865853658536587</v>
      </c>
      <c r="G35" s="222">
        <f t="shared" si="0"/>
        <v>521.13628890815676</v>
      </c>
      <c r="R35" s="30"/>
      <c r="S35" s="30"/>
      <c r="T35" s="30"/>
    </row>
    <row r="36" spans="1:20">
      <c r="A36" s="7">
        <v>32</v>
      </c>
      <c r="B36" s="66" t="s">
        <v>236</v>
      </c>
      <c r="C36" s="40" t="s">
        <v>90</v>
      </c>
      <c r="D36" s="43" t="s">
        <v>238</v>
      </c>
      <c r="E36" s="33">
        <v>45</v>
      </c>
      <c r="F36" s="34">
        <v>23.475609756097562</v>
      </c>
      <c r="G36" s="33">
        <f t="shared" si="0"/>
        <v>996.4027158786098</v>
      </c>
    </row>
    <row r="37" spans="1:20">
      <c r="A37" s="340" t="s">
        <v>463</v>
      </c>
      <c r="B37" s="340"/>
      <c r="C37" s="340"/>
      <c r="D37" s="340"/>
      <c r="E37" s="340"/>
      <c r="F37" s="340"/>
      <c r="G37" s="33"/>
    </row>
    <row r="38" spans="1:20">
      <c r="C38" s="1" t="s">
        <v>781</v>
      </c>
      <c r="D38" s="1">
        <f>COUNTIF(D4:D36,D35)</f>
        <v>7</v>
      </c>
      <c r="E38" s="329">
        <v>0.21879999999999999</v>
      </c>
    </row>
  </sheetData>
  <mergeCells count="21">
    <mergeCell ref="A37:F37"/>
    <mergeCell ref="I1:M1"/>
    <mergeCell ref="Y14:AB14"/>
    <mergeCell ref="Y15:AB15"/>
    <mergeCell ref="Y16:AB16"/>
    <mergeCell ref="Y17:AB17"/>
    <mergeCell ref="Y18:AB18"/>
    <mergeCell ref="Y19:AB19"/>
    <mergeCell ref="Y20:AB20"/>
    <mergeCell ref="Y21:AB21"/>
    <mergeCell ref="Y22:AB22"/>
    <mergeCell ref="Z1:AB1"/>
    <mergeCell ref="E1:G1"/>
    <mergeCell ref="J12:K12"/>
    <mergeCell ref="M12:O12"/>
    <mergeCell ref="E2:G2"/>
    <mergeCell ref="I2:J2"/>
    <mergeCell ref="L2:N2"/>
    <mergeCell ref="J11:K11"/>
    <mergeCell ref="M11:N11"/>
    <mergeCell ref="A1:C1"/>
  </mergeCells>
  <pageMargins left="0.7" right="0.7" top="0.75" bottom="0.75" header="0.3" footer="0.3"/>
  <pageSetup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M39"/>
  <sheetViews>
    <sheetView topLeftCell="I1" zoomScale="85" zoomScaleNormal="85" workbookViewId="0">
      <selection activeCell="E5" sqref="E5:E37"/>
    </sheetView>
  </sheetViews>
  <sheetFormatPr defaultRowHeight="15"/>
  <cols>
    <col min="1" max="1" width="9.28515625" style="1" customWidth="1"/>
    <col min="2" max="2" width="17.7109375" style="1" customWidth="1"/>
    <col min="3" max="3" width="26.42578125" style="1" bestFit="1" customWidth="1"/>
    <col min="4" max="4" width="26.42578125" style="1" customWidth="1"/>
    <col min="5" max="5" width="12.140625" style="1" customWidth="1"/>
    <col min="6" max="6" width="12.5703125" style="1" customWidth="1"/>
    <col min="7" max="7" width="12.28515625" style="1" bestFit="1" customWidth="1"/>
    <col min="8" max="8" width="12.28515625" style="1" customWidth="1"/>
    <col min="9" max="10" width="9.140625" style="1"/>
    <col min="11" max="11" width="14.140625" style="1" customWidth="1"/>
    <col min="12" max="12" width="18.42578125" style="1" customWidth="1"/>
    <col min="13" max="13" width="12.7109375" style="1" customWidth="1"/>
    <col min="14" max="15" width="9.140625" style="1"/>
    <col min="16" max="16" width="14.5703125" style="1" customWidth="1"/>
    <col min="17" max="17" width="17.42578125" style="1" customWidth="1"/>
    <col min="18" max="18" width="13.28515625" style="1" customWidth="1"/>
    <col min="19" max="19" width="14" style="1" customWidth="1"/>
    <col min="20" max="16384" width="9.140625" style="1"/>
  </cols>
  <sheetData>
    <row r="1" spans="1:39">
      <c r="A1" s="338" t="s">
        <v>493</v>
      </c>
      <c r="B1" s="338"/>
      <c r="C1" s="338"/>
      <c r="D1" s="324"/>
      <c r="E1" s="338" t="s">
        <v>477</v>
      </c>
      <c r="F1" s="338"/>
      <c r="G1" s="338"/>
      <c r="H1" s="286"/>
      <c r="J1" s="338" t="s">
        <v>494</v>
      </c>
      <c r="K1" s="338"/>
      <c r="L1" s="338"/>
      <c r="M1" s="338"/>
      <c r="N1" s="338"/>
      <c r="Q1" s="2" t="s">
        <v>495</v>
      </c>
      <c r="Y1" s="338" t="s">
        <v>438</v>
      </c>
      <c r="Z1" s="338"/>
      <c r="AA1" s="338"/>
    </row>
    <row r="2" spans="1:39">
      <c r="A2" s="2" t="s">
        <v>480</v>
      </c>
      <c r="B2" s="2"/>
      <c r="E2" s="338" t="s">
        <v>440</v>
      </c>
      <c r="F2" s="338"/>
      <c r="G2" s="338"/>
      <c r="H2" s="286"/>
      <c r="J2" s="338"/>
      <c r="K2" s="338"/>
      <c r="M2" s="338"/>
      <c r="N2" s="338"/>
      <c r="O2" s="338"/>
      <c r="AH2" s="9"/>
      <c r="AI2" s="9"/>
      <c r="AJ2" s="9"/>
      <c r="AK2" s="9"/>
      <c r="AL2" s="9"/>
      <c r="AM2" s="9"/>
    </row>
    <row r="3" spans="1:39">
      <c r="X3" s="1">
        <v>2</v>
      </c>
      <c r="Y3" s="1">
        <v>8</v>
      </c>
      <c r="AA3" s="1">
        <v>3</v>
      </c>
      <c r="AH3" s="9"/>
      <c r="AI3" s="9"/>
      <c r="AJ3" s="9"/>
      <c r="AK3" s="9"/>
      <c r="AL3" s="25"/>
      <c r="AM3" s="9"/>
    </row>
    <row r="4" spans="1:39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445</v>
      </c>
      <c r="H4" s="213" t="s">
        <v>4</v>
      </c>
      <c r="I4" s="1" t="s">
        <v>768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26" t="s">
        <v>448</v>
      </c>
      <c r="Q4" s="3" t="s">
        <v>441</v>
      </c>
      <c r="R4" s="3" t="s">
        <v>442</v>
      </c>
      <c r="S4" s="26" t="s">
        <v>224</v>
      </c>
      <c r="T4" s="3" t="s">
        <v>443</v>
      </c>
      <c r="U4" s="3" t="s">
        <v>444</v>
      </c>
      <c r="V4" s="26" t="s">
        <v>448</v>
      </c>
      <c r="X4" s="9"/>
      <c r="Y4" s="10"/>
      <c r="Z4" s="10"/>
      <c r="AA4" s="11"/>
      <c r="AH4" s="9"/>
      <c r="AI4" s="9"/>
      <c r="AJ4" s="9"/>
      <c r="AK4" s="9"/>
      <c r="AL4" s="25"/>
      <c r="AM4" s="9"/>
    </row>
    <row r="5" spans="1:39" ht="15.75" customHeight="1">
      <c r="A5" s="33">
        <v>1</v>
      </c>
      <c r="B5" s="66" t="s">
        <v>230</v>
      </c>
      <c r="C5" s="317" t="s">
        <v>88</v>
      </c>
      <c r="D5" s="43" t="s">
        <v>232</v>
      </c>
      <c r="E5" s="33">
        <v>58</v>
      </c>
      <c r="F5" s="33">
        <v>33.536585365853661</v>
      </c>
      <c r="G5" s="33">
        <f>0.0543*E5^2.579</f>
        <v>1917.2582931058187</v>
      </c>
      <c r="H5" s="211">
        <f>SUM(G5:G37)/1000/0.025</f>
        <v>1627.8559184232065</v>
      </c>
      <c r="I5" s="75">
        <f>AVERAGE(F5:F37)</f>
        <v>23.68810051736881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X5" s="9"/>
      <c r="Y5" s="12"/>
      <c r="Z5" s="12"/>
      <c r="AA5" s="13"/>
      <c r="AH5" s="9"/>
      <c r="AI5" s="9"/>
      <c r="AJ5" s="9"/>
      <c r="AK5" s="9"/>
      <c r="AL5" s="25"/>
      <c r="AM5" s="9"/>
    </row>
    <row r="6" spans="1:39" ht="15.75" customHeight="1">
      <c r="A6" s="33">
        <v>2</v>
      </c>
      <c r="B6" s="66" t="s">
        <v>230</v>
      </c>
      <c r="C6" s="317" t="s">
        <v>88</v>
      </c>
      <c r="D6" s="43" t="s">
        <v>232</v>
      </c>
      <c r="E6" s="33">
        <v>68</v>
      </c>
      <c r="F6" s="33">
        <v>32.012195121951223</v>
      </c>
      <c r="G6" s="33">
        <f t="shared" ref="G6:G37" si="0">0.0543*E6^2.579</f>
        <v>2889.6172116192351</v>
      </c>
      <c r="H6" s="43"/>
      <c r="J6" s="24" t="s">
        <v>459</v>
      </c>
      <c r="Q6" s="24" t="s">
        <v>449</v>
      </c>
      <c r="X6" s="9"/>
      <c r="Y6" s="12"/>
      <c r="Z6" s="12"/>
      <c r="AA6" s="14"/>
      <c r="AH6" s="9"/>
      <c r="AI6" s="9"/>
      <c r="AJ6" s="9"/>
      <c r="AK6" s="9"/>
      <c r="AL6" s="25"/>
      <c r="AM6" s="9"/>
    </row>
    <row r="7" spans="1:39" ht="15.75" customHeight="1">
      <c r="A7" s="33">
        <v>3</v>
      </c>
      <c r="B7" s="66" t="s">
        <v>268</v>
      </c>
      <c r="C7" s="318" t="s">
        <v>171</v>
      </c>
      <c r="D7" s="325" t="s">
        <v>241</v>
      </c>
      <c r="E7" s="33">
        <v>47</v>
      </c>
      <c r="F7" s="33">
        <v>24.390243902439025</v>
      </c>
      <c r="G7" s="33">
        <f t="shared" si="0"/>
        <v>1114.654324289058</v>
      </c>
      <c r="H7" s="43"/>
      <c r="X7" s="9">
        <v>6</v>
      </c>
      <c r="Y7" s="12"/>
      <c r="Z7" s="15"/>
      <c r="AA7" s="16"/>
      <c r="AB7" s="18">
        <v>7</v>
      </c>
      <c r="AH7" s="9"/>
      <c r="AI7" s="9"/>
      <c r="AJ7" s="9"/>
      <c r="AK7" s="9"/>
      <c r="AL7" s="25"/>
      <c r="AM7" s="9"/>
    </row>
    <row r="8" spans="1:39" ht="15.75" customHeight="1">
      <c r="A8" s="33">
        <v>4</v>
      </c>
      <c r="B8" s="66" t="s">
        <v>230</v>
      </c>
      <c r="C8" s="317" t="s">
        <v>88</v>
      </c>
      <c r="D8" s="43" t="s">
        <v>232</v>
      </c>
      <c r="E8" s="33">
        <v>53</v>
      </c>
      <c r="F8" s="33">
        <v>24.390243902439025</v>
      </c>
      <c r="G8" s="33">
        <f t="shared" si="0"/>
        <v>1519.5230671755387</v>
      </c>
      <c r="H8" s="43"/>
      <c r="J8" s="338"/>
      <c r="K8" s="338"/>
      <c r="M8" s="338"/>
      <c r="N8" s="338"/>
      <c r="Q8" s="27" t="s">
        <v>442</v>
      </c>
      <c r="R8" s="3" t="s">
        <v>224</v>
      </c>
      <c r="S8" s="27" t="s">
        <v>450</v>
      </c>
      <c r="T8" s="27" t="s">
        <v>448</v>
      </c>
      <c r="X8" s="9"/>
      <c r="Y8" s="12">
        <v>1</v>
      </c>
      <c r="Z8" s="9"/>
      <c r="AA8" s="14"/>
      <c r="AH8" s="9"/>
      <c r="AI8" s="9"/>
      <c r="AJ8" s="9"/>
      <c r="AK8" s="9"/>
      <c r="AL8" s="25"/>
      <c r="AM8" s="9"/>
    </row>
    <row r="9" spans="1:39" ht="15.75" customHeight="1">
      <c r="A9" s="33">
        <v>5</v>
      </c>
      <c r="B9" s="66" t="s">
        <v>229</v>
      </c>
      <c r="C9" s="317" t="s">
        <v>160</v>
      </c>
      <c r="D9" s="96" t="s">
        <v>720</v>
      </c>
      <c r="E9" s="33">
        <v>36</v>
      </c>
      <c r="F9" s="33">
        <v>16.463414634146343</v>
      </c>
      <c r="G9" s="33">
        <f t="shared" si="0"/>
        <v>560.40755187418995</v>
      </c>
      <c r="H9" s="43"/>
      <c r="J9" s="338"/>
      <c r="K9" s="338"/>
      <c r="M9" s="338"/>
      <c r="N9" s="338"/>
      <c r="O9" s="338"/>
      <c r="P9" s="36"/>
      <c r="Q9" s="66" t="s">
        <v>305</v>
      </c>
      <c r="R9" s="33" t="s">
        <v>121</v>
      </c>
      <c r="S9" s="37">
        <v>1</v>
      </c>
      <c r="T9" s="33"/>
      <c r="X9" s="9"/>
      <c r="Y9" s="12"/>
      <c r="Z9" s="9"/>
      <c r="AA9" s="14"/>
      <c r="AH9" s="9"/>
      <c r="AI9" s="9"/>
      <c r="AJ9" s="9"/>
      <c r="AK9" s="9"/>
      <c r="AL9" s="25"/>
      <c r="AM9" s="9"/>
    </row>
    <row r="10" spans="1:39" ht="15.75" customHeight="1">
      <c r="A10" s="33">
        <v>6</v>
      </c>
      <c r="B10" s="66" t="s">
        <v>250</v>
      </c>
      <c r="C10" s="317" t="s">
        <v>94</v>
      </c>
      <c r="D10" s="43" t="s">
        <v>241</v>
      </c>
      <c r="E10" s="33">
        <v>27</v>
      </c>
      <c r="F10" s="33">
        <v>15.24390243902439</v>
      </c>
      <c r="G10" s="33">
        <f t="shared" si="0"/>
        <v>266.86214798310266</v>
      </c>
      <c r="H10" s="43"/>
      <c r="P10" s="36"/>
      <c r="Q10" s="66" t="s">
        <v>242</v>
      </c>
      <c r="R10" s="33" t="s">
        <v>98</v>
      </c>
      <c r="S10" s="37">
        <v>1</v>
      </c>
      <c r="T10" s="33"/>
      <c r="X10" s="9"/>
      <c r="Y10" s="12"/>
      <c r="Z10" s="9"/>
      <c r="AA10" s="14"/>
      <c r="AH10" s="9"/>
      <c r="AI10" s="9"/>
      <c r="AJ10" s="9"/>
      <c r="AK10" s="9"/>
      <c r="AL10" s="25"/>
      <c r="AM10" s="9"/>
    </row>
    <row r="11" spans="1:39" ht="15.75" customHeight="1">
      <c r="A11" s="33">
        <v>7</v>
      </c>
      <c r="B11" s="66" t="s">
        <v>230</v>
      </c>
      <c r="C11" s="317" t="s">
        <v>88</v>
      </c>
      <c r="D11" s="43" t="s">
        <v>232</v>
      </c>
      <c r="E11" s="33">
        <v>63</v>
      </c>
      <c r="F11" s="33">
        <v>26.829268292682929</v>
      </c>
      <c r="G11" s="33">
        <f t="shared" si="0"/>
        <v>2373.007477063672</v>
      </c>
      <c r="H11" s="43"/>
      <c r="P11" s="36"/>
      <c r="Q11" s="66" t="s">
        <v>270</v>
      </c>
      <c r="R11" s="40" t="s">
        <v>96</v>
      </c>
      <c r="S11" s="37">
        <v>1</v>
      </c>
      <c r="T11" s="33"/>
      <c r="X11" s="9">
        <v>4</v>
      </c>
      <c r="Y11" s="15"/>
      <c r="Z11" s="17"/>
      <c r="AA11" s="16"/>
      <c r="AB11" s="18">
        <v>5</v>
      </c>
      <c r="AH11" s="9"/>
      <c r="AI11" s="9"/>
      <c r="AJ11" s="9"/>
      <c r="AK11" s="9"/>
      <c r="AL11" s="25"/>
      <c r="AM11" s="9"/>
    </row>
    <row r="12" spans="1:39" ht="15.75" customHeight="1">
      <c r="A12" s="33">
        <v>8</v>
      </c>
      <c r="B12" s="66" t="s">
        <v>305</v>
      </c>
      <c r="C12" s="317" t="s">
        <v>121</v>
      </c>
      <c r="D12" s="43" t="s">
        <v>720</v>
      </c>
      <c r="E12" s="33">
        <v>30</v>
      </c>
      <c r="F12" s="33">
        <v>18.292682926829269</v>
      </c>
      <c r="G12" s="33">
        <f t="shared" si="0"/>
        <v>350.18339230333765</v>
      </c>
      <c r="H12" s="43"/>
      <c r="P12" s="36"/>
      <c r="Q12" s="37"/>
      <c r="R12" s="37"/>
      <c r="S12" s="37"/>
      <c r="T12" s="33"/>
      <c r="Y12" s="1">
        <v>9</v>
      </c>
      <c r="AH12" s="9"/>
      <c r="AI12" s="9"/>
      <c r="AJ12" s="9"/>
      <c r="AK12" s="9"/>
      <c r="AL12" s="9"/>
      <c r="AM12" s="9"/>
    </row>
    <row r="13" spans="1:39" ht="15.75" customHeight="1">
      <c r="A13" s="33">
        <v>9</v>
      </c>
      <c r="B13" s="66" t="s">
        <v>230</v>
      </c>
      <c r="C13" s="317" t="s">
        <v>88</v>
      </c>
      <c r="D13" s="43" t="s">
        <v>232</v>
      </c>
      <c r="E13" s="33">
        <v>64</v>
      </c>
      <c r="F13" s="33">
        <v>26.829268292682929</v>
      </c>
      <c r="G13" s="33">
        <f t="shared" si="0"/>
        <v>2471.3712065591867</v>
      </c>
      <c r="H13" s="43"/>
      <c r="P13" s="36"/>
      <c r="Q13" s="37" t="s">
        <v>366</v>
      </c>
      <c r="R13" s="33"/>
      <c r="S13" s="37" t="s">
        <v>367</v>
      </c>
      <c r="T13" s="37" t="s">
        <v>368</v>
      </c>
      <c r="AH13" s="9"/>
      <c r="AI13" s="9"/>
      <c r="AJ13" s="9"/>
      <c r="AK13" s="9"/>
      <c r="AL13" s="9"/>
      <c r="AM13" s="9"/>
    </row>
    <row r="14" spans="1:39" ht="15.75" customHeight="1">
      <c r="A14" s="33">
        <v>10</v>
      </c>
      <c r="B14" s="66" t="s">
        <v>245</v>
      </c>
      <c r="C14" s="317" t="s">
        <v>118</v>
      </c>
      <c r="D14" s="325" t="s">
        <v>241</v>
      </c>
      <c r="E14" s="33">
        <v>37</v>
      </c>
      <c r="F14" s="33">
        <v>19.207317073170731</v>
      </c>
      <c r="G14" s="33">
        <f t="shared" si="0"/>
        <v>601.4396781402761</v>
      </c>
      <c r="H14" s="43"/>
      <c r="Q14" s="24" t="s">
        <v>451</v>
      </c>
      <c r="X14" s="338" t="s">
        <v>496</v>
      </c>
      <c r="Y14" s="338"/>
      <c r="Z14" s="338"/>
      <c r="AA14" s="338"/>
    </row>
    <row r="15" spans="1:39" ht="15.75" customHeight="1">
      <c r="A15" s="33">
        <v>11</v>
      </c>
      <c r="B15" s="66" t="s">
        <v>236</v>
      </c>
      <c r="C15" s="317" t="s">
        <v>90</v>
      </c>
      <c r="D15" s="43" t="s">
        <v>238</v>
      </c>
      <c r="E15" s="33">
        <v>58</v>
      </c>
      <c r="F15" s="33">
        <v>29.878048780487806</v>
      </c>
      <c r="G15" s="33">
        <f t="shared" si="0"/>
        <v>1917.2582931058187</v>
      </c>
      <c r="H15" s="43"/>
      <c r="Q15" s="24" t="s">
        <v>452</v>
      </c>
      <c r="X15" s="338" t="s">
        <v>497</v>
      </c>
      <c r="Y15" s="338"/>
      <c r="Z15" s="338"/>
      <c r="AA15" s="338"/>
    </row>
    <row r="16" spans="1:39" ht="15.75" customHeight="1">
      <c r="A16" s="33">
        <v>12</v>
      </c>
      <c r="B16" s="66" t="s">
        <v>230</v>
      </c>
      <c r="C16" s="317" t="s">
        <v>88</v>
      </c>
      <c r="D16" s="43" t="s">
        <v>232</v>
      </c>
      <c r="E16" s="33">
        <v>54</v>
      </c>
      <c r="F16" s="33">
        <v>31.402439024390247</v>
      </c>
      <c r="G16" s="33">
        <f t="shared" si="0"/>
        <v>1594.5690714042569</v>
      </c>
      <c r="H16" s="43"/>
      <c r="X16" s="338" t="s">
        <v>498</v>
      </c>
      <c r="Y16" s="338"/>
      <c r="Z16" s="338"/>
      <c r="AA16" s="338"/>
    </row>
    <row r="17" spans="1:27" ht="15.75" customHeight="1">
      <c r="A17" s="33">
        <v>13</v>
      </c>
      <c r="B17" s="66" t="s">
        <v>264</v>
      </c>
      <c r="C17" s="317" t="s">
        <v>93</v>
      </c>
      <c r="D17" s="43" t="s">
        <v>719</v>
      </c>
      <c r="E17" s="33">
        <v>45</v>
      </c>
      <c r="F17" s="33">
        <v>25</v>
      </c>
      <c r="G17" s="33">
        <f t="shared" si="0"/>
        <v>996.4027158786098</v>
      </c>
      <c r="H17" s="43"/>
      <c r="X17" s="338" t="s">
        <v>499</v>
      </c>
      <c r="Y17" s="338"/>
      <c r="Z17" s="338"/>
      <c r="AA17" s="338"/>
    </row>
    <row r="18" spans="1:27" ht="15.75" customHeight="1">
      <c r="A18" s="33">
        <v>14</v>
      </c>
      <c r="B18" s="66" t="s">
        <v>265</v>
      </c>
      <c r="C18" s="317" t="s">
        <v>169</v>
      </c>
      <c r="D18" s="325" t="s">
        <v>267</v>
      </c>
      <c r="E18" s="33">
        <v>37</v>
      </c>
      <c r="F18" s="33">
        <v>25.914634146341466</v>
      </c>
      <c r="G18" s="33">
        <f t="shared" si="0"/>
        <v>601.4396781402761</v>
      </c>
      <c r="H18" s="43"/>
      <c r="L18" s="1" t="s">
        <v>500</v>
      </c>
      <c r="X18" s="338" t="s">
        <v>501</v>
      </c>
      <c r="Y18" s="338"/>
      <c r="Z18" s="338"/>
      <c r="AA18" s="338"/>
    </row>
    <row r="19" spans="1:27" ht="15.75" customHeight="1">
      <c r="A19" s="33">
        <v>15</v>
      </c>
      <c r="B19" s="66" t="s">
        <v>229</v>
      </c>
      <c r="C19" s="317" t="s">
        <v>164</v>
      </c>
      <c r="D19" s="96" t="s">
        <v>720</v>
      </c>
      <c r="E19" s="33">
        <v>45</v>
      </c>
      <c r="F19" s="33">
        <v>23.780487804878049</v>
      </c>
      <c r="G19" s="33">
        <f t="shared" si="0"/>
        <v>996.4027158786098</v>
      </c>
      <c r="H19" s="43"/>
      <c r="X19" s="338" t="s">
        <v>502</v>
      </c>
      <c r="Y19" s="338"/>
      <c r="Z19" s="338"/>
      <c r="AA19" s="338"/>
    </row>
    <row r="20" spans="1:27" ht="15.75" customHeight="1">
      <c r="A20" s="33">
        <v>16</v>
      </c>
      <c r="B20" s="66" t="s">
        <v>258</v>
      </c>
      <c r="C20" s="317" t="s">
        <v>119</v>
      </c>
      <c r="D20" s="325" t="s">
        <v>238</v>
      </c>
      <c r="E20" s="33">
        <v>23</v>
      </c>
      <c r="F20" s="33">
        <v>15.548780487804878</v>
      </c>
      <c r="G20" s="33">
        <f t="shared" si="0"/>
        <v>176.48017212699972</v>
      </c>
      <c r="H20" s="43"/>
      <c r="X20" s="338" t="s">
        <v>503</v>
      </c>
      <c r="Y20" s="338"/>
      <c r="Z20" s="338"/>
      <c r="AA20" s="338"/>
    </row>
    <row r="21" spans="1:27" ht="17.25" customHeight="1">
      <c r="A21" s="33">
        <v>17</v>
      </c>
      <c r="B21" s="77" t="s">
        <v>309</v>
      </c>
      <c r="C21" s="317"/>
      <c r="D21" s="317"/>
      <c r="E21" s="33">
        <v>20</v>
      </c>
      <c r="F21" s="33">
        <v>12.804878048780489</v>
      </c>
      <c r="G21" s="33">
        <f t="shared" si="0"/>
        <v>123.07113006706489</v>
      </c>
      <c r="H21" s="43"/>
      <c r="X21" s="338" t="s">
        <v>504</v>
      </c>
      <c r="Y21" s="338"/>
      <c r="Z21" s="338"/>
      <c r="AA21" s="338"/>
    </row>
    <row r="22" spans="1:27" ht="15.75" customHeight="1">
      <c r="A22" s="33">
        <v>18</v>
      </c>
      <c r="B22" s="66" t="s">
        <v>265</v>
      </c>
      <c r="C22" s="317" t="s">
        <v>137</v>
      </c>
      <c r="D22" s="325" t="s">
        <v>267</v>
      </c>
      <c r="E22" s="33">
        <v>54</v>
      </c>
      <c r="F22" s="33">
        <v>23.170731707317074</v>
      </c>
      <c r="G22" s="33">
        <f t="shared" si="0"/>
        <v>1594.5690714042569</v>
      </c>
      <c r="H22" s="43"/>
      <c r="X22" s="338" t="s">
        <v>505</v>
      </c>
      <c r="Y22" s="338"/>
      <c r="Z22" s="338"/>
      <c r="AA22" s="338"/>
    </row>
    <row r="23" spans="1:27" ht="15.75" customHeight="1">
      <c r="A23" s="33">
        <v>19</v>
      </c>
      <c r="B23" s="66" t="s">
        <v>273</v>
      </c>
      <c r="C23" s="317" t="s">
        <v>101</v>
      </c>
      <c r="D23" s="326" t="s">
        <v>267</v>
      </c>
      <c r="E23" s="33">
        <v>37</v>
      </c>
      <c r="F23" s="33">
        <v>19.207317073170731</v>
      </c>
      <c r="G23" s="33">
        <f t="shared" si="0"/>
        <v>601.4396781402761</v>
      </c>
      <c r="H23" s="43"/>
    </row>
    <row r="24" spans="1:27" ht="15.75" customHeight="1">
      <c r="A24" s="33">
        <v>20</v>
      </c>
      <c r="B24" s="66" t="s">
        <v>230</v>
      </c>
      <c r="C24" s="317" t="s">
        <v>88</v>
      </c>
      <c r="D24" s="43" t="s">
        <v>232</v>
      </c>
      <c r="E24" s="33">
        <v>70</v>
      </c>
      <c r="F24" s="33">
        <v>26.829268292682929</v>
      </c>
      <c r="G24" s="33">
        <f t="shared" si="0"/>
        <v>3113.9216054423669</v>
      </c>
      <c r="H24" s="43"/>
    </row>
    <row r="25" spans="1:27" ht="15.75" customHeight="1">
      <c r="A25" s="33">
        <v>21</v>
      </c>
      <c r="B25" s="66" t="s">
        <v>230</v>
      </c>
      <c r="C25" s="317" t="s">
        <v>88</v>
      </c>
      <c r="D25" s="43" t="s">
        <v>232</v>
      </c>
      <c r="E25" s="33">
        <v>32</v>
      </c>
      <c r="F25" s="33">
        <v>18.902439024390244</v>
      </c>
      <c r="G25" s="33">
        <f t="shared" si="0"/>
        <v>413.60104148086589</v>
      </c>
      <c r="H25" s="43"/>
    </row>
    <row r="26" spans="1:27" ht="15.75" customHeight="1">
      <c r="A26" s="33">
        <v>22</v>
      </c>
      <c r="B26" s="66" t="s">
        <v>230</v>
      </c>
      <c r="C26" s="317" t="s">
        <v>88</v>
      </c>
      <c r="D26" s="43" t="s">
        <v>232</v>
      </c>
      <c r="E26" s="33">
        <v>63</v>
      </c>
      <c r="F26" s="33">
        <v>29.26829268292683</v>
      </c>
      <c r="G26" s="33">
        <f t="shared" si="0"/>
        <v>2373.007477063672</v>
      </c>
      <c r="H26" s="43"/>
    </row>
    <row r="27" spans="1:27" ht="15.75" customHeight="1">
      <c r="A27" s="33">
        <v>23</v>
      </c>
      <c r="B27" s="66" t="s">
        <v>258</v>
      </c>
      <c r="C27" s="317" t="s">
        <v>119</v>
      </c>
      <c r="D27" s="325" t="s">
        <v>238</v>
      </c>
      <c r="E27" s="33">
        <v>23</v>
      </c>
      <c r="F27" s="33">
        <v>25.304878048780488</v>
      </c>
      <c r="G27" s="33">
        <f t="shared" si="0"/>
        <v>176.48017212699972</v>
      </c>
      <c r="H27" s="43"/>
    </row>
    <row r="28" spans="1:27" ht="15.75" customHeight="1">
      <c r="A28" s="33">
        <v>24</v>
      </c>
      <c r="B28" s="66" t="s">
        <v>258</v>
      </c>
      <c r="C28" s="317" t="s">
        <v>119</v>
      </c>
      <c r="D28" s="325" t="s">
        <v>238</v>
      </c>
      <c r="E28" s="33">
        <v>26</v>
      </c>
      <c r="F28" s="33">
        <v>25.609756097560979</v>
      </c>
      <c r="G28" s="33">
        <f t="shared" si="0"/>
        <v>242.11187664507929</v>
      </c>
      <c r="H28" s="43"/>
    </row>
    <row r="29" spans="1:27" ht="15.75">
      <c r="A29" s="33">
        <v>25</v>
      </c>
      <c r="B29" s="66" t="s">
        <v>253</v>
      </c>
      <c r="C29" s="317" t="s">
        <v>122</v>
      </c>
      <c r="D29" s="96" t="s">
        <v>255</v>
      </c>
      <c r="E29" s="33">
        <v>42</v>
      </c>
      <c r="F29" s="33">
        <v>26.524390243902442</v>
      </c>
      <c r="G29" s="33">
        <f t="shared" si="0"/>
        <v>833.98789970839402</v>
      </c>
      <c r="H29" s="43"/>
    </row>
    <row r="30" spans="1:27" ht="15.75" customHeight="1">
      <c r="A30" s="33">
        <v>26</v>
      </c>
      <c r="B30" s="66" t="s">
        <v>268</v>
      </c>
      <c r="C30" s="317" t="s">
        <v>163</v>
      </c>
      <c r="D30" s="325" t="s">
        <v>241</v>
      </c>
      <c r="E30" s="33">
        <v>41</v>
      </c>
      <c r="F30" s="33">
        <v>22.256097560975611</v>
      </c>
      <c r="G30" s="33">
        <f t="shared" si="0"/>
        <v>783.73527821042649</v>
      </c>
      <c r="H30" s="43"/>
    </row>
    <row r="31" spans="1:27" ht="15.75" customHeight="1">
      <c r="A31" s="33">
        <v>27</v>
      </c>
      <c r="B31" s="66" t="s">
        <v>230</v>
      </c>
      <c r="C31" s="317" t="s">
        <v>88</v>
      </c>
      <c r="D31" s="43" t="s">
        <v>232</v>
      </c>
      <c r="E31" s="33">
        <v>63</v>
      </c>
      <c r="F31" s="33">
        <v>24.390243902439025</v>
      </c>
      <c r="G31" s="33">
        <f t="shared" si="0"/>
        <v>2373.007477063672</v>
      </c>
      <c r="H31" s="43"/>
    </row>
    <row r="32" spans="1:27" ht="15.75" customHeight="1">
      <c r="A32" s="33">
        <v>28</v>
      </c>
      <c r="B32" s="66" t="s">
        <v>230</v>
      </c>
      <c r="C32" s="316" t="s">
        <v>88</v>
      </c>
      <c r="D32" s="43" t="s">
        <v>232</v>
      </c>
      <c r="E32" s="33">
        <v>63</v>
      </c>
      <c r="F32" s="33">
        <v>29.878048780487806</v>
      </c>
      <c r="G32" s="33">
        <f t="shared" si="0"/>
        <v>2373.007477063672</v>
      </c>
      <c r="H32" s="43"/>
    </row>
    <row r="33" spans="1:8" ht="15.75" customHeight="1">
      <c r="A33" s="33">
        <v>29</v>
      </c>
      <c r="B33" s="66" t="s">
        <v>270</v>
      </c>
      <c r="C33" s="316" t="s">
        <v>96</v>
      </c>
      <c r="D33" s="43" t="s">
        <v>271</v>
      </c>
      <c r="E33" s="33">
        <v>67</v>
      </c>
      <c r="F33" s="33">
        <v>25.304878048780488</v>
      </c>
      <c r="G33" s="33">
        <f t="shared" si="0"/>
        <v>2781.2930191849741</v>
      </c>
      <c r="H33" s="43"/>
    </row>
    <row r="34" spans="1:8" ht="15.75">
      <c r="A34" s="33">
        <v>30</v>
      </c>
      <c r="B34" s="66" t="s">
        <v>253</v>
      </c>
      <c r="C34" s="316" t="s">
        <v>122</v>
      </c>
      <c r="D34" s="96" t="s">
        <v>255</v>
      </c>
      <c r="E34" s="33">
        <v>35</v>
      </c>
      <c r="F34" s="33">
        <v>18.597560975609756</v>
      </c>
      <c r="G34" s="33">
        <f t="shared" si="0"/>
        <v>521.13628890815676</v>
      </c>
      <c r="H34" s="43"/>
    </row>
    <row r="35" spans="1:8" ht="15.75" customHeight="1">
      <c r="A35" s="33">
        <v>31</v>
      </c>
      <c r="B35" s="66" t="s">
        <v>277</v>
      </c>
      <c r="C35" s="316" t="s">
        <v>190</v>
      </c>
      <c r="D35" s="43" t="s">
        <v>727</v>
      </c>
      <c r="E35" s="33">
        <v>27</v>
      </c>
      <c r="F35" s="33">
        <v>22.865853658536587</v>
      </c>
      <c r="G35" s="33">
        <f t="shared" si="0"/>
        <v>266.86214798310266</v>
      </c>
      <c r="H35" s="43"/>
    </row>
    <row r="36" spans="1:8" ht="15.75" customHeight="1">
      <c r="A36" s="33">
        <v>32</v>
      </c>
      <c r="B36" s="66" t="s">
        <v>301</v>
      </c>
      <c r="C36" s="316" t="s">
        <v>172</v>
      </c>
      <c r="D36" s="43" t="s">
        <v>241</v>
      </c>
      <c r="E36" s="33">
        <v>37</v>
      </c>
      <c r="F36" s="33">
        <v>23.170731707317074</v>
      </c>
      <c r="G36" s="33">
        <f t="shared" si="0"/>
        <v>601.4396781402761</v>
      </c>
      <c r="H36" s="43"/>
    </row>
    <row r="37" spans="1:8" ht="16.5" customHeight="1">
      <c r="A37" s="33">
        <v>33</v>
      </c>
      <c r="B37" s="77" t="s">
        <v>309</v>
      </c>
      <c r="C37" s="33"/>
      <c r="D37" s="33"/>
      <c r="E37" s="33">
        <v>48</v>
      </c>
      <c r="F37" s="33">
        <v>18.902439024390244</v>
      </c>
      <c r="G37" s="33">
        <f t="shared" si="0"/>
        <v>1176.8496452989223</v>
      </c>
      <c r="H37" s="43"/>
    </row>
    <row r="38" spans="1:8" ht="15" customHeight="1">
      <c r="A38" s="340" t="s">
        <v>463</v>
      </c>
      <c r="B38" s="340"/>
      <c r="C38" s="340"/>
      <c r="D38" s="340"/>
      <c r="E38" s="340"/>
      <c r="F38" s="340"/>
      <c r="G38" s="33"/>
    </row>
    <row r="39" spans="1:8">
      <c r="C39" s="1" t="s">
        <v>781</v>
      </c>
      <c r="D39" s="1">
        <f>COUNTIF(D4:D36,D32)</f>
        <v>11</v>
      </c>
      <c r="E39" s="1">
        <v>33.33</v>
      </c>
    </row>
  </sheetData>
  <autoFilter ref="A4:O38"/>
  <mergeCells count="21">
    <mergeCell ref="A38:F38"/>
    <mergeCell ref="J1:N1"/>
    <mergeCell ref="Y1:AA1"/>
    <mergeCell ref="X14:AA14"/>
    <mergeCell ref="X15:AA15"/>
    <mergeCell ref="X16:AA16"/>
    <mergeCell ref="X17:AA17"/>
    <mergeCell ref="X18:AA18"/>
    <mergeCell ref="X19:AA19"/>
    <mergeCell ref="X20:AA20"/>
    <mergeCell ref="X21:AA21"/>
    <mergeCell ref="X22:AA22"/>
    <mergeCell ref="J8:K8"/>
    <mergeCell ref="M8:N8"/>
    <mergeCell ref="J9:K9"/>
    <mergeCell ref="M9:O9"/>
    <mergeCell ref="E1:G1"/>
    <mergeCell ref="E2:G2"/>
    <mergeCell ref="J2:K2"/>
    <mergeCell ref="M2:O2"/>
    <mergeCell ref="A1:C1"/>
  </mergeCells>
  <pageMargins left="0.7" right="0.7" top="0.75" bottom="0.75" header="0.3" footer="0.3"/>
  <pageSetup paperSize="9"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J31"/>
  <sheetViews>
    <sheetView zoomScaleNormal="100" workbookViewId="0">
      <selection activeCell="P5" sqref="P5"/>
    </sheetView>
  </sheetViews>
  <sheetFormatPr defaultRowHeight="15"/>
  <cols>
    <col min="1" max="1" width="8.28515625" style="1" customWidth="1"/>
    <col min="2" max="2" width="13.28515625" style="1" customWidth="1"/>
    <col min="3" max="3" width="22.7109375" style="1" bestFit="1" customWidth="1"/>
    <col min="4" max="4" width="15" style="1" customWidth="1"/>
    <col min="5" max="6" width="9.140625" style="1"/>
    <col min="7" max="7" width="12.140625" style="1" bestFit="1" customWidth="1"/>
    <col min="8" max="8" width="13.5703125" style="1" bestFit="1" customWidth="1"/>
    <col min="9" max="9" width="11.28515625" style="1" bestFit="1" customWidth="1"/>
    <col min="10" max="10" width="9.140625" style="1" customWidth="1"/>
    <col min="11" max="11" width="13.140625" style="1" customWidth="1"/>
    <col min="12" max="12" width="21.7109375" style="1" customWidth="1"/>
    <col min="13" max="13" width="17.7109375" style="1" customWidth="1"/>
    <col min="14" max="14" width="15.140625" style="1" customWidth="1"/>
    <col min="15" max="15" width="18.28515625" style="1" bestFit="1" customWidth="1"/>
    <col min="16" max="16" width="18.28515625" style="1" customWidth="1"/>
    <col min="17" max="17" width="14.85546875" style="1" customWidth="1"/>
    <col min="18" max="18" width="13.140625" style="1" customWidth="1"/>
    <col min="19" max="19" width="24" style="1" customWidth="1"/>
    <col min="20" max="20" width="11.85546875" style="1" customWidth="1"/>
    <col min="21" max="22" width="9.140625" style="1"/>
    <col min="23" max="23" width="13.85546875" style="1" customWidth="1"/>
    <col min="24" max="16384" width="9.140625" style="1"/>
  </cols>
  <sheetData>
    <row r="1" spans="1:36">
      <c r="A1" s="338" t="s">
        <v>506</v>
      </c>
      <c r="B1" s="338"/>
      <c r="C1" s="338"/>
      <c r="D1" s="324"/>
      <c r="E1" s="338" t="s">
        <v>507</v>
      </c>
      <c r="F1" s="338"/>
      <c r="G1" s="338"/>
      <c r="H1" s="286"/>
      <c r="J1" s="338" t="s">
        <v>508</v>
      </c>
      <c r="K1" s="338"/>
      <c r="L1" s="338"/>
      <c r="M1" s="338"/>
      <c r="N1" s="338"/>
      <c r="S1" s="2" t="s">
        <v>509</v>
      </c>
      <c r="U1" s="338"/>
      <c r="V1" s="338"/>
      <c r="Z1" s="338" t="s">
        <v>438</v>
      </c>
      <c r="AA1" s="338"/>
      <c r="AB1" s="338"/>
    </row>
    <row r="2" spans="1:36">
      <c r="A2" s="2" t="s">
        <v>510</v>
      </c>
      <c r="B2" s="2"/>
      <c r="E2" s="338" t="s">
        <v>440</v>
      </c>
      <c r="F2" s="338"/>
      <c r="G2" s="338"/>
      <c r="H2" s="286"/>
      <c r="J2" s="338"/>
      <c r="K2" s="338"/>
      <c r="M2" s="338"/>
      <c r="N2" s="338"/>
      <c r="O2" s="338"/>
      <c r="P2" s="286"/>
      <c r="R2" s="338"/>
      <c r="S2" s="338"/>
      <c r="U2" s="338"/>
      <c r="V2" s="338"/>
      <c r="W2" s="338"/>
    </row>
    <row r="3" spans="1:36">
      <c r="Y3" s="1">
        <v>2</v>
      </c>
      <c r="Z3" s="1">
        <v>8</v>
      </c>
      <c r="AB3" s="1">
        <v>3</v>
      </c>
      <c r="AF3" s="9"/>
      <c r="AG3" s="9"/>
      <c r="AH3" s="9"/>
      <c r="AI3" s="9"/>
      <c r="AJ3" s="9"/>
    </row>
    <row r="4" spans="1:36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511</v>
      </c>
      <c r="H4" s="213" t="s">
        <v>4</v>
      </c>
      <c r="I4" s="1" t="s">
        <v>769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26" t="s">
        <v>445</v>
      </c>
      <c r="P4" s="210" t="s">
        <v>4</v>
      </c>
      <c r="R4" s="3" t="s">
        <v>441</v>
      </c>
      <c r="S4" s="3" t="s">
        <v>442</v>
      </c>
      <c r="T4" s="26" t="s">
        <v>224</v>
      </c>
      <c r="U4" s="3" t="s">
        <v>443</v>
      </c>
      <c r="V4" s="3" t="s">
        <v>444</v>
      </c>
      <c r="W4" s="26" t="s">
        <v>448</v>
      </c>
      <c r="Y4" s="9"/>
      <c r="Z4" s="10"/>
      <c r="AA4" s="10"/>
      <c r="AB4" s="11"/>
      <c r="AF4" s="9"/>
      <c r="AG4" s="9"/>
      <c r="AH4" s="9"/>
      <c r="AI4" s="9"/>
      <c r="AJ4" s="25"/>
    </row>
    <row r="5" spans="1:36">
      <c r="A5" s="33">
        <v>1</v>
      </c>
      <c r="B5" s="66" t="s">
        <v>230</v>
      </c>
      <c r="C5" s="40" t="s">
        <v>88</v>
      </c>
      <c r="D5" s="43" t="s">
        <v>232</v>
      </c>
      <c r="E5" s="33">
        <v>46</v>
      </c>
      <c r="F5" s="33">
        <v>18.902439024390244</v>
      </c>
      <c r="G5" s="33">
        <f>0.0543*E5^2.579</f>
        <v>1054.5138241472591</v>
      </c>
      <c r="H5" s="211">
        <f>SUM(G5:G28)/1000/0.025</f>
        <v>824.64295478678889</v>
      </c>
      <c r="I5" s="75">
        <f>AVERAGE(F5:F28)</f>
        <v>19.004065040650406</v>
      </c>
      <c r="J5" s="6">
        <v>25</v>
      </c>
      <c r="K5" s="67" t="s">
        <v>334</v>
      </c>
      <c r="L5" s="6" t="s">
        <v>326</v>
      </c>
      <c r="M5" s="6">
        <v>10</v>
      </c>
      <c r="N5" s="4">
        <v>5.4878048780487809</v>
      </c>
      <c r="O5" s="47">
        <f>0.0543*M5^2.579</f>
        <v>20.596803684070956</v>
      </c>
      <c r="P5" s="214">
        <f>O5/1000/0.0625</f>
        <v>0.3295488589451353</v>
      </c>
      <c r="R5" s="37">
        <v>26</v>
      </c>
      <c r="S5" s="71" t="s">
        <v>334</v>
      </c>
      <c r="T5" s="33" t="s">
        <v>326</v>
      </c>
      <c r="U5" s="37">
        <v>7</v>
      </c>
      <c r="V5" s="33">
        <v>8.536585365853659</v>
      </c>
      <c r="W5" s="33"/>
      <c r="Y5" s="9"/>
      <c r="Z5" s="12"/>
      <c r="AA5" s="12"/>
      <c r="AB5" s="13"/>
      <c r="AF5" s="9"/>
      <c r="AG5" s="9"/>
      <c r="AH5" s="9"/>
      <c r="AI5" s="9"/>
      <c r="AJ5" s="25"/>
    </row>
    <row r="6" spans="1:36">
      <c r="A6" s="33">
        <v>2</v>
      </c>
      <c r="B6" s="66" t="s">
        <v>230</v>
      </c>
      <c r="C6" s="40" t="s">
        <v>88</v>
      </c>
      <c r="D6" s="43" t="s">
        <v>232</v>
      </c>
      <c r="E6" s="33">
        <v>52</v>
      </c>
      <c r="F6" s="33">
        <v>20.426829268292686</v>
      </c>
      <c r="G6" s="33">
        <f t="shared" ref="G6:G29" si="0">0.0543*E6^2.579</f>
        <v>1446.679917836572</v>
      </c>
      <c r="H6" s="43"/>
      <c r="J6" s="24" t="s">
        <v>459</v>
      </c>
      <c r="R6" s="37">
        <v>27</v>
      </c>
      <c r="S6" s="66" t="s">
        <v>264</v>
      </c>
      <c r="T6" s="33" t="s">
        <v>93</v>
      </c>
      <c r="U6" s="37">
        <v>5</v>
      </c>
      <c r="V6" s="33">
        <v>3.6585365853658538</v>
      </c>
      <c r="W6" s="33"/>
      <c r="Y6" s="9"/>
      <c r="Z6" s="12"/>
      <c r="AA6" s="12"/>
      <c r="AB6" s="14"/>
      <c r="AF6" s="9"/>
      <c r="AG6" s="9"/>
      <c r="AH6" s="9"/>
      <c r="AI6" s="9"/>
      <c r="AJ6" s="25"/>
    </row>
    <row r="7" spans="1:36">
      <c r="A7" s="33">
        <v>3</v>
      </c>
      <c r="B7" s="66" t="s">
        <v>230</v>
      </c>
      <c r="C7" s="40" t="s">
        <v>88</v>
      </c>
      <c r="D7" s="43" t="s">
        <v>232</v>
      </c>
      <c r="E7" s="33">
        <v>36</v>
      </c>
      <c r="F7" s="33">
        <v>18.292682926829269</v>
      </c>
      <c r="G7" s="33">
        <f t="shared" si="0"/>
        <v>560.40755187418995</v>
      </c>
      <c r="H7" s="43"/>
      <c r="R7" s="24" t="s">
        <v>449</v>
      </c>
      <c r="Y7" s="9">
        <v>6</v>
      </c>
      <c r="Z7" s="12"/>
      <c r="AA7" s="15"/>
      <c r="AB7" s="16"/>
      <c r="AC7" s="18">
        <v>7</v>
      </c>
      <c r="AF7" s="9"/>
      <c r="AG7" s="9"/>
      <c r="AH7" s="9"/>
      <c r="AI7" s="9"/>
      <c r="AJ7" s="25"/>
    </row>
    <row r="8" spans="1:36">
      <c r="A8" s="33">
        <v>4</v>
      </c>
      <c r="B8" s="66" t="s">
        <v>230</v>
      </c>
      <c r="C8" s="40" t="s">
        <v>88</v>
      </c>
      <c r="D8" s="43" t="s">
        <v>232</v>
      </c>
      <c r="E8" s="33">
        <v>43</v>
      </c>
      <c r="F8" s="33">
        <v>22.256097560975611</v>
      </c>
      <c r="G8" s="33">
        <f t="shared" si="0"/>
        <v>886.16578232166205</v>
      </c>
      <c r="H8" s="43"/>
      <c r="Y8" s="9"/>
      <c r="Z8" s="12">
        <v>1</v>
      </c>
      <c r="AA8" s="9"/>
      <c r="AB8" s="14"/>
      <c r="AF8" s="9"/>
      <c r="AG8" s="9"/>
      <c r="AH8" s="9"/>
      <c r="AI8" s="9"/>
      <c r="AJ8" s="25"/>
    </row>
    <row r="9" spans="1:36">
      <c r="A9" s="33">
        <v>5</v>
      </c>
      <c r="B9" s="66" t="s">
        <v>230</v>
      </c>
      <c r="C9" s="40" t="s">
        <v>88</v>
      </c>
      <c r="D9" s="43" t="s">
        <v>232</v>
      </c>
      <c r="E9" s="33">
        <v>48</v>
      </c>
      <c r="F9" s="33">
        <v>21.341463414634148</v>
      </c>
      <c r="G9" s="33">
        <f t="shared" si="0"/>
        <v>1176.8496452989223</v>
      </c>
      <c r="H9" s="43"/>
      <c r="Y9" s="9"/>
      <c r="Z9" s="12"/>
      <c r="AA9" s="9"/>
      <c r="AB9" s="14"/>
      <c r="AF9" s="9"/>
      <c r="AG9" s="9"/>
      <c r="AH9" s="9"/>
      <c r="AI9" s="9"/>
      <c r="AJ9" s="25"/>
    </row>
    <row r="10" spans="1:36">
      <c r="A10" s="33">
        <v>6</v>
      </c>
      <c r="B10" s="66" t="s">
        <v>242</v>
      </c>
      <c r="C10" s="33" t="s">
        <v>98</v>
      </c>
      <c r="D10" s="325" t="s">
        <v>241</v>
      </c>
      <c r="E10" s="33">
        <v>29</v>
      </c>
      <c r="F10" s="33">
        <v>14.02439024390244</v>
      </c>
      <c r="G10" s="33">
        <f t="shared" si="0"/>
        <v>320.86641808877988</v>
      </c>
      <c r="H10" s="43"/>
      <c r="R10" s="27" t="s">
        <v>442</v>
      </c>
      <c r="S10" s="3" t="s">
        <v>224</v>
      </c>
      <c r="T10" s="27" t="s">
        <v>450</v>
      </c>
      <c r="U10" s="27" t="s">
        <v>448</v>
      </c>
      <c r="Y10" s="9"/>
      <c r="Z10" s="12"/>
      <c r="AA10" s="9"/>
      <c r="AB10" s="14"/>
      <c r="AF10" s="9"/>
      <c r="AG10" s="9"/>
      <c r="AH10" s="9"/>
      <c r="AI10" s="9"/>
      <c r="AJ10" s="25"/>
    </row>
    <row r="11" spans="1:36">
      <c r="A11" s="33">
        <v>7</v>
      </c>
      <c r="B11" s="66" t="s">
        <v>242</v>
      </c>
      <c r="C11" s="33" t="s">
        <v>98</v>
      </c>
      <c r="D11" s="325" t="s">
        <v>241</v>
      </c>
      <c r="E11" s="33">
        <v>26</v>
      </c>
      <c r="F11" s="33">
        <v>14.329268292682928</v>
      </c>
      <c r="G11" s="33">
        <f t="shared" si="0"/>
        <v>242.11187664507929</v>
      </c>
      <c r="H11" s="43"/>
      <c r="R11" s="67" t="s">
        <v>334</v>
      </c>
      <c r="S11" s="4" t="s">
        <v>326</v>
      </c>
      <c r="T11" s="6">
        <v>1</v>
      </c>
      <c r="U11" s="4"/>
      <c r="Y11" s="9">
        <v>4</v>
      </c>
      <c r="Z11" s="15"/>
      <c r="AA11" s="17"/>
      <c r="AB11" s="16"/>
      <c r="AC11" s="18">
        <v>5</v>
      </c>
      <c r="AF11" s="9"/>
      <c r="AG11" s="9"/>
      <c r="AH11" s="9"/>
      <c r="AI11" s="9"/>
      <c r="AJ11" s="25"/>
    </row>
    <row r="12" spans="1:36">
      <c r="A12" s="33">
        <v>8</v>
      </c>
      <c r="B12" s="66" t="s">
        <v>230</v>
      </c>
      <c r="C12" s="40" t="s">
        <v>88</v>
      </c>
      <c r="D12" s="43" t="s">
        <v>232</v>
      </c>
      <c r="E12" s="33">
        <v>48</v>
      </c>
      <c r="F12" s="33">
        <v>23.780487804878049</v>
      </c>
      <c r="G12" s="33">
        <f t="shared" si="0"/>
        <v>1176.8496452989223</v>
      </c>
      <c r="H12" s="43"/>
      <c r="Q12" s="38"/>
      <c r="R12" s="66" t="s">
        <v>242</v>
      </c>
      <c r="S12" s="33" t="s">
        <v>98</v>
      </c>
      <c r="T12" s="37">
        <v>6</v>
      </c>
      <c r="U12" s="33"/>
      <c r="Z12" s="1">
        <v>9</v>
      </c>
      <c r="AF12" s="9"/>
      <c r="AG12" s="9"/>
      <c r="AH12" s="9"/>
      <c r="AI12" s="9"/>
      <c r="AJ12" s="25"/>
    </row>
    <row r="13" spans="1:36">
      <c r="A13" s="33">
        <v>9</v>
      </c>
      <c r="B13" s="66" t="s">
        <v>264</v>
      </c>
      <c r="C13" s="33" t="s">
        <v>93</v>
      </c>
      <c r="D13" s="43" t="s">
        <v>719</v>
      </c>
      <c r="E13" s="33">
        <v>26</v>
      </c>
      <c r="F13" s="33">
        <v>11.585365853658537</v>
      </c>
      <c r="G13" s="33">
        <f t="shared" si="0"/>
        <v>242.11187664507929</v>
      </c>
      <c r="H13" s="43"/>
      <c r="Q13" s="38"/>
      <c r="R13" s="66" t="s">
        <v>270</v>
      </c>
      <c r="S13" s="40" t="s">
        <v>96</v>
      </c>
      <c r="T13" s="37">
        <v>3</v>
      </c>
      <c r="U13" s="33"/>
      <c r="AF13" s="9"/>
      <c r="AG13" s="9"/>
      <c r="AH13" s="9"/>
      <c r="AI13" s="9"/>
      <c r="AJ13" s="9"/>
    </row>
    <row r="14" spans="1:36">
      <c r="A14" s="33">
        <v>10</v>
      </c>
      <c r="B14" s="78" t="s">
        <v>311</v>
      </c>
      <c r="C14" s="114" t="s">
        <v>194</v>
      </c>
      <c r="D14" s="43" t="s">
        <v>725</v>
      </c>
      <c r="E14" s="33">
        <v>25</v>
      </c>
      <c r="F14" s="33">
        <v>19.207317073170731</v>
      </c>
      <c r="G14" s="33">
        <f t="shared" si="0"/>
        <v>218.82004950676119</v>
      </c>
      <c r="H14" s="43"/>
      <c r="Q14" s="38"/>
      <c r="R14" s="66" t="s">
        <v>250</v>
      </c>
      <c r="S14" s="40" t="s">
        <v>94</v>
      </c>
      <c r="T14" s="37">
        <v>2</v>
      </c>
      <c r="U14" s="33"/>
      <c r="Y14" s="338" t="s">
        <v>512</v>
      </c>
      <c r="Z14" s="338"/>
      <c r="AA14" s="338"/>
      <c r="AB14" s="338"/>
    </row>
    <row r="15" spans="1:36">
      <c r="A15" s="33">
        <v>11</v>
      </c>
      <c r="B15" s="66" t="s">
        <v>250</v>
      </c>
      <c r="C15" s="40" t="s">
        <v>94</v>
      </c>
      <c r="D15" s="43" t="s">
        <v>241</v>
      </c>
      <c r="E15" s="33">
        <v>30</v>
      </c>
      <c r="F15" s="33">
        <v>10.670731707317074</v>
      </c>
      <c r="G15" s="33">
        <f t="shared" si="0"/>
        <v>350.18339230333765</v>
      </c>
      <c r="H15" s="43"/>
      <c r="Q15" s="38"/>
      <c r="R15" s="68" t="s">
        <v>297</v>
      </c>
      <c r="S15" s="33" t="s">
        <v>209</v>
      </c>
      <c r="T15" s="37">
        <v>1</v>
      </c>
      <c r="U15" s="33"/>
      <c r="Y15" s="338" t="s">
        <v>513</v>
      </c>
      <c r="Z15" s="338"/>
      <c r="AA15" s="338"/>
      <c r="AB15" s="338"/>
    </row>
    <row r="16" spans="1:36">
      <c r="A16" s="33">
        <v>12</v>
      </c>
      <c r="B16" s="66" t="s">
        <v>230</v>
      </c>
      <c r="C16" s="40" t="s">
        <v>88</v>
      </c>
      <c r="D16" s="43" t="s">
        <v>232</v>
      </c>
      <c r="E16" s="33">
        <v>61</v>
      </c>
      <c r="F16" s="33">
        <v>21.036585365853661</v>
      </c>
      <c r="G16" s="33">
        <f t="shared" si="0"/>
        <v>2183.5617300226813</v>
      </c>
      <c r="H16" s="43"/>
      <c r="L16" s="43"/>
      <c r="M16" s="44"/>
      <c r="Q16" s="38"/>
      <c r="R16" s="68" t="s">
        <v>288</v>
      </c>
      <c r="S16" s="33" t="s">
        <v>370</v>
      </c>
      <c r="T16" s="37">
        <v>1</v>
      </c>
      <c r="U16" s="33"/>
      <c r="Y16" s="338" t="s">
        <v>514</v>
      </c>
      <c r="Z16" s="338"/>
      <c r="AA16" s="338"/>
      <c r="AB16" s="338"/>
    </row>
    <row r="17" spans="1:28">
      <c r="A17" s="33">
        <v>13</v>
      </c>
      <c r="B17" s="66" t="s">
        <v>230</v>
      </c>
      <c r="C17" s="40" t="s">
        <v>88</v>
      </c>
      <c r="D17" s="43" t="s">
        <v>232</v>
      </c>
      <c r="E17" s="33">
        <v>32</v>
      </c>
      <c r="F17" s="33">
        <v>18.292682926829269</v>
      </c>
      <c r="G17" s="33">
        <f t="shared" si="0"/>
        <v>413.60104148086589</v>
      </c>
      <c r="H17" s="43"/>
      <c r="Q17" s="38"/>
      <c r="R17" s="37" t="s">
        <v>371</v>
      </c>
      <c r="S17" s="33"/>
      <c r="T17" s="37" t="s">
        <v>372</v>
      </c>
      <c r="U17" s="37" t="s">
        <v>373</v>
      </c>
      <c r="Y17" s="338" t="s">
        <v>515</v>
      </c>
      <c r="Z17" s="338"/>
      <c r="AA17" s="338"/>
      <c r="AB17" s="338"/>
    </row>
    <row r="18" spans="1:28">
      <c r="A18" s="33">
        <v>14</v>
      </c>
      <c r="B18" s="66" t="s">
        <v>230</v>
      </c>
      <c r="C18" s="40" t="s">
        <v>88</v>
      </c>
      <c r="D18" s="43" t="s">
        <v>232</v>
      </c>
      <c r="E18" s="33">
        <v>46</v>
      </c>
      <c r="F18" s="33">
        <v>17.682926829268293</v>
      </c>
      <c r="G18" s="33">
        <f t="shared" si="0"/>
        <v>1054.5138241472591</v>
      </c>
      <c r="H18" s="43"/>
      <c r="R18" s="24" t="s">
        <v>451</v>
      </c>
      <c r="Y18" s="338" t="s">
        <v>516</v>
      </c>
      <c r="Z18" s="338"/>
      <c r="AA18" s="338"/>
      <c r="AB18" s="338"/>
    </row>
    <row r="19" spans="1:28">
      <c r="A19" s="33">
        <v>15</v>
      </c>
      <c r="B19" s="66" t="s">
        <v>242</v>
      </c>
      <c r="C19" s="33" t="s">
        <v>98</v>
      </c>
      <c r="D19" s="325" t="s">
        <v>241</v>
      </c>
      <c r="E19" s="33">
        <v>30</v>
      </c>
      <c r="F19" s="33">
        <v>15.548780487804878</v>
      </c>
      <c r="G19" s="33">
        <f t="shared" si="0"/>
        <v>350.18339230333765</v>
      </c>
      <c r="H19" s="43"/>
      <c r="R19" s="24" t="s">
        <v>452</v>
      </c>
      <c r="Y19" s="338" t="s">
        <v>517</v>
      </c>
      <c r="Z19" s="338"/>
      <c r="AA19" s="338"/>
      <c r="AB19" s="338"/>
    </row>
    <row r="20" spans="1:28">
      <c r="A20" s="33">
        <v>16</v>
      </c>
      <c r="B20" s="66" t="s">
        <v>236</v>
      </c>
      <c r="C20" s="40" t="s">
        <v>90</v>
      </c>
      <c r="D20" s="43" t="s">
        <v>238</v>
      </c>
      <c r="E20" s="33">
        <v>47</v>
      </c>
      <c r="F20" s="33">
        <v>21.951219512195124</v>
      </c>
      <c r="G20" s="33">
        <f t="shared" si="0"/>
        <v>1114.654324289058</v>
      </c>
      <c r="H20" s="43"/>
      <c r="Y20" s="338" t="s">
        <v>518</v>
      </c>
      <c r="Z20" s="338"/>
      <c r="AA20" s="338"/>
      <c r="AB20" s="338"/>
    </row>
    <row r="21" spans="1:28">
      <c r="A21" s="33">
        <v>17</v>
      </c>
      <c r="B21" s="66" t="s">
        <v>242</v>
      </c>
      <c r="C21" s="33" t="s">
        <v>98</v>
      </c>
      <c r="D21" s="325" t="s">
        <v>241</v>
      </c>
      <c r="E21" s="33">
        <v>28</v>
      </c>
      <c r="F21" s="33">
        <v>11.585365853658537</v>
      </c>
      <c r="G21" s="33">
        <f t="shared" si="0"/>
        <v>293.10308694040185</v>
      </c>
      <c r="H21" s="43"/>
      <c r="Y21" s="338" t="s">
        <v>519</v>
      </c>
      <c r="Z21" s="338"/>
      <c r="AA21" s="338"/>
      <c r="AB21" s="338"/>
    </row>
    <row r="22" spans="1:28">
      <c r="A22" s="33">
        <v>18</v>
      </c>
      <c r="B22" s="66" t="s">
        <v>236</v>
      </c>
      <c r="C22" s="40" t="s">
        <v>90</v>
      </c>
      <c r="D22" s="43" t="s">
        <v>238</v>
      </c>
      <c r="E22" s="33">
        <v>39</v>
      </c>
      <c r="F22" s="33">
        <v>21.951219512195124</v>
      </c>
      <c r="G22" s="33">
        <f t="shared" si="0"/>
        <v>688.89883626078586</v>
      </c>
      <c r="H22" s="43"/>
      <c r="Y22" s="338" t="s">
        <v>520</v>
      </c>
      <c r="Z22" s="338"/>
      <c r="AA22" s="338"/>
      <c r="AB22" s="338"/>
    </row>
    <row r="23" spans="1:28">
      <c r="A23" s="33">
        <v>19</v>
      </c>
      <c r="B23" s="66" t="s">
        <v>230</v>
      </c>
      <c r="C23" s="40" t="s">
        <v>88</v>
      </c>
      <c r="D23" s="43" t="s">
        <v>232</v>
      </c>
      <c r="E23" s="33">
        <v>55</v>
      </c>
      <c r="F23" s="33">
        <v>19.81707317073171</v>
      </c>
      <c r="G23" s="33">
        <f t="shared" si="0"/>
        <v>1671.8419015293216</v>
      </c>
      <c r="H23" s="43"/>
    </row>
    <row r="24" spans="1:28">
      <c r="A24" s="33">
        <v>20</v>
      </c>
      <c r="B24" s="66" t="s">
        <v>230</v>
      </c>
      <c r="C24" s="40" t="s">
        <v>88</v>
      </c>
      <c r="D24" s="43" t="s">
        <v>232</v>
      </c>
      <c r="E24" s="33">
        <v>42</v>
      </c>
      <c r="F24" s="33">
        <v>22.560975609756099</v>
      </c>
      <c r="G24" s="33">
        <f t="shared" si="0"/>
        <v>833.98789970839402</v>
      </c>
      <c r="H24" s="43"/>
    </row>
    <row r="25" spans="1:28">
      <c r="A25" s="33">
        <v>21</v>
      </c>
      <c r="B25" s="66" t="s">
        <v>264</v>
      </c>
      <c r="C25" s="33" t="s">
        <v>93</v>
      </c>
      <c r="D25" s="43" t="s">
        <v>719</v>
      </c>
      <c r="E25" s="33">
        <v>55</v>
      </c>
      <c r="F25" s="33">
        <v>23.170731707317074</v>
      </c>
      <c r="G25" s="33">
        <f t="shared" si="0"/>
        <v>1671.8419015293216</v>
      </c>
      <c r="H25" s="43"/>
    </row>
    <row r="26" spans="1:28">
      <c r="A26" s="33">
        <v>22</v>
      </c>
      <c r="B26" s="66" t="s">
        <v>230</v>
      </c>
      <c r="C26" s="40" t="s">
        <v>88</v>
      </c>
      <c r="D26" s="43" t="s">
        <v>232</v>
      </c>
      <c r="E26" s="33">
        <v>44</v>
      </c>
      <c r="F26" s="33">
        <v>19.81707317073171</v>
      </c>
      <c r="G26" s="33">
        <f t="shared" si="0"/>
        <v>940.29533664065059</v>
      </c>
      <c r="H26" s="43"/>
    </row>
    <row r="27" spans="1:28">
      <c r="A27" s="33">
        <v>23</v>
      </c>
      <c r="B27" s="66" t="s">
        <v>253</v>
      </c>
      <c r="C27" s="40" t="s">
        <v>122</v>
      </c>
      <c r="D27" s="96" t="s">
        <v>255</v>
      </c>
      <c r="E27" s="33">
        <v>44</v>
      </c>
      <c r="F27" s="33">
        <v>23.780487804878049</v>
      </c>
      <c r="G27" s="33">
        <f t="shared" si="0"/>
        <v>940.29533664065059</v>
      </c>
      <c r="H27" s="43"/>
    </row>
    <row r="28" spans="1:28">
      <c r="A28" s="33">
        <v>24</v>
      </c>
      <c r="B28" s="66" t="s">
        <v>230</v>
      </c>
      <c r="C28" s="40" t="s">
        <v>88</v>
      </c>
      <c r="D28" s="43" t="s">
        <v>232</v>
      </c>
      <c r="E28" s="33">
        <v>41</v>
      </c>
      <c r="F28" s="33">
        <v>24.085365853658537</v>
      </c>
      <c r="G28" s="33">
        <f t="shared" si="0"/>
        <v>783.73527821042649</v>
      </c>
      <c r="H28" s="43"/>
    </row>
    <row r="29" spans="1:28">
      <c r="A29" s="340" t="s">
        <v>463</v>
      </c>
      <c r="B29" s="340"/>
      <c r="C29" s="340"/>
      <c r="D29" s="340"/>
      <c r="E29" s="340"/>
      <c r="F29" s="340"/>
      <c r="G29" s="33">
        <f t="shared" si="0"/>
        <v>0</v>
      </c>
    </row>
    <row r="31" spans="1:28">
      <c r="C31" s="1" t="s">
        <v>781</v>
      </c>
      <c r="D31" s="1">
        <f>COUNTIF(D4:D28,D26)</f>
        <v>13</v>
      </c>
      <c r="E31" s="1">
        <v>54.16</v>
      </c>
    </row>
  </sheetData>
  <autoFilter ref="A4:P29"/>
  <mergeCells count="20">
    <mergeCell ref="A1:C1"/>
    <mergeCell ref="J1:N1"/>
    <mergeCell ref="A29:F29"/>
    <mergeCell ref="Z1:AB1"/>
    <mergeCell ref="Y14:AB14"/>
    <mergeCell ref="Y15:AB15"/>
    <mergeCell ref="Y16:AB16"/>
    <mergeCell ref="Y17:AB17"/>
    <mergeCell ref="Y18:AB18"/>
    <mergeCell ref="Y19:AB19"/>
    <mergeCell ref="Y20:AB20"/>
    <mergeCell ref="Y21:AB21"/>
    <mergeCell ref="Y22:AB22"/>
    <mergeCell ref="U1:V1"/>
    <mergeCell ref="R2:S2"/>
    <mergeCell ref="U2:W2"/>
    <mergeCell ref="E1:G1"/>
    <mergeCell ref="E2:G2"/>
    <mergeCell ref="J2:K2"/>
    <mergeCell ref="M2:O2"/>
  </mergeCells>
  <pageMargins left="0.7" right="0.7" top="0.75" bottom="0.75" header="0.3" footer="0.3"/>
  <pageSetup paperSize="9"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I43"/>
  <sheetViews>
    <sheetView topLeftCell="A2" zoomScale="85" zoomScaleNormal="85" workbookViewId="0">
      <selection activeCell="P6" sqref="P6"/>
    </sheetView>
  </sheetViews>
  <sheetFormatPr defaultRowHeight="15"/>
  <cols>
    <col min="1" max="1" width="9.140625" style="1"/>
    <col min="2" max="2" width="17.28515625" style="1" customWidth="1"/>
    <col min="3" max="3" width="22.7109375" style="1" bestFit="1" customWidth="1"/>
    <col min="4" max="4" width="17.85546875" style="1" bestFit="1" customWidth="1"/>
    <col min="5" max="5" width="9.140625" style="1"/>
    <col min="6" max="6" width="12.7109375" style="1" customWidth="1"/>
    <col min="7" max="7" width="12.28515625" style="1" bestFit="1" customWidth="1"/>
    <col min="8" max="8" width="13.5703125" style="1" bestFit="1" customWidth="1"/>
    <col min="9" max="10" width="9.140625" style="1"/>
    <col min="11" max="11" width="15" style="1" customWidth="1"/>
    <col min="12" max="12" width="12.28515625" style="1" customWidth="1"/>
    <col min="13" max="13" width="9.140625" style="1"/>
    <col min="14" max="14" width="14" style="1" customWidth="1"/>
    <col min="15" max="16" width="17.85546875" style="1" customWidth="1"/>
    <col min="17" max="17" width="14.28515625" style="1" customWidth="1"/>
    <col min="18" max="16384" width="9.140625" style="1"/>
  </cols>
  <sheetData>
    <row r="1" spans="1:35">
      <c r="A1" s="338" t="s">
        <v>521</v>
      </c>
      <c r="B1" s="338"/>
      <c r="C1" s="338"/>
      <c r="D1" s="324"/>
      <c r="E1" s="338" t="s">
        <v>507</v>
      </c>
      <c r="F1" s="338"/>
      <c r="G1" s="338"/>
      <c r="H1" s="286"/>
      <c r="J1" s="338" t="s">
        <v>522</v>
      </c>
      <c r="K1" s="338"/>
      <c r="L1" s="338"/>
      <c r="M1" s="338"/>
      <c r="N1" s="338"/>
      <c r="R1" s="2" t="s">
        <v>523</v>
      </c>
      <c r="Z1" s="338" t="s">
        <v>438</v>
      </c>
      <c r="AA1" s="338"/>
      <c r="AB1" s="338"/>
    </row>
    <row r="2" spans="1:35">
      <c r="A2" s="2" t="s">
        <v>510</v>
      </c>
      <c r="B2" s="2"/>
      <c r="E2" s="338" t="s">
        <v>440</v>
      </c>
      <c r="F2" s="338"/>
      <c r="G2" s="338"/>
      <c r="H2" s="286"/>
      <c r="J2" s="338"/>
      <c r="K2" s="338"/>
      <c r="M2" s="338"/>
      <c r="N2" s="338"/>
      <c r="O2" s="338"/>
      <c r="P2" s="286"/>
    </row>
    <row r="3" spans="1:35">
      <c r="Y3" s="1">
        <v>2</v>
      </c>
      <c r="Z3" s="1">
        <v>8</v>
      </c>
      <c r="AB3" s="1">
        <v>3</v>
      </c>
      <c r="AE3" s="9"/>
      <c r="AF3" s="9"/>
      <c r="AG3" s="9"/>
      <c r="AH3" s="9"/>
      <c r="AI3" s="25"/>
    </row>
    <row r="4" spans="1:35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445</v>
      </c>
      <c r="H4" s="213" t="s">
        <v>4</v>
      </c>
      <c r="I4" s="1" t="s">
        <v>769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26" t="s">
        <v>445</v>
      </c>
      <c r="P4" s="210" t="s">
        <v>4</v>
      </c>
      <c r="R4" s="3" t="s">
        <v>441</v>
      </c>
      <c r="S4" s="3" t="s">
        <v>442</v>
      </c>
      <c r="T4" s="26" t="s">
        <v>224</v>
      </c>
      <c r="U4" s="3" t="s">
        <v>443</v>
      </c>
      <c r="V4" s="3" t="s">
        <v>444</v>
      </c>
      <c r="W4" s="26" t="s">
        <v>448</v>
      </c>
      <c r="Y4" s="9"/>
      <c r="Z4" s="10"/>
      <c r="AA4" s="10"/>
      <c r="AB4" s="11"/>
      <c r="AE4" s="9"/>
      <c r="AF4" s="9"/>
      <c r="AG4" s="9"/>
      <c r="AH4" s="9"/>
      <c r="AI4" s="25"/>
    </row>
    <row r="5" spans="1:35">
      <c r="A5" s="37">
        <v>1</v>
      </c>
      <c r="B5" s="69" t="s">
        <v>302</v>
      </c>
      <c r="C5" s="33" t="s">
        <v>198</v>
      </c>
      <c r="D5" s="43" t="s">
        <v>724</v>
      </c>
      <c r="E5" s="37">
        <v>39</v>
      </c>
      <c r="F5" s="37">
        <v>21.951219512195124</v>
      </c>
      <c r="G5" s="33">
        <f>0.0543*E5^2.579</f>
        <v>688.89883626078586</v>
      </c>
      <c r="H5" s="211">
        <f>SUM(G5:G40)/1000/0.025</f>
        <v>1610.2477113832472</v>
      </c>
      <c r="I5" s="75">
        <f>AVERAGE(F5:F40)</f>
        <v>21.790311653116529</v>
      </c>
      <c r="J5" s="8">
        <v>37</v>
      </c>
      <c r="K5" s="66" t="s">
        <v>264</v>
      </c>
      <c r="L5" s="33" t="s">
        <v>93</v>
      </c>
      <c r="M5" s="8">
        <v>10</v>
      </c>
      <c r="N5" s="7">
        <v>4.5731707317073171</v>
      </c>
      <c r="O5" s="149">
        <f>0.0543*M5^2.579</f>
        <v>20.596803684070956</v>
      </c>
      <c r="P5" s="215">
        <f>O5/1000/0.0625</f>
        <v>0.3295488589451353</v>
      </c>
      <c r="R5" s="37">
        <v>38</v>
      </c>
      <c r="S5" s="66" t="s">
        <v>264</v>
      </c>
      <c r="T5" s="33" t="s">
        <v>93</v>
      </c>
      <c r="U5" s="37">
        <v>7</v>
      </c>
      <c r="V5" s="33">
        <v>3.6585365853658538</v>
      </c>
      <c r="W5" s="33"/>
      <c r="Y5" s="9"/>
      <c r="Z5" s="12"/>
      <c r="AA5" s="12"/>
      <c r="AB5" s="13"/>
      <c r="AE5" s="9"/>
      <c r="AF5" s="9"/>
      <c r="AG5" s="9"/>
      <c r="AH5" s="9"/>
      <c r="AI5" s="25"/>
    </row>
    <row r="6" spans="1:35">
      <c r="A6" s="37">
        <v>2</v>
      </c>
      <c r="B6" s="69" t="s">
        <v>250</v>
      </c>
      <c r="C6" s="40" t="s">
        <v>94</v>
      </c>
      <c r="D6" s="43" t="s">
        <v>241</v>
      </c>
      <c r="E6" s="37">
        <v>29</v>
      </c>
      <c r="F6" s="37">
        <v>20.731707317073173</v>
      </c>
      <c r="G6" s="33">
        <f t="shared" ref="G6:G41" si="0">0.0543*E6^2.579</f>
        <v>320.86641808877988</v>
      </c>
      <c r="H6" s="43"/>
      <c r="J6" s="24" t="s">
        <v>459</v>
      </c>
      <c r="R6" s="24" t="s">
        <v>449</v>
      </c>
      <c r="Y6" s="9"/>
      <c r="Z6" s="12"/>
      <c r="AA6" s="12"/>
      <c r="AB6" s="14"/>
      <c r="AE6" s="9"/>
      <c r="AF6" s="9"/>
      <c r="AG6" s="9"/>
      <c r="AH6" s="9"/>
      <c r="AI6" s="25"/>
    </row>
    <row r="7" spans="1:35">
      <c r="A7" s="37">
        <v>3</v>
      </c>
      <c r="B7" s="69" t="s">
        <v>260</v>
      </c>
      <c r="C7" s="40" t="s">
        <v>120</v>
      </c>
      <c r="D7" s="325" t="s">
        <v>722</v>
      </c>
      <c r="E7" s="37">
        <v>56</v>
      </c>
      <c r="F7" s="37">
        <v>21.341463414634148</v>
      </c>
      <c r="G7" s="33">
        <f t="shared" si="0"/>
        <v>1751.3653423709684</v>
      </c>
      <c r="H7" s="43"/>
      <c r="Y7" s="9">
        <v>6</v>
      </c>
      <c r="Z7" s="12"/>
      <c r="AA7" s="15"/>
      <c r="AB7" s="16"/>
      <c r="AC7" s="18">
        <v>7</v>
      </c>
      <c r="AE7" s="9"/>
      <c r="AF7" s="9"/>
      <c r="AG7" s="9"/>
      <c r="AH7" s="9"/>
      <c r="AI7" s="25"/>
    </row>
    <row r="8" spans="1:35">
      <c r="A8" s="37">
        <v>4</v>
      </c>
      <c r="B8" s="69" t="s">
        <v>230</v>
      </c>
      <c r="C8" s="40" t="s">
        <v>88</v>
      </c>
      <c r="D8" s="43" t="s">
        <v>232</v>
      </c>
      <c r="E8" s="37">
        <v>77</v>
      </c>
      <c r="F8" s="37">
        <v>25.304878048780488</v>
      </c>
      <c r="G8" s="33">
        <f t="shared" si="0"/>
        <v>3981.6163380276826</v>
      </c>
      <c r="H8" s="43"/>
      <c r="J8" s="338"/>
      <c r="K8" s="338"/>
      <c r="M8" s="338"/>
      <c r="N8" s="338"/>
      <c r="Y8" s="9"/>
      <c r="Z8" s="12">
        <v>1</v>
      </c>
      <c r="AA8" s="9"/>
      <c r="AB8" s="14"/>
      <c r="AE8" s="9"/>
      <c r="AF8" s="9"/>
      <c r="AG8" s="9"/>
      <c r="AH8" s="9"/>
      <c r="AI8" s="25"/>
    </row>
    <row r="9" spans="1:35">
      <c r="A9" s="37">
        <v>5</v>
      </c>
      <c r="B9" s="69" t="s">
        <v>242</v>
      </c>
      <c r="C9" s="33" t="s">
        <v>98</v>
      </c>
      <c r="D9" s="325" t="s">
        <v>241</v>
      </c>
      <c r="E9" s="37">
        <v>34</v>
      </c>
      <c r="F9" s="37">
        <v>20.426829268292686</v>
      </c>
      <c r="G9" s="33">
        <f t="shared" si="0"/>
        <v>483.5973993039749</v>
      </c>
      <c r="H9" s="43"/>
      <c r="J9" s="338"/>
      <c r="K9" s="338"/>
      <c r="M9" s="338"/>
      <c r="N9" s="338"/>
      <c r="O9" s="338"/>
      <c r="P9" s="286"/>
      <c r="R9" s="27" t="s">
        <v>442</v>
      </c>
      <c r="S9" s="3" t="s">
        <v>224</v>
      </c>
      <c r="T9" s="27" t="s">
        <v>450</v>
      </c>
      <c r="U9" s="27" t="s">
        <v>448</v>
      </c>
      <c r="Y9" s="9"/>
      <c r="Z9" s="12"/>
      <c r="AA9" s="9"/>
      <c r="AB9" s="14"/>
      <c r="AE9" s="9"/>
      <c r="AF9" s="9"/>
      <c r="AG9" s="9"/>
      <c r="AH9" s="9"/>
      <c r="AI9" s="25"/>
    </row>
    <row r="10" spans="1:35">
      <c r="A10" s="37">
        <v>6</v>
      </c>
      <c r="B10" s="69" t="s">
        <v>258</v>
      </c>
      <c r="C10" s="40" t="s">
        <v>119</v>
      </c>
      <c r="D10" s="325" t="s">
        <v>238</v>
      </c>
      <c r="E10" s="37">
        <v>45</v>
      </c>
      <c r="F10" s="37">
        <v>25.914634146341466</v>
      </c>
      <c r="G10" s="33">
        <f t="shared" si="0"/>
        <v>996.4027158786098</v>
      </c>
      <c r="H10" s="43"/>
      <c r="R10" s="4" t="s">
        <v>375</v>
      </c>
      <c r="S10" s="4"/>
      <c r="T10" s="4" t="s">
        <v>376</v>
      </c>
      <c r="U10" s="4" t="s">
        <v>377</v>
      </c>
      <c r="Y10" s="9"/>
      <c r="Z10" s="12"/>
      <c r="AA10" s="9"/>
      <c r="AB10" s="14"/>
      <c r="AE10" s="9"/>
      <c r="AF10" s="9"/>
      <c r="AG10" s="9"/>
      <c r="AH10" s="9"/>
      <c r="AI10" s="25"/>
    </row>
    <row r="11" spans="1:35">
      <c r="A11" s="37">
        <v>7</v>
      </c>
      <c r="B11" s="69" t="s">
        <v>295</v>
      </c>
      <c r="C11" s="33" t="s">
        <v>199</v>
      </c>
      <c r="D11" s="43" t="s">
        <v>241</v>
      </c>
      <c r="E11" s="37">
        <v>23</v>
      </c>
      <c r="F11" s="37">
        <v>3.6585365853658538</v>
      </c>
      <c r="G11" s="33">
        <f t="shared" si="0"/>
        <v>176.48017212699972</v>
      </c>
      <c r="H11" s="43"/>
      <c r="R11" s="24" t="s">
        <v>451</v>
      </c>
      <c r="Y11" s="9">
        <v>4</v>
      </c>
      <c r="Z11" s="15"/>
      <c r="AA11" s="17"/>
      <c r="AB11" s="16"/>
      <c r="AC11" s="18">
        <v>5</v>
      </c>
      <c r="AE11" s="9"/>
      <c r="AF11" s="9"/>
      <c r="AG11" s="9"/>
      <c r="AH11" s="9"/>
      <c r="AI11" s="25"/>
    </row>
    <row r="12" spans="1:35">
      <c r="A12" s="37">
        <v>8</v>
      </c>
      <c r="B12" s="69" t="s">
        <v>295</v>
      </c>
      <c r="C12" s="33" t="s">
        <v>199</v>
      </c>
      <c r="D12" s="43" t="s">
        <v>241</v>
      </c>
      <c r="E12" s="37">
        <v>30</v>
      </c>
      <c r="F12" s="37">
        <v>3.0487804878048781</v>
      </c>
      <c r="G12" s="33">
        <f t="shared" si="0"/>
        <v>350.18339230333765</v>
      </c>
      <c r="H12" s="43"/>
      <c r="R12" s="24" t="s">
        <v>452</v>
      </c>
      <c r="Z12" s="1">
        <v>9</v>
      </c>
      <c r="AE12" s="9"/>
      <c r="AF12" s="9"/>
      <c r="AG12" s="9"/>
      <c r="AH12" s="9"/>
      <c r="AI12" s="9"/>
    </row>
    <row r="13" spans="1:35">
      <c r="A13" s="37">
        <v>9</v>
      </c>
      <c r="B13" s="69" t="s">
        <v>264</v>
      </c>
      <c r="C13" s="33" t="s">
        <v>93</v>
      </c>
      <c r="D13" s="43" t="s">
        <v>719</v>
      </c>
      <c r="E13" s="37">
        <v>47</v>
      </c>
      <c r="F13" s="37">
        <v>24.695121951219512</v>
      </c>
      <c r="G13" s="33">
        <f t="shared" si="0"/>
        <v>1114.654324289058</v>
      </c>
      <c r="H13" s="43"/>
      <c r="AE13" s="9"/>
      <c r="AF13" s="9"/>
      <c r="AG13" s="9"/>
      <c r="AH13" s="9"/>
      <c r="AI13" s="9"/>
    </row>
    <row r="14" spans="1:35">
      <c r="A14" s="37">
        <v>10</v>
      </c>
      <c r="B14" s="69" t="s">
        <v>242</v>
      </c>
      <c r="C14" s="33" t="s">
        <v>98</v>
      </c>
      <c r="D14" s="325" t="s">
        <v>241</v>
      </c>
      <c r="E14" s="37">
        <v>39</v>
      </c>
      <c r="F14" s="37">
        <v>20.731707317073173</v>
      </c>
      <c r="G14" s="33">
        <f t="shared" si="0"/>
        <v>688.89883626078586</v>
      </c>
      <c r="H14" s="43"/>
      <c r="Y14" s="338" t="s">
        <v>524</v>
      </c>
      <c r="Z14" s="338"/>
      <c r="AA14" s="338"/>
      <c r="AB14" s="338"/>
    </row>
    <row r="15" spans="1:35">
      <c r="A15" s="37">
        <v>11</v>
      </c>
      <c r="B15" s="69" t="s">
        <v>253</v>
      </c>
      <c r="C15" s="40" t="s">
        <v>122</v>
      </c>
      <c r="D15" s="96" t="s">
        <v>255</v>
      </c>
      <c r="E15" s="37">
        <v>37</v>
      </c>
      <c r="F15" s="37">
        <v>22.256097560975611</v>
      </c>
      <c r="G15" s="33">
        <f t="shared" si="0"/>
        <v>601.4396781402761</v>
      </c>
      <c r="H15" s="43"/>
      <c r="Y15" s="338" t="s">
        <v>525</v>
      </c>
      <c r="Z15" s="338"/>
      <c r="AA15" s="338"/>
      <c r="AB15" s="338"/>
    </row>
    <row r="16" spans="1:35">
      <c r="A16" s="37">
        <v>12</v>
      </c>
      <c r="B16" s="69" t="s">
        <v>258</v>
      </c>
      <c r="C16" s="40" t="s">
        <v>119</v>
      </c>
      <c r="D16" s="325" t="s">
        <v>238</v>
      </c>
      <c r="E16" s="37">
        <v>26</v>
      </c>
      <c r="F16" s="37">
        <v>21.646341463414636</v>
      </c>
      <c r="G16" s="33">
        <f t="shared" si="0"/>
        <v>242.11187664507929</v>
      </c>
      <c r="H16" s="43"/>
      <c r="Y16" s="338" t="s">
        <v>526</v>
      </c>
      <c r="Z16" s="338"/>
      <c r="AA16" s="338"/>
      <c r="AB16" s="338"/>
    </row>
    <row r="17" spans="1:28">
      <c r="A17" s="37">
        <v>13</v>
      </c>
      <c r="B17" s="69" t="s">
        <v>265</v>
      </c>
      <c r="C17" s="33" t="s">
        <v>137</v>
      </c>
      <c r="D17" s="325" t="s">
        <v>267</v>
      </c>
      <c r="E17" s="37">
        <v>49</v>
      </c>
      <c r="F17" s="37">
        <v>24.390243902439025</v>
      </c>
      <c r="G17" s="33">
        <f t="shared" si="0"/>
        <v>1241.1249893651739</v>
      </c>
      <c r="H17" s="43"/>
      <c r="Y17" s="338" t="s">
        <v>527</v>
      </c>
      <c r="Z17" s="338"/>
      <c r="AA17" s="338"/>
      <c r="AB17" s="338"/>
    </row>
    <row r="18" spans="1:28">
      <c r="A18" s="37">
        <v>14</v>
      </c>
      <c r="B18" s="69" t="s">
        <v>302</v>
      </c>
      <c r="C18" s="114" t="s">
        <v>198</v>
      </c>
      <c r="D18" s="43" t="s">
        <v>724</v>
      </c>
      <c r="E18" s="37">
        <v>45</v>
      </c>
      <c r="F18" s="37">
        <v>25</v>
      </c>
      <c r="G18" s="33">
        <f t="shared" si="0"/>
        <v>996.4027158786098</v>
      </c>
      <c r="H18" s="43"/>
      <c r="Y18" s="338" t="s">
        <v>528</v>
      </c>
      <c r="Z18" s="338"/>
      <c r="AA18" s="338"/>
      <c r="AB18" s="338"/>
    </row>
    <row r="19" spans="1:28">
      <c r="A19" s="37">
        <v>15</v>
      </c>
      <c r="B19" s="69" t="s">
        <v>302</v>
      </c>
      <c r="C19" s="33" t="s">
        <v>198</v>
      </c>
      <c r="D19" s="43" t="s">
        <v>724</v>
      </c>
      <c r="E19" s="37">
        <v>49</v>
      </c>
      <c r="F19" s="37">
        <v>24.085365853658537</v>
      </c>
      <c r="G19" s="33">
        <f t="shared" si="0"/>
        <v>1241.1249893651739</v>
      </c>
      <c r="H19" s="43"/>
      <c r="Y19" s="338" t="s">
        <v>529</v>
      </c>
      <c r="Z19" s="338"/>
      <c r="AA19" s="338"/>
      <c r="AB19" s="338"/>
    </row>
    <row r="20" spans="1:28">
      <c r="A20" s="37">
        <v>16</v>
      </c>
      <c r="B20" s="78" t="s">
        <v>311</v>
      </c>
      <c r="C20" s="114" t="s">
        <v>194</v>
      </c>
      <c r="D20" s="43" t="s">
        <v>725</v>
      </c>
      <c r="E20" s="37">
        <v>50</v>
      </c>
      <c r="F20" s="37">
        <v>24.390243902439025</v>
      </c>
      <c r="G20" s="33">
        <f t="shared" si="0"/>
        <v>1307.5053385567558</v>
      </c>
      <c r="H20" s="43"/>
      <c r="Y20" s="338" t="s">
        <v>530</v>
      </c>
      <c r="Z20" s="338"/>
      <c r="AA20" s="338"/>
      <c r="AB20" s="338"/>
    </row>
    <row r="21" spans="1:28">
      <c r="A21" s="37">
        <v>17</v>
      </c>
      <c r="B21" s="69" t="s">
        <v>293</v>
      </c>
      <c r="C21" s="33" t="s">
        <v>168</v>
      </c>
      <c r="D21" s="43" t="s">
        <v>721</v>
      </c>
      <c r="E21" s="37">
        <v>63</v>
      </c>
      <c r="F21" s="37">
        <v>25.914634146341466</v>
      </c>
      <c r="G21" s="33">
        <f t="shared" si="0"/>
        <v>2373.007477063672</v>
      </c>
      <c r="H21" s="43"/>
      <c r="Y21" s="338" t="s">
        <v>531</v>
      </c>
      <c r="Z21" s="338"/>
      <c r="AA21" s="338"/>
      <c r="AB21" s="338"/>
    </row>
    <row r="22" spans="1:28">
      <c r="A22" s="37">
        <v>18</v>
      </c>
      <c r="B22" s="69" t="s">
        <v>242</v>
      </c>
      <c r="C22" s="33" t="s">
        <v>98</v>
      </c>
      <c r="D22" s="325" t="s">
        <v>241</v>
      </c>
      <c r="E22" s="37">
        <v>21</v>
      </c>
      <c r="F22" s="37">
        <v>19.81707317073171</v>
      </c>
      <c r="G22" s="33">
        <f t="shared" si="0"/>
        <v>139.57363547262395</v>
      </c>
      <c r="H22" s="43"/>
      <c r="Y22" s="338" t="s">
        <v>532</v>
      </c>
      <c r="Z22" s="338"/>
      <c r="AA22" s="338"/>
      <c r="AB22" s="338"/>
    </row>
    <row r="23" spans="1:28">
      <c r="A23" s="37">
        <v>19</v>
      </c>
      <c r="B23" s="69" t="s">
        <v>253</v>
      </c>
      <c r="C23" s="40" t="s">
        <v>122</v>
      </c>
      <c r="D23" s="96" t="s">
        <v>255</v>
      </c>
      <c r="E23" s="37">
        <v>25</v>
      </c>
      <c r="F23" s="37">
        <v>19.207317073170731</v>
      </c>
      <c r="G23" s="33">
        <f t="shared" si="0"/>
        <v>218.82004950676119</v>
      </c>
      <c r="H23" s="43"/>
    </row>
    <row r="24" spans="1:28">
      <c r="A24" s="37">
        <v>20</v>
      </c>
      <c r="B24" s="69" t="s">
        <v>264</v>
      </c>
      <c r="C24" s="33" t="s">
        <v>93</v>
      </c>
      <c r="D24" s="43" t="s">
        <v>719</v>
      </c>
      <c r="E24" s="37">
        <v>59</v>
      </c>
      <c r="F24" s="37">
        <v>26.829268292682929</v>
      </c>
      <c r="G24" s="33">
        <f t="shared" si="0"/>
        <v>2003.6744838262262</v>
      </c>
      <c r="H24" s="43"/>
    </row>
    <row r="25" spans="1:28">
      <c r="A25" s="37">
        <v>21</v>
      </c>
      <c r="B25" s="69" t="s">
        <v>268</v>
      </c>
      <c r="C25" s="33" t="s">
        <v>163</v>
      </c>
      <c r="D25" s="325" t="s">
        <v>241</v>
      </c>
      <c r="E25" s="37">
        <v>38</v>
      </c>
      <c r="F25" s="37">
        <v>22.865853658536587</v>
      </c>
      <c r="G25" s="33">
        <f t="shared" si="0"/>
        <v>644.26082629965481</v>
      </c>
      <c r="H25" s="43"/>
    </row>
    <row r="26" spans="1:28">
      <c r="A26" s="37">
        <v>22</v>
      </c>
      <c r="B26" s="69" t="s">
        <v>268</v>
      </c>
      <c r="C26" s="33" t="s">
        <v>163</v>
      </c>
      <c r="D26" s="325" t="s">
        <v>241</v>
      </c>
      <c r="E26" s="37">
        <v>39</v>
      </c>
      <c r="F26" s="37">
        <v>25.304878048780488</v>
      </c>
      <c r="G26" s="33">
        <f t="shared" si="0"/>
        <v>688.89883626078586</v>
      </c>
      <c r="H26" s="43"/>
    </row>
    <row r="27" spans="1:28">
      <c r="A27" s="37">
        <v>23</v>
      </c>
      <c r="B27" s="77" t="s">
        <v>310</v>
      </c>
      <c r="C27" s="33"/>
      <c r="D27" s="33"/>
      <c r="E27" s="37">
        <v>83</v>
      </c>
      <c r="F27" s="37">
        <v>25.914634146341466</v>
      </c>
      <c r="G27" s="33">
        <f t="shared" si="0"/>
        <v>4831.7252402418189</v>
      </c>
      <c r="H27" s="43"/>
    </row>
    <row r="28" spans="1:28">
      <c r="A28" s="37">
        <v>24</v>
      </c>
      <c r="B28" s="69" t="s">
        <v>253</v>
      </c>
      <c r="C28" s="40" t="s">
        <v>122</v>
      </c>
      <c r="D28" s="96" t="s">
        <v>255</v>
      </c>
      <c r="E28" s="37">
        <v>32</v>
      </c>
      <c r="F28" s="37">
        <v>22.865853658536587</v>
      </c>
      <c r="G28" s="33">
        <f t="shared" si="0"/>
        <v>413.60104148086589</v>
      </c>
      <c r="H28" s="43"/>
    </row>
    <row r="29" spans="1:28">
      <c r="A29" s="37">
        <v>25</v>
      </c>
      <c r="B29" s="69" t="s">
        <v>295</v>
      </c>
      <c r="C29" s="33" t="s">
        <v>199</v>
      </c>
      <c r="D29" s="43" t="s">
        <v>241</v>
      </c>
      <c r="E29" s="37">
        <v>40</v>
      </c>
      <c r="F29" s="37">
        <v>23.475609756097562</v>
      </c>
      <c r="G29" s="33">
        <f t="shared" si="0"/>
        <v>735.38124110481999</v>
      </c>
      <c r="H29" s="43"/>
    </row>
    <row r="30" spans="1:28">
      <c r="A30" s="37">
        <v>26</v>
      </c>
      <c r="B30" s="69" t="s">
        <v>276</v>
      </c>
      <c r="C30" s="33" t="s">
        <v>143</v>
      </c>
      <c r="D30" s="96" t="s">
        <v>255</v>
      </c>
      <c r="E30" s="37">
        <v>29</v>
      </c>
      <c r="F30" s="37">
        <v>22.865853658536587</v>
      </c>
      <c r="G30" s="33">
        <f t="shared" si="0"/>
        <v>320.86641808877988</v>
      </c>
      <c r="H30" s="43"/>
    </row>
    <row r="31" spans="1:28">
      <c r="A31" s="37">
        <v>27</v>
      </c>
      <c r="B31" s="69" t="s">
        <v>253</v>
      </c>
      <c r="C31" s="40" t="s">
        <v>122</v>
      </c>
      <c r="D31" s="96" t="s">
        <v>255</v>
      </c>
      <c r="E31" s="37">
        <v>20</v>
      </c>
      <c r="F31" s="37">
        <v>19.207317073170731</v>
      </c>
      <c r="G31" s="33">
        <f t="shared" si="0"/>
        <v>123.07113006706489</v>
      </c>
      <c r="H31" s="43"/>
    </row>
    <row r="32" spans="1:28">
      <c r="A32" s="37">
        <v>28</v>
      </c>
      <c r="B32" s="69" t="s">
        <v>236</v>
      </c>
      <c r="C32" s="40" t="s">
        <v>90</v>
      </c>
      <c r="D32" s="43" t="s">
        <v>238</v>
      </c>
      <c r="E32" s="37">
        <v>72</v>
      </c>
      <c r="F32" s="37">
        <v>28.04878048780488</v>
      </c>
      <c r="G32" s="33">
        <f t="shared" si="0"/>
        <v>3348.5773698281932</v>
      </c>
      <c r="H32" s="43"/>
    </row>
    <row r="33" spans="1:8">
      <c r="A33" s="37">
        <v>29</v>
      </c>
      <c r="B33" s="69" t="s">
        <v>242</v>
      </c>
      <c r="C33" s="33" t="s">
        <v>98</v>
      </c>
      <c r="D33" s="325" t="s">
        <v>241</v>
      </c>
      <c r="E33" s="37">
        <v>26</v>
      </c>
      <c r="F33" s="37">
        <v>14.02439024390244</v>
      </c>
      <c r="G33" s="33">
        <f t="shared" si="0"/>
        <v>242.11187664507929</v>
      </c>
      <c r="H33" s="43"/>
    </row>
    <row r="34" spans="1:8">
      <c r="A34" s="37">
        <v>30</v>
      </c>
      <c r="B34" s="69" t="s">
        <v>230</v>
      </c>
      <c r="C34" s="40" t="s">
        <v>88</v>
      </c>
      <c r="D34" s="43" t="s">
        <v>232</v>
      </c>
      <c r="E34" s="37">
        <v>54</v>
      </c>
      <c r="F34" s="37">
        <v>27.134146341463417</v>
      </c>
      <c r="G34" s="33">
        <f t="shared" si="0"/>
        <v>1594.5690714042569</v>
      </c>
      <c r="H34" s="43"/>
    </row>
    <row r="35" spans="1:8">
      <c r="A35" s="37">
        <v>31</v>
      </c>
      <c r="B35" s="69" t="s">
        <v>264</v>
      </c>
      <c r="C35" s="33" t="s">
        <v>93</v>
      </c>
      <c r="D35" s="43" t="s">
        <v>719</v>
      </c>
      <c r="E35" s="37">
        <v>49</v>
      </c>
      <c r="F35" s="37">
        <v>24.695121951219512</v>
      </c>
      <c r="G35" s="33">
        <f t="shared" si="0"/>
        <v>1241.1249893651739</v>
      </c>
      <c r="H35" s="43"/>
    </row>
    <row r="36" spans="1:8">
      <c r="A36" s="37">
        <v>32</v>
      </c>
      <c r="B36" s="69" t="s">
        <v>230</v>
      </c>
      <c r="C36" s="40" t="s">
        <v>88</v>
      </c>
      <c r="D36" s="43" t="s">
        <v>232</v>
      </c>
      <c r="E36" s="37">
        <v>75</v>
      </c>
      <c r="F36" s="37">
        <v>23.170731707317074</v>
      </c>
      <c r="G36" s="33">
        <f t="shared" si="0"/>
        <v>3720.3416809533128</v>
      </c>
      <c r="H36" s="43"/>
    </row>
    <row r="37" spans="1:8">
      <c r="A37" s="37">
        <v>33</v>
      </c>
      <c r="B37" s="69" t="s">
        <v>283</v>
      </c>
      <c r="C37" s="33" t="s">
        <v>157</v>
      </c>
      <c r="D37" s="43" t="s">
        <v>721</v>
      </c>
      <c r="E37" s="37">
        <v>38</v>
      </c>
      <c r="F37" s="37">
        <v>23.475609756097562</v>
      </c>
      <c r="G37" s="33">
        <f t="shared" si="0"/>
        <v>644.26082629965481</v>
      </c>
      <c r="H37" s="43"/>
    </row>
    <row r="38" spans="1:8">
      <c r="A38" s="37">
        <v>34</v>
      </c>
      <c r="B38" s="69" t="s">
        <v>253</v>
      </c>
      <c r="C38" s="40" t="s">
        <v>122</v>
      </c>
      <c r="D38" s="96" t="s">
        <v>255</v>
      </c>
      <c r="E38" s="37">
        <v>25</v>
      </c>
      <c r="F38" s="37">
        <v>22.865853658536587</v>
      </c>
      <c r="G38" s="33">
        <f t="shared" si="0"/>
        <v>218.82004950676119</v>
      </c>
      <c r="H38" s="43"/>
    </row>
    <row r="39" spans="1:8">
      <c r="A39" s="37">
        <v>35</v>
      </c>
      <c r="B39" s="69" t="s">
        <v>242</v>
      </c>
      <c r="C39" s="33" t="s">
        <v>98</v>
      </c>
      <c r="D39" s="325" t="s">
        <v>241</v>
      </c>
      <c r="E39" s="37">
        <v>33</v>
      </c>
      <c r="F39" s="37">
        <v>23.170731707317074</v>
      </c>
      <c r="G39" s="33">
        <f t="shared" si="0"/>
        <v>447.76204823655206</v>
      </c>
      <c r="H39" s="43"/>
    </row>
    <row r="40" spans="1:8">
      <c r="A40" s="37">
        <v>36</v>
      </c>
      <c r="B40" s="69" t="s">
        <v>258</v>
      </c>
      <c r="C40" s="40" t="s">
        <v>119</v>
      </c>
      <c r="D40" s="325" t="s">
        <v>238</v>
      </c>
      <c r="E40" s="37">
        <v>20</v>
      </c>
      <c r="F40" s="37">
        <v>14.02439024390244</v>
      </c>
      <c r="G40" s="33">
        <f t="shared" si="0"/>
        <v>123.07113006706489</v>
      </c>
      <c r="H40" s="43"/>
    </row>
    <row r="41" spans="1:8">
      <c r="A41" s="340" t="s">
        <v>463</v>
      </c>
      <c r="B41" s="340"/>
      <c r="C41" s="340"/>
      <c r="D41" s="340"/>
      <c r="E41" s="340"/>
      <c r="F41" s="340"/>
      <c r="G41" s="33">
        <f t="shared" si="0"/>
        <v>0</v>
      </c>
    </row>
    <row r="43" spans="1:8">
      <c r="C43" s="1" t="s">
        <v>781</v>
      </c>
      <c r="D43" s="1">
        <f>COUNTIF(D4:D40,D36)</f>
        <v>3</v>
      </c>
      <c r="E43" s="329">
        <v>8.3299999999999999E-2</v>
      </c>
    </row>
  </sheetData>
  <mergeCells count="21">
    <mergeCell ref="A41:F41"/>
    <mergeCell ref="J1:N1"/>
    <mergeCell ref="Z1:AB1"/>
    <mergeCell ref="Y14:AB14"/>
    <mergeCell ref="Y15:AB15"/>
    <mergeCell ref="Y16:AB16"/>
    <mergeCell ref="Y17:AB17"/>
    <mergeCell ref="Y18:AB18"/>
    <mergeCell ref="Y19:AB19"/>
    <mergeCell ref="Y20:AB20"/>
    <mergeCell ref="Y21:AB21"/>
    <mergeCell ref="Y22:AB22"/>
    <mergeCell ref="J8:K8"/>
    <mergeCell ref="M8:N8"/>
    <mergeCell ref="J9:K9"/>
    <mergeCell ref="M9:O9"/>
    <mergeCell ref="E1:G1"/>
    <mergeCell ref="E2:G2"/>
    <mergeCell ref="J2:K2"/>
    <mergeCell ref="M2:O2"/>
    <mergeCell ref="A1:C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J27"/>
  <sheetViews>
    <sheetView topLeftCell="B1" zoomScale="85" zoomScaleNormal="85" workbookViewId="0">
      <selection activeCell="P6" sqref="P6"/>
    </sheetView>
  </sheetViews>
  <sheetFormatPr defaultRowHeight="15"/>
  <cols>
    <col min="1" max="1" width="11.5703125" style="1" customWidth="1"/>
    <col min="2" max="2" width="12.85546875" style="1" customWidth="1"/>
    <col min="3" max="3" width="23.85546875" style="1" bestFit="1" customWidth="1"/>
    <col min="4" max="4" width="12.140625" style="1" customWidth="1"/>
    <col min="5" max="5" width="13.140625" style="1" customWidth="1"/>
    <col min="6" max="6" width="15.7109375" style="1" customWidth="1"/>
    <col min="7" max="8" width="12.5703125" style="1" customWidth="1"/>
    <col min="9" max="10" width="9.140625" style="1"/>
    <col min="11" max="11" width="12.28515625" style="1" customWidth="1"/>
    <col min="12" max="12" width="16.28515625" style="1" customWidth="1"/>
    <col min="13" max="13" width="13.42578125" style="1" customWidth="1"/>
    <col min="14" max="14" width="9.140625" style="1"/>
    <col min="15" max="16" width="15.42578125" style="1" customWidth="1"/>
    <col min="17" max="17" width="15.7109375" style="1" customWidth="1"/>
    <col min="18" max="18" width="12.7109375" style="1" customWidth="1"/>
    <col min="19" max="19" width="9.140625" style="1"/>
    <col min="20" max="20" width="14" style="1" customWidth="1"/>
    <col min="21" max="16384" width="9.140625" style="1"/>
  </cols>
  <sheetData>
    <row r="1" spans="1:36">
      <c r="A1" s="338" t="s">
        <v>533</v>
      </c>
      <c r="B1" s="338"/>
      <c r="C1" s="338"/>
      <c r="D1" s="324"/>
      <c r="E1" s="338" t="s">
        <v>534</v>
      </c>
      <c r="F1" s="338"/>
      <c r="G1" s="338"/>
      <c r="H1" s="286"/>
      <c r="J1" s="338" t="s">
        <v>535</v>
      </c>
      <c r="K1" s="338"/>
      <c r="L1" s="338"/>
      <c r="M1" s="338"/>
      <c r="N1" s="338"/>
      <c r="R1" s="2" t="s">
        <v>536</v>
      </c>
      <c r="Z1" s="338" t="s">
        <v>438</v>
      </c>
      <c r="AA1" s="338"/>
      <c r="AB1" s="338"/>
    </row>
    <row r="2" spans="1:36">
      <c r="A2" s="2" t="s">
        <v>537</v>
      </c>
      <c r="B2" s="2"/>
      <c r="E2" s="338" t="s">
        <v>440</v>
      </c>
      <c r="F2" s="338"/>
      <c r="G2" s="338"/>
      <c r="H2" s="286"/>
      <c r="J2" s="338"/>
      <c r="K2" s="338"/>
      <c r="M2" s="338"/>
      <c r="N2" s="338"/>
      <c r="O2" s="338"/>
      <c r="P2" s="286"/>
    </row>
    <row r="3" spans="1:36">
      <c r="Y3" s="1">
        <v>2</v>
      </c>
      <c r="Z3" s="1">
        <v>8</v>
      </c>
      <c r="AB3" s="1">
        <v>3</v>
      </c>
    </row>
    <row r="4" spans="1:36">
      <c r="A4" s="27" t="s">
        <v>441</v>
      </c>
      <c r="B4" s="27" t="s">
        <v>442</v>
      </c>
      <c r="C4" s="3" t="s">
        <v>224</v>
      </c>
      <c r="D4" s="3" t="s">
        <v>778</v>
      </c>
      <c r="E4" s="27" t="s">
        <v>443</v>
      </c>
      <c r="F4" s="27" t="s">
        <v>444</v>
      </c>
      <c r="G4" s="27" t="s">
        <v>445</v>
      </c>
      <c r="H4" s="213" t="s">
        <v>4</v>
      </c>
      <c r="I4" s="1" t="s">
        <v>770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26" t="s">
        <v>445</v>
      </c>
      <c r="P4" s="210" t="s">
        <v>4</v>
      </c>
      <c r="R4" s="3" t="s">
        <v>441</v>
      </c>
      <c r="S4" s="3" t="s">
        <v>442</v>
      </c>
      <c r="T4" s="26" t="s">
        <v>224</v>
      </c>
      <c r="U4" s="3" t="s">
        <v>443</v>
      </c>
      <c r="V4" s="3" t="s">
        <v>444</v>
      </c>
      <c r="W4" s="26" t="s">
        <v>448</v>
      </c>
      <c r="Y4" s="9"/>
      <c r="Z4" s="10"/>
      <c r="AA4" s="10"/>
      <c r="AB4" s="11"/>
      <c r="AF4" s="9"/>
      <c r="AG4" s="9"/>
      <c r="AH4" s="9"/>
      <c r="AI4" s="9"/>
      <c r="AJ4" s="25"/>
    </row>
    <row r="5" spans="1:36">
      <c r="A5" s="37">
        <v>1</v>
      </c>
      <c r="B5" s="69" t="s">
        <v>230</v>
      </c>
      <c r="C5" s="40" t="s">
        <v>88</v>
      </c>
      <c r="D5" s="43" t="s">
        <v>232</v>
      </c>
      <c r="E5" s="37">
        <v>47</v>
      </c>
      <c r="F5" s="37">
        <v>24.390243902439025</v>
      </c>
      <c r="G5" s="33">
        <f>0.0543*E5^2.579</f>
        <v>1114.654324289058</v>
      </c>
      <c r="H5" s="211">
        <f>SUM(G5:G24)/1000/0.25</f>
        <v>80.185611021145448</v>
      </c>
      <c r="I5" s="75">
        <f>AVERAGE(F5:F24)</f>
        <v>24.100609756097562</v>
      </c>
      <c r="J5" s="37">
        <v>21</v>
      </c>
      <c r="K5" s="71" t="s">
        <v>334</v>
      </c>
      <c r="L5" s="33" t="s">
        <v>327</v>
      </c>
      <c r="M5" s="37">
        <v>13</v>
      </c>
      <c r="N5" s="33">
        <v>6.0975609756097562</v>
      </c>
      <c r="O5" s="222">
        <f>0.0543*M5^2.579</f>
        <v>40.51909485289751</v>
      </c>
      <c r="P5" s="211">
        <f>SUM(O5:O9)/1000/0.0625</f>
        <v>2.5746418458655005</v>
      </c>
      <c r="R5" s="39">
        <v>26</v>
      </c>
      <c r="S5" s="66" t="s">
        <v>275</v>
      </c>
      <c r="T5" s="40" t="s">
        <v>86</v>
      </c>
      <c r="U5" s="39">
        <v>6</v>
      </c>
      <c r="V5" s="33">
        <v>2.1341463414634148</v>
      </c>
      <c r="W5" s="33"/>
      <c r="Y5" s="9"/>
      <c r="Z5" s="12"/>
      <c r="AA5" s="12"/>
      <c r="AB5" s="13"/>
      <c r="AF5" s="9"/>
      <c r="AG5" s="9"/>
      <c r="AH5" s="9"/>
      <c r="AI5" s="9"/>
      <c r="AJ5" s="25"/>
    </row>
    <row r="6" spans="1:36">
      <c r="A6" s="37">
        <v>2</v>
      </c>
      <c r="B6" s="66" t="s">
        <v>306</v>
      </c>
      <c r="C6" s="40" t="s">
        <v>123</v>
      </c>
      <c r="D6" s="325" t="s">
        <v>241</v>
      </c>
      <c r="E6" s="37">
        <v>55</v>
      </c>
      <c r="F6" s="37">
        <v>25.914634146341466</v>
      </c>
      <c r="G6" s="33">
        <f t="shared" ref="G6:G25" si="0">0.0543*E6^2.579</f>
        <v>1671.8419015293216</v>
      </c>
      <c r="H6" s="43"/>
      <c r="J6" s="37">
        <v>22</v>
      </c>
      <c r="K6" s="66" t="s">
        <v>275</v>
      </c>
      <c r="L6" s="40" t="s">
        <v>86</v>
      </c>
      <c r="M6" s="37">
        <v>10</v>
      </c>
      <c r="N6" s="33">
        <v>4.5731707317073171</v>
      </c>
      <c r="O6" s="222">
        <f t="shared" ref="O6:O10" si="1">0.0543*M6^2.579</f>
        <v>20.596803684070956</v>
      </c>
      <c r="P6" s="43"/>
      <c r="R6" s="39">
        <v>27</v>
      </c>
      <c r="S6" s="66" t="s">
        <v>275</v>
      </c>
      <c r="T6" s="40" t="s">
        <v>86</v>
      </c>
      <c r="U6" s="39">
        <v>6</v>
      </c>
      <c r="V6" s="33">
        <v>2.7439024390243905</v>
      </c>
      <c r="W6" s="33"/>
      <c r="Y6" s="9"/>
      <c r="Z6" s="12"/>
      <c r="AA6" s="12"/>
      <c r="AB6" s="14"/>
      <c r="AF6" s="9"/>
      <c r="AG6" s="9"/>
      <c r="AH6" s="9"/>
      <c r="AI6" s="9"/>
      <c r="AJ6" s="25"/>
    </row>
    <row r="7" spans="1:36">
      <c r="A7" s="37">
        <v>3</v>
      </c>
      <c r="B7" s="69" t="s">
        <v>230</v>
      </c>
      <c r="C7" s="40" t="s">
        <v>88</v>
      </c>
      <c r="D7" s="43" t="s">
        <v>232</v>
      </c>
      <c r="E7" s="37">
        <v>40</v>
      </c>
      <c r="F7" s="37">
        <v>26.524390243902442</v>
      </c>
      <c r="G7" s="33">
        <f t="shared" si="0"/>
        <v>735.38124110481999</v>
      </c>
      <c r="H7" s="43"/>
      <c r="J7" s="37">
        <v>23</v>
      </c>
      <c r="K7" s="66" t="s">
        <v>275</v>
      </c>
      <c r="L7" s="40" t="s">
        <v>86</v>
      </c>
      <c r="M7" s="37">
        <v>10</v>
      </c>
      <c r="N7" s="33">
        <v>4.2682926829268295</v>
      </c>
      <c r="O7" s="222">
        <f t="shared" si="1"/>
        <v>20.596803684070956</v>
      </c>
      <c r="P7" s="43"/>
      <c r="R7" s="39">
        <v>28</v>
      </c>
      <c r="S7" s="66" t="s">
        <v>275</v>
      </c>
      <c r="T7" s="40" t="s">
        <v>86</v>
      </c>
      <c r="U7" s="39">
        <v>6</v>
      </c>
      <c r="V7" s="33">
        <v>3.3536585365853662</v>
      </c>
      <c r="W7" s="33"/>
      <c r="Y7" s="9">
        <v>6</v>
      </c>
      <c r="Z7" s="12"/>
      <c r="AA7" s="15"/>
      <c r="AB7" s="16"/>
      <c r="AC7" s="18">
        <v>7</v>
      </c>
      <c r="AF7" s="9"/>
      <c r="AG7" s="9"/>
      <c r="AH7" s="9"/>
      <c r="AI7" s="9"/>
      <c r="AJ7" s="25"/>
    </row>
    <row r="8" spans="1:36">
      <c r="A8" s="37">
        <v>4</v>
      </c>
      <c r="B8" s="69" t="s">
        <v>230</v>
      </c>
      <c r="C8" s="40" t="s">
        <v>88</v>
      </c>
      <c r="D8" s="43" t="s">
        <v>232</v>
      </c>
      <c r="E8" s="37">
        <v>22</v>
      </c>
      <c r="F8" s="37">
        <v>18.902439024390244</v>
      </c>
      <c r="G8" s="33">
        <f t="shared" si="0"/>
        <v>157.36491932170634</v>
      </c>
      <c r="H8" s="43"/>
      <c r="J8" s="37">
        <v>24</v>
      </c>
      <c r="K8" s="66" t="s">
        <v>275</v>
      </c>
      <c r="L8" s="40" t="s">
        <v>86</v>
      </c>
      <c r="M8" s="37">
        <v>15</v>
      </c>
      <c r="N8" s="33">
        <v>6.4024390243902447</v>
      </c>
      <c r="O8" s="222">
        <f t="shared" si="1"/>
        <v>58.60560946148339</v>
      </c>
      <c r="P8" s="43"/>
      <c r="R8" s="39">
        <v>29</v>
      </c>
      <c r="S8" s="70" t="s">
        <v>340</v>
      </c>
      <c r="T8" s="39" t="s">
        <v>379</v>
      </c>
      <c r="U8" s="39">
        <v>5</v>
      </c>
      <c r="V8" s="33">
        <v>3.6585365853658538</v>
      </c>
      <c r="W8" s="33"/>
      <c r="Y8" s="9"/>
      <c r="Z8" s="12">
        <v>1</v>
      </c>
      <c r="AA8" s="9"/>
      <c r="AB8" s="14"/>
      <c r="AF8" s="9"/>
      <c r="AG8" s="9"/>
      <c r="AH8" s="9"/>
      <c r="AI8" s="9"/>
      <c r="AJ8" s="25"/>
    </row>
    <row r="9" spans="1:36">
      <c r="A9" s="37">
        <v>5</v>
      </c>
      <c r="B9" s="69" t="s">
        <v>230</v>
      </c>
      <c r="C9" s="40" t="s">
        <v>88</v>
      </c>
      <c r="D9" s="43" t="s">
        <v>232</v>
      </c>
      <c r="E9" s="37">
        <v>44</v>
      </c>
      <c r="F9" s="37">
        <v>25.914634146341466</v>
      </c>
      <c r="G9" s="33">
        <f t="shared" si="0"/>
        <v>940.29533664065059</v>
      </c>
      <c r="H9" s="43"/>
      <c r="J9" s="37">
        <v>25</v>
      </c>
      <c r="K9" s="66" t="s">
        <v>275</v>
      </c>
      <c r="L9" s="40" t="s">
        <v>86</v>
      </c>
      <c r="M9" s="37">
        <v>10</v>
      </c>
      <c r="N9" s="33">
        <v>5.4878048780487809</v>
      </c>
      <c r="O9" s="222">
        <f t="shared" si="1"/>
        <v>20.596803684070956</v>
      </c>
      <c r="P9" s="43"/>
      <c r="R9" s="39">
        <v>30</v>
      </c>
      <c r="S9" s="70" t="s">
        <v>343</v>
      </c>
      <c r="T9" s="114" t="s">
        <v>380</v>
      </c>
      <c r="U9" s="39">
        <v>6</v>
      </c>
      <c r="V9" s="33">
        <v>4.2682926829268295</v>
      </c>
      <c r="W9" s="33"/>
      <c r="Y9" s="9"/>
      <c r="Z9" s="12"/>
      <c r="AA9" s="9"/>
      <c r="AB9" s="14"/>
      <c r="AF9" s="9"/>
      <c r="AG9" s="9"/>
      <c r="AH9" s="9"/>
      <c r="AI9" s="9"/>
      <c r="AJ9" s="25"/>
    </row>
    <row r="10" spans="1:36">
      <c r="A10" s="37">
        <v>6</v>
      </c>
      <c r="B10" s="69" t="s">
        <v>230</v>
      </c>
      <c r="C10" s="40" t="s">
        <v>88</v>
      </c>
      <c r="D10" s="43" t="s">
        <v>232</v>
      </c>
      <c r="E10" s="37">
        <v>46</v>
      </c>
      <c r="F10" s="37">
        <v>25.304878048780488</v>
      </c>
      <c r="G10" s="33">
        <f t="shared" si="0"/>
        <v>1054.5138241472591</v>
      </c>
      <c r="H10" s="43"/>
      <c r="J10" s="24" t="s">
        <v>459</v>
      </c>
      <c r="O10" s="33">
        <f t="shared" si="1"/>
        <v>0</v>
      </c>
      <c r="P10" s="43"/>
      <c r="R10" s="24" t="s">
        <v>449</v>
      </c>
      <c r="Y10" s="9"/>
      <c r="Z10" s="12"/>
      <c r="AA10" s="9"/>
      <c r="AB10" s="14"/>
      <c r="AF10" s="9"/>
      <c r="AG10" s="9"/>
      <c r="AH10" s="9"/>
      <c r="AI10" s="9"/>
      <c r="AJ10" s="25"/>
    </row>
    <row r="11" spans="1:36">
      <c r="A11" s="37">
        <v>7</v>
      </c>
      <c r="B11" s="69" t="s">
        <v>230</v>
      </c>
      <c r="C11" s="40" t="s">
        <v>88</v>
      </c>
      <c r="D11" s="43" t="s">
        <v>232</v>
      </c>
      <c r="E11" s="37">
        <v>56</v>
      </c>
      <c r="F11" s="37">
        <v>26.524390243902442</v>
      </c>
      <c r="G11" s="33">
        <f t="shared" si="0"/>
        <v>1751.3653423709684</v>
      </c>
      <c r="H11" s="43"/>
      <c r="Y11" s="9">
        <v>4</v>
      </c>
      <c r="Z11" s="15"/>
      <c r="AA11" s="17"/>
      <c r="AB11" s="16"/>
      <c r="AC11" s="18">
        <v>5</v>
      </c>
      <c r="AF11" s="9"/>
      <c r="AG11" s="9"/>
      <c r="AH11" s="9"/>
      <c r="AI11" s="9"/>
      <c r="AJ11" s="25"/>
    </row>
    <row r="12" spans="1:36">
      <c r="A12" s="37">
        <v>8</v>
      </c>
      <c r="B12" s="69" t="s">
        <v>250</v>
      </c>
      <c r="C12" s="40" t="s">
        <v>94</v>
      </c>
      <c r="D12" s="43" t="s">
        <v>241</v>
      </c>
      <c r="E12" s="37">
        <v>48</v>
      </c>
      <c r="F12" s="37">
        <v>24.390243902439025</v>
      </c>
      <c r="G12" s="33">
        <f t="shared" si="0"/>
        <v>1176.8496452989223</v>
      </c>
      <c r="H12" s="43"/>
      <c r="R12" s="27" t="s">
        <v>442</v>
      </c>
      <c r="S12" s="3" t="s">
        <v>224</v>
      </c>
      <c r="T12" s="27" t="s">
        <v>450</v>
      </c>
      <c r="U12" s="27" t="s">
        <v>448</v>
      </c>
      <c r="Z12" s="1">
        <v>9</v>
      </c>
      <c r="AF12" s="9"/>
      <c r="AG12" s="9"/>
      <c r="AH12" s="9"/>
      <c r="AI12" s="9"/>
      <c r="AJ12" s="25"/>
    </row>
    <row r="13" spans="1:36">
      <c r="A13" s="37">
        <v>9</v>
      </c>
      <c r="B13" s="69" t="s">
        <v>253</v>
      </c>
      <c r="C13" s="40" t="s">
        <v>122</v>
      </c>
      <c r="D13" s="96" t="s">
        <v>255</v>
      </c>
      <c r="E13" s="37">
        <v>20</v>
      </c>
      <c r="F13" s="37">
        <v>13.719512195121952</v>
      </c>
      <c r="G13" s="33">
        <f t="shared" si="0"/>
        <v>123.07113006706489</v>
      </c>
      <c r="H13" s="43"/>
      <c r="J13" s="338"/>
      <c r="K13" s="338"/>
      <c r="M13" s="338"/>
      <c r="N13" s="338"/>
      <c r="R13" s="66" t="s">
        <v>275</v>
      </c>
      <c r="S13" s="40" t="s">
        <v>86</v>
      </c>
      <c r="T13" s="33">
        <v>4</v>
      </c>
      <c r="U13" s="33"/>
      <c r="AF13" s="9"/>
      <c r="AG13" s="9"/>
      <c r="AH13" s="9"/>
      <c r="AI13" s="9"/>
      <c r="AJ13" s="9"/>
    </row>
    <row r="14" spans="1:36">
      <c r="A14" s="37">
        <v>10</v>
      </c>
      <c r="B14" s="69" t="s">
        <v>253</v>
      </c>
      <c r="C14" s="40" t="s">
        <v>122</v>
      </c>
      <c r="D14" s="96" t="s">
        <v>255</v>
      </c>
      <c r="E14" s="37">
        <v>71</v>
      </c>
      <c r="F14" s="37">
        <v>27.743902439024392</v>
      </c>
      <c r="G14" s="33">
        <f t="shared" si="0"/>
        <v>3229.9448793271786</v>
      </c>
      <c r="H14" s="43"/>
      <c r="J14" s="338"/>
      <c r="K14" s="338"/>
      <c r="M14" s="338"/>
      <c r="N14" s="338"/>
      <c r="O14" s="338"/>
      <c r="P14" s="286"/>
      <c r="R14" s="66" t="s">
        <v>270</v>
      </c>
      <c r="S14" s="40" t="s">
        <v>96</v>
      </c>
      <c r="T14" s="33">
        <v>3</v>
      </c>
      <c r="U14" s="33"/>
      <c r="Y14" s="338" t="s">
        <v>538</v>
      </c>
      <c r="Z14" s="338"/>
      <c r="AA14" s="338"/>
      <c r="AB14" s="338"/>
    </row>
    <row r="15" spans="1:36">
      <c r="A15" s="37">
        <v>11</v>
      </c>
      <c r="B15" s="69" t="s">
        <v>250</v>
      </c>
      <c r="C15" s="40" t="s">
        <v>94</v>
      </c>
      <c r="D15" s="43" t="s">
        <v>241</v>
      </c>
      <c r="E15" s="37">
        <v>32</v>
      </c>
      <c r="F15" s="37">
        <v>16.158536585365855</v>
      </c>
      <c r="G15" s="33">
        <f t="shared" si="0"/>
        <v>413.60104148086589</v>
      </c>
      <c r="H15" s="43"/>
      <c r="R15" s="66" t="s">
        <v>245</v>
      </c>
      <c r="S15" s="40" t="s">
        <v>118</v>
      </c>
      <c r="T15" s="33">
        <v>1</v>
      </c>
      <c r="U15" s="33"/>
      <c r="Y15" s="338" t="s">
        <v>539</v>
      </c>
      <c r="Z15" s="338"/>
      <c r="AA15" s="338"/>
      <c r="AB15" s="338"/>
    </row>
    <row r="16" spans="1:36">
      <c r="A16" s="37">
        <v>12</v>
      </c>
      <c r="B16" s="69" t="s">
        <v>230</v>
      </c>
      <c r="C16" s="40" t="s">
        <v>88</v>
      </c>
      <c r="D16" s="43" t="s">
        <v>232</v>
      </c>
      <c r="E16" s="37">
        <v>52</v>
      </c>
      <c r="F16" s="37">
        <v>28.353658536585368</v>
      </c>
      <c r="G16" s="33">
        <f t="shared" si="0"/>
        <v>1446.679917836572</v>
      </c>
      <c r="H16" s="43"/>
      <c r="L16" s="1" t="s">
        <v>540</v>
      </c>
      <c r="R16" s="69" t="s">
        <v>253</v>
      </c>
      <c r="S16" s="40" t="s">
        <v>122</v>
      </c>
      <c r="T16" s="33">
        <v>1</v>
      </c>
      <c r="U16" s="33"/>
      <c r="Y16" s="338" t="s">
        <v>541</v>
      </c>
      <c r="Z16" s="338"/>
      <c r="AA16" s="338"/>
      <c r="AB16" s="338"/>
    </row>
    <row r="17" spans="1:29">
      <c r="A17" s="37">
        <v>13</v>
      </c>
      <c r="B17" s="69" t="s">
        <v>230</v>
      </c>
      <c r="C17" s="40" t="s">
        <v>88</v>
      </c>
      <c r="D17" s="43" t="s">
        <v>232</v>
      </c>
      <c r="E17" s="37">
        <v>55</v>
      </c>
      <c r="F17" s="37">
        <v>28.658536585365855</v>
      </c>
      <c r="G17" s="33">
        <f t="shared" si="0"/>
        <v>1671.8419015293216</v>
      </c>
      <c r="H17" s="43"/>
      <c r="R17" s="69" t="s">
        <v>230</v>
      </c>
      <c r="S17" s="40" t="s">
        <v>88</v>
      </c>
      <c r="T17" s="33">
        <v>3</v>
      </c>
      <c r="U17" s="33"/>
      <c r="Y17" s="338" t="s">
        <v>542</v>
      </c>
      <c r="Z17" s="338"/>
      <c r="AA17" s="338"/>
      <c r="AB17" s="338"/>
      <c r="AC17" s="1" t="s">
        <v>481</v>
      </c>
    </row>
    <row r="18" spans="1:29">
      <c r="A18" s="37">
        <v>14</v>
      </c>
      <c r="B18" s="69" t="s">
        <v>230</v>
      </c>
      <c r="C18" s="40" t="s">
        <v>88</v>
      </c>
      <c r="D18" s="43" t="s">
        <v>232</v>
      </c>
      <c r="E18" s="37">
        <v>46</v>
      </c>
      <c r="F18" s="37">
        <v>27.743902439024392</v>
      </c>
      <c r="G18" s="33">
        <f t="shared" si="0"/>
        <v>1054.5138241472591</v>
      </c>
      <c r="H18" s="43"/>
      <c r="M18" s="1" t="s">
        <v>543</v>
      </c>
      <c r="R18" s="66" t="s">
        <v>308</v>
      </c>
      <c r="S18" s="33" t="s">
        <v>381</v>
      </c>
      <c r="T18" s="33">
        <v>1</v>
      </c>
      <c r="U18" s="33"/>
      <c r="Y18" s="338" t="s">
        <v>544</v>
      </c>
      <c r="Z18" s="338"/>
      <c r="AA18" s="338"/>
      <c r="AB18" s="338"/>
    </row>
    <row r="19" spans="1:29">
      <c r="A19" s="37">
        <v>15</v>
      </c>
      <c r="B19" s="69" t="s">
        <v>230</v>
      </c>
      <c r="C19" s="40" t="s">
        <v>88</v>
      </c>
      <c r="D19" s="43" t="s">
        <v>232</v>
      </c>
      <c r="E19" s="37">
        <v>26</v>
      </c>
      <c r="F19" s="37">
        <v>22.560975609756099</v>
      </c>
      <c r="G19" s="33">
        <f t="shared" si="0"/>
        <v>242.11187664507929</v>
      </c>
      <c r="H19" s="43"/>
      <c r="R19" s="69" t="s">
        <v>283</v>
      </c>
      <c r="S19" s="33" t="s">
        <v>382</v>
      </c>
      <c r="T19" s="33">
        <v>1</v>
      </c>
      <c r="U19" s="33"/>
      <c r="Y19" s="338" t="s">
        <v>545</v>
      </c>
      <c r="Z19" s="338"/>
      <c r="AA19" s="338"/>
      <c r="AB19" s="338"/>
    </row>
    <row r="20" spans="1:29">
      <c r="A20" s="37">
        <v>16</v>
      </c>
      <c r="B20" s="66" t="s">
        <v>306</v>
      </c>
      <c r="C20" s="40" t="s">
        <v>123</v>
      </c>
      <c r="D20" s="325" t="s">
        <v>241</v>
      </c>
      <c r="E20" s="37">
        <v>44</v>
      </c>
      <c r="F20" s="37">
        <v>25.609756097560979</v>
      </c>
      <c r="G20" s="33">
        <f t="shared" si="0"/>
        <v>940.29533664065059</v>
      </c>
      <c r="H20" s="43"/>
      <c r="R20" s="33"/>
      <c r="S20" s="33"/>
      <c r="T20" s="33"/>
      <c r="U20" s="33"/>
      <c r="Y20" s="338" t="s">
        <v>546</v>
      </c>
      <c r="Z20" s="338"/>
      <c r="AA20" s="338"/>
      <c r="AB20" s="338"/>
    </row>
    <row r="21" spans="1:29">
      <c r="A21" s="37">
        <v>17</v>
      </c>
      <c r="B21" s="69" t="s">
        <v>230</v>
      </c>
      <c r="C21" s="40" t="s">
        <v>88</v>
      </c>
      <c r="D21" s="43" t="s">
        <v>232</v>
      </c>
      <c r="E21" s="37">
        <v>47</v>
      </c>
      <c r="F21" s="37">
        <v>28.963414634146343</v>
      </c>
      <c r="G21" s="33">
        <f t="shared" si="0"/>
        <v>1114.654324289058</v>
      </c>
      <c r="H21" s="43"/>
      <c r="R21" s="33" t="s">
        <v>366</v>
      </c>
      <c r="S21" s="33"/>
      <c r="T21" s="33" t="s">
        <v>363</v>
      </c>
      <c r="U21" s="33" t="s">
        <v>383</v>
      </c>
      <c r="Y21" s="338" t="s">
        <v>547</v>
      </c>
      <c r="Z21" s="338"/>
      <c r="AA21" s="338"/>
      <c r="AB21" s="338"/>
    </row>
    <row r="22" spans="1:29">
      <c r="A22" s="37">
        <v>18</v>
      </c>
      <c r="B22" s="66" t="s">
        <v>270</v>
      </c>
      <c r="C22" s="40" t="s">
        <v>96</v>
      </c>
      <c r="D22" s="43" t="s">
        <v>271</v>
      </c>
      <c r="E22" s="37">
        <v>24</v>
      </c>
      <c r="F22" s="37">
        <v>22.256097560975611</v>
      </c>
      <c r="G22" s="33">
        <f t="shared" si="0"/>
        <v>196.95391678520957</v>
      </c>
      <c r="H22" s="43"/>
      <c r="R22" s="24" t="s">
        <v>451</v>
      </c>
      <c r="Y22" s="338" t="s">
        <v>548</v>
      </c>
      <c r="Z22" s="338"/>
      <c r="AA22" s="338"/>
      <c r="AB22" s="338"/>
    </row>
    <row r="23" spans="1:29">
      <c r="A23" s="37">
        <v>19</v>
      </c>
      <c r="B23" s="69" t="s">
        <v>250</v>
      </c>
      <c r="C23" s="40" t="s">
        <v>94</v>
      </c>
      <c r="D23" s="43" t="s">
        <v>241</v>
      </c>
      <c r="E23" s="37">
        <v>23</v>
      </c>
      <c r="F23" s="37">
        <v>20.426829268292686</v>
      </c>
      <c r="G23" s="33">
        <f t="shared" si="0"/>
        <v>176.48017212699972</v>
      </c>
      <c r="H23" s="43"/>
      <c r="M23" s="1" t="s">
        <v>549</v>
      </c>
      <c r="R23" s="24" t="s">
        <v>452</v>
      </c>
    </row>
    <row r="24" spans="1:29">
      <c r="A24" s="37">
        <v>20</v>
      </c>
      <c r="B24" s="66" t="s">
        <v>268</v>
      </c>
      <c r="C24" s="33" t="s">
        <v>171</v>
      </c>
      <c r="D24" s="325" t="s">
        <v>241</v>
      </c>
      <c r="E24" s="37">
        <v>42</v>
      </c>
      <c r="F24" s="37">
        <v>21.951219512195124</v>
      </c>
      <c r="G24" s="33">
        <f t="shared" si="0"/>
        <v>833.98789970839402</v>
      </c>
      <c r="H24" s="43"/>
    </row>
    <row r="25" spans="1:29">
      <c r="A25" s="340" t="s">
        <v>463</v>
      </c>
      <c r="B25" s="340"/>
      <c r="C25" s="340"/>
      <c r="D25" s="340"/>
      <c r="E25" s="340"/>
      <c r="F25" s="340"/>
      <c r="G25" s="33">
        <f t="shared" si="0"/>
        <v>0</v>
      </c>
    </row>
    <row r="27" spans="1:29">
      <c r="C27" s="1" t="s">
        <v>781</v>
      </c>
      <c r="D27" s="1">
        <f>COUNTIF(D4:D24,D21)</f>
        <v>11</v>
      </c>
      <c r="E27" s="329">
        <v>0.55000000000000004</v>
      </c>
    </row>
  </sheetData>
  <mergeCells count="21">
    <mergeCell ref="A25:F25"/>
    <mergeCell ref="J1:N1"/>
    <mergeCell ref="Z1:AB1"/>
    <mergeCell ref="Y14:AB14"/>
    <mergeCell ref="Y15:AB15"/>
    <mergeCell ref="Y16:AB16"/>
    <mergeCell ref="Y17:AB17"/>
    <mergeCell ref="Y18:AB18"/>
    <mergeCell ref="Y19:AB19"/>
    <mergeCell ref="Y20:AB20"/>
    <mergeCell ref="Y21:AB21"/>
    <mergeCell ref="Y22:AB22"/>
    <mergeCell ref="J13:K13"/>
    <mergeCell ref="M13:N13"/>
    <mergeCell ref="J14:K14"/>
    <mergeCell ref="M14:O14"/>
    <mergeCell ref="E1:G1"/>
    <mergeCell ref="E2:G2"/>
    <mergeCell ref="J2:K2"/>
    <mergeCell ref="M2:O2"/>
    <mergeCell ref="A1:C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J30"/>
  <sheetViews>
    <sheetView topLeftCell="B1" zoomScale="85" zoomScaleNormal="85" workbookViewId="0">
      <selection activeCell="P6" sqref="P6"/>
    </sheetView>
  </sheetViews>
  <sheetFormatPr defaultRowHeight="15"/>
  <cols>
    <col min="1" max="1" width="13.42578125" style="1" customWidth="1"/>
    <col min="2" max="2" width="17.42578125" style="1" customWidth="1"/>
    <col min="3" max="3" width="22.7109375" style="1" bestFit="1" customWidth="1"/>
    <col min="4" max="5" width="9.140625" style="1"/>
    <col min="6" max="6" width="12.7109375" style="1" customWidth="1"/>
    <col min="7" max="7" width="12.28515625" style="1" bestFit="1" customWidth="1"/>
    <col min="8" max="8" width="12.28515625" style="1" customWidth="1"/>
    <col min="9" max="9" width="12.7109375" style="1" bestFit="1" customWidth="1"/>
    <col min="10" max="10" width="15" style="1" customWidth="1"/>
    <col min="11" max="11" width="14.85546875" style="1" bestFit="1" customWidth="1"/>
    <col min="12" max="14" width="9.140625" style="1"/>
    <col min="15" max="15" width="12.28515625" style="1" bestFit="1" customWidth="1"/>
    <col min="16" max="16" width="12.28515625" style="1" customWidth="1"/>
    <col min="17" max="17" width="12.5703125" style="1" customWidth="1"/>
    <col min="18" max="16384" width="9.140625" style="1"/>
  </cols>
  <sheetData>
    <row r="1" spans="1:36">
      <c r="A1" s="338" t="s">
        <v>550</v>
      </c>
      <c r="B1" s="338"/>
      <c r="C1" s="338"/>
      <c r="D1" s="324"/>
      <c r="E1" s="338" t="s">
        <v>534</v>
      </c>
      <c r="F1" s="338"/>
      <c r="G1" s="338"/>
      <c r="H1" s="286"/>
      <c r="J1" s="338" t="s">
        <v>551</v>
      </c>
      <c r="K1" s="338"/>
      <c r="L1" s="338"/>
      <c r="M1" s="338"/>
      <c r="N1" s="338"/>
      <c r="S1" s="2" t="s">
        <v>552</v>
      </c>
      <c r="AA1" s="338" t="s">
        <v>438</v>
      </c>
      <c r="AB1" s="338"/>
      <c r="AC1" s="338"/>
      <c r="AF1" s="9"/>
      <c r="AG1" s="9"/>
      <c r="AH1" s="9"/>
      <c r="AI1" s="9"/>
      <c r="AJ1" s="9"/>
    </row>
    <row r="2" spans="1:36">
      <c r="A2" s="2" t="s">
        <v>537</v>
      </c>
      <c r="B2" s="2"/>
      <c r="E2" s="338" t="s">
        <v>440</v>
      </c>
      <c r="F2" s="338"/>
      <c r="G2" s="338"/>
      <c r="H2" s="286"/>
      <c r="J2" s="338"/>
      <c r="K2" s="338"/>
      <c r="M2" s="338"/>
      <c r="N2" s="338"/>
      <c r="O2" s="338"/>
      <c r="P2" s="286"/>
      <c r="Q2" s="286"/>
      <c r="AF2" s="9"/>
      <c r="AG2" s="9"/>
      <c r="AH2" s="9"/>
      <c r="AI2" s="9"/>
      <c r="AJ2" s="25"/>
    </row>
    <row r="3" spans="1:36">
      <c r="Z3" s="1">
        <v>2</v>
      </c>
      <c r="AA3" s="1">
        <v>8</v>
      </c>
      <c r="AC3" s="1">
        <v>3</v>
      </c>
      <c r="AF3" s="9"/>
      <c r="AG3" s="9"/>
      <c r="AH3" s="9"/>
      <c r="AI3" s="9"/>
      <c r="AJ3" s="25"/>
    </row>
    <row r="4" spans="1:36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445</v>
      </c>
      <c r="H4" s="213" t="s">
        <v>4</v>
      </c>
      <c r="I4" s="1" t="s">
        <v>770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26" t="s">
        <v>445</v>
      </c>
      <c r="P4" s="210" t="s">
        <v>4</v>
      </c>
      <c r="Q4" s="216"/>
      <c r="S4" s="3" t="s">
        <v>441</v>
      </c>
      <c r="T4" s="3" t="s">
        <v>442</v>
      </c>
      <c r="U4" s="26" t="s">
        <v>224</v>
      </c>
      <c r="V4" s="3" t="s">
        <v>443</v>
      </c>
      <c r="W4" s="3" t="s">
        <v>444</v>
      </c>
      <c r="X4" s="26" t="s">
        <v>448</v>
      </c>
      <c r="Z4" s="9"/>
      <c r="AA4" s="10"/>
      <c r="AB4" s="10"/>
      <c r="AC4" s="11"/>
      <c r="AF4" s="9"/>
      <c r="AG4" s="9"/>
      <c r="AH4" s="9"/>
      <c r="AI4" s="9"/>
      <c r="AJ4" s="25"/>
    </row>
    <row r="5" spans="1:36">
      <c r="A5" s="37">
        <v>1</v>
      </c>
      <c r="B5" s="66" t="s">
        <v>270</v>
      </c>
      <c r="C5" s="40" t="s">
        <v>96</v>
      </c>
      <c r="D5" s="43" t="s">
        <v>271</v>
      </c>
      <c r="E5" s="37">
        <v>61</v>
      </c>
      <c r="F5" s="37">
        <v>29.878048780487806</v>
      </c>
      <c r="G5" s="222">
        <f>0.0543*E5^2.579</f>
        <v>2183.5617300226813</v>
      </c>
      <c r="H5" s="211">
        <f>SUM(G5:G28)/1000/0.025</f>
        <v>1731.9252921566958</v>
      </c>
      <c r="I5" s="75">
        <f>AVERAGE(F5:F28)</f>
        <v>28.061483739837396</v>
      </c>
      <c r="J5" s="37">
        <v>25</v>
      </c>
      <c r="K5" s="66" t="s">
        <v>264</v>
      </c>
      <c r="L5" s="33" t="s">
        <v>93</v>
      </c>
      <c r="M5" s="37">
        <v>17</v>
      </c>
      <c r="N5" s="33">
        <v>11.890243902439025</v>
      </c>
      <c r="O5" s="222">
        <f>0.0543*M5^2.579</f>
        <v>80.933365039903734</v>
      </c>
      <c r="P5" s="211">
        <f>SUM(O5:O6)/1000/0.0625</f>
        <v>1.8223194143792043</v>
      </c>
      <c r="Q5" s="43"/>
      <c r="S5" s="19">
        <v>0</v>
      </c>
      <c r="T5" s="19">
        <v>0</v>
      </c>
      <c r="U5" s="19">
        <v>0</v>
      </c>
      <c r="V5" s="19">
        <v>0</v>
      </c>
      <c r="W5" s="4">
        <v>0</v>
      </c>
      <c r="X5" s="4">
        <v>0</v>
      </c>
      <c r="Z5" s="9"/>
      <c r="AA5" s="12"/>
      <c r="AB5" s="12"/>
      <c r="AC5" s="13"/>
      <c r="AF5" s="9"/>
      <c r="AG5" s="9"/>
      <c r="AH5" s="9"/>
      <c r="AI5" s="9"/>
      <c r="AJ5" s="25"/>
    </row>
    <row r="6" spans="1:36">
      <c r="A6" s="37">
        <v>2</v>
      </c>
      <c r="B6" s="69" t="s">
        <v>230</v>
      </c>
      <c r="C6" s="40" t="s">
        <v>88</v>
      </c>
      <c r="D6" s="43" t="s">
        <v>232</v>
      </c>
      <c r="E6" s="37">
        <v>20</v>
      </c>
      <c r="F6" s="37">
        <v>19.81707317073171</v>
      </c>
      <c r="G6" s="222">
        <f t="shared" ref="G6:G29" si="0">0.0543*E6^2.579</f>
        <v>123.07113006706489</v>
      </c>
      <c r="H6" s="43"/>
      <c r="J6" s="37">
        <v>26</v>
      </c>
      <c r="K6" s="72" t="s">
        <v>342</v>
      </c>
      <c r="L6" s="33" t="s">
        <v>328</v>
      </c>
      <c r="M6" s="37">
        <v>12</v>
      </c>
      <c r="N6" s="33">
        <v>10.975609756097562</v>
      </c>
      <c r="O6" s="222">
        <f t="shared" ref="O6:O7" si="1">0.0543*M6^2.579</f>
        <v>32.961598358796536</v>
      </c>
      <c r="P6" s="43"/>
      <c r="Q6" s="43"/>
      <c r="S6" s="24" t="s">
        <v>449</v>
      </c>
      <c r="Z6" s="9"/>
      <c r="AA6" s="12"/>
      <c r="AB6" s="12"/>
      <c r="AC6" s="14"/>
      <c r="AF6" s="9"/>
      <c r="AG6" s="9"/>
      <c r="AH6" s="9"/>
      <c r="AI6" s="9"/>
      <c r="AJ6" s="25"/>
    </row>
    <row r="7" spans="1:36">
      <c r="A7" s="37">
        <v>3</v>
      </c>
      <c r="B7" s="66" t="s">
        <v>278</v>
      </c>
      <c r="C7" s="33" t="s">
        <v>156</v>
      </c>
      <c r="D7" s="96" t="s">
        <v>255</v>
      </c>
      <c r="E7" s="37">
        <v>26</v>
      </c>
      <c r="F7" s="37">
        <v>18.902439024390244</v>
      </c>
      <c r="G7" s="222">
        <f t="shared" si="0"/>
        <v>242.11187664507929</v>
      </c>
      <c r="H7" s="43"/>
      <c r="J7" s="24" t="s">
        <v>459</v>
      </c>
      <c r="O7" s="33">
        <f t="shared" si="1"/>
        <v>0</v>
      </c>
      <c r="Z7" s="9">
        <v>6</v>
      </c>
      <c r="AA7" s="12"/>
      <c r="AB7" s="15"/>
      <c r="AC7" s="16"/>
      <c r="AD7" s="18">
        <v>7</v>
      </c>
      <c r="AF7" s="9"/>
      <c r="AG7" s="9"/>
      <c r="AH7" s="9"/>
      <c r="AI7" s="9"/>
      <c r="AJ7" s="25"/>
    </row>
    <row r="8" spans="1:36">
      <c r="A8" s="37">
        <v>4</v>
      </c>
      <c r="B8" s="66" t="s">
        <v>265</v>
      </c>
      <c r="C8" s="33" t="s">
        <v>169</v>
      </c>
      <c r="D8" s="325" t="s">
        <v>267</v>
      </c>
      <c r="E8" s="37">
        <v>48</v>
      </c>
      <c r="F8" s="37">
        <v>25.609756097560979</v>
      </c>
      <c r="G8" s="222">
        <f t="shared" si="0"/>
        <v>1176.8496452989223</v>
      </c>
      <c r="H8" s="43"/>
      <c r="S8" s="27" t="s">
        <v>442</v>
      </c>
      <c r="T8" s="3" t="s">
        <v>224</v>
      </c>
      <c r="U8" s="27" t="s">
        <v>450</v>
      </c>
      <c r="V8" s="27" t="s">
        <v>448</v>
      </c>
      <c r="Z8" s="9"/>
      <c r="AA8" s="12">
        <v>1</v>
      </c>
      <c r="AB8" s="9"/>
      <c r="AC8" s="14"/>
      <c r="AF8" s="9"/>
      <c r="AG8" s="9"/>
      <c r="AH8" s="9"/>
      <c r="AI8" s="9"/>
      <c r="AJ8" s="25"/>
    </row>
    <row r="9" spans="1:36">
      <c r="A9" s="37">
        <v>5</v>
      </c>
      <c r="B9" s="69" t="s">
        <v>230</v>
      </c>
      <c r="C9" s="40" t="s">
        <v>88</v>
      </c>
      <c r="D9" s="43" t="s">
        <v>232</v>
      </c>
      <c r="E9" s="37">
        <v>58</v>
      </c>
      <c r="F9" s="37">
        <v>30.487804878048781</v>
      </c>
      <c r="G9" s="222">
        <f t="shared" si="0"/>
        <v>1917.2582931058187</v>
      </c>
      <c r="H9" s="43"/>
      <c r="S9" s="6" t="s">
        <v>366</v>
      </c>
      <c r="T9" s="4"/>
      <c r="U9" s="6" t="s">
        <v>385</v>
      </c>
      <c r="V9" s="6" t="s">
        <v>386</v>
      </c>
      <c r="Z9" s="9"/>
      <c r="AA9" s="12"/>
      <c r="AB9" s="9"/>
      <c r="AC9" s="14"/>
      <c r="AF9" s="9"/>
      <c r="AG9" s="9"/>
      <c r="AH9" s="9"/>
      <c r="AI9" s="9"/>
      <c r="AJ9" s="25"/>
    </row>
    <row r="10" spans="1:36">
      <c r="A10" s="37">
        <v>6</v>
      </c>
      <c r="B10" s="69" t="s">
        <v>230</v>
      </c>
      <c r="C10" s="40" t="s">
        <v>88</v>
      </c>
      <c r="D10" s="43" t="s">
        <v>232</v>
      </c>
      <c r="E10" s="37">
        <v>57</v>
      </c>
      <c r="F10" s="37">
        <v>29.573170731707318</v>
      </c>
      <c r="G10" s="222">
        <f t="shared" si="0"/>
        <v>1833.1629973562706</v>
      </c>
      <c r="H10" s="43"/>
      <c r="J10" s="338"/>
      <c r="K10" s="338"/>
      <c r="M10" s="338"/>
      <c r="N10" s="338"/>
      <c r="S10" s="24" t="s">
        <v>451</v>
      </c>
      <c r="Z10" s="9"/>
      <c r="AA10" s="12"/>
      <c r="AB10" s="9"/>
      <c r="AC10" s="14"/>
      <c r="AF10" s="9"/>
      <c r="AG10" s="9"/>
      <c r="AH10" s="9"/>
      <c r="AI10" s="9"/>
      <c r="AJ10" s="25"/>
    </row>
    <row r="11" spans="1:36">
      <c r="A11" s="37">
        <v>7</v>
      </c>
      <c r="B11" s="69" t="s">
        <v>283</v>
      </c>
      <c r="C11" s="33" t="s">
        <v>200</v>
      </c>
      <c r="D11" s="43" t="s">
        <v>721</v>
      </c>
      <c r="E11" s="37">
        <v>29</v>
      </c>
      <c r="F11" s="37">
        <v>24.085365853658537</v>
      </c>
      <c r="G11" s="222">
        <f t="shared" si="0"/>
        <v>320.86641808877988</v>
      </c>
      <c r="H11" s="43"/>
      <c r="J11" s="338"/>
      <c r="K11" s="338"/>
      <c r="M11" s="338"/>
      <c r="N11" s="338"/>
      <c r="O11" s="338"/>
      <c r="P11" s="286"/>
      <c r="Q11" s="286"/>
      <c r="S11" s="24" t="s">
        <v>452</v>
      </c>
      <c r="Z11" s="9">
        <v>4</v>
      </c>
      <c r="AA11" s="15"/>
      <c r="AB11" s="17"/>
      <c r="AC11" s="16"/>
      <c r="AD11" s="18">
        <v>5</v>
      </c>
      <c r="AF11" s="9"/>
      <c r="AG11" s="9"/>
      <c r="AH11" s="9"/>
      <c r="AI11" s="9"/>
      <c r="AJ11" s="9"/>
    </row>
    <row r="12" spans="1:36">
      <c r="A12" s="37">
        <v>8</v>
      </c>
      <c r="B12" s="69" t="s">
        <v>230</v>
      </c>
      <c r="C12" s="40" t="s">
        <v>88</v>
      </c>
      <c r="D12" s="43" t="s">
        <v>232</v>
      </c>
      <c r="E12" s="37">
        <v>49</v>
      </c>
      <c r="F12" s="37">
        <v>31.097560975609756</v>
      </c>
      <c r="G12" s="222">
        <f t="shared" si="0"/>
        <v>1241.1249893651739</v>
      </c>
      <c r="H12" s="43"/>
      <c r="AA12" s="1">
        <v>9</v>
      </c>
      <c r="AF12" s="9"/>
      <c r="AG12" s="9"/>
      <c r="AH12" s="9"/>
      <c r="AI12" s="9"/>
      <c r="AJ12" s="9"/>
    </row>
    <row r="13" spans="1:36">
      <c r="A13" s="37">
        <v>9</v>
      </c>
      <c r="B13" s="69" t="s">
        <v>250</v>
      </c>
      <c r="C13" s="40" t="s">
        <v>94</v>
      </c>
      <c r="D13" s="43" t="s">
        <v>241</v>
      </c>
      <c r="E13" s="37">
        <v>28</v>
      </c>
      <c r="F13" s="37">
        <v>22.560975609756099</v>
      </c>
      <c r="G13" s="222">
        <f t="shared" si="0"/>
        <v>293.10308694040185</v>
      </c>
      <c r="H13" s="43"/>
      <c r="J13" s="22"/>
      <c r="K13" s="22"/>
      <c r="L13" s="22"/>
    </row>
    <row r="14" spans="1:36">
      <c r="A14" s="37">
        <v>10</v>
      </c>
      <c r="B14" s="69" t="s">
        <v>230</v>
      </c>
      <c r="C14" s="40" t="s">
        <v>88</v>
      </c>
      <c r="D14" s="43" t="s">
        <v>232</v>
      </c>
      <c r="E14" s="37">
        <v>55</v>
      </c>
      <c r="F14" s="37">
        <v>30.792682926829269</v>
      </c>
      <c r="G14" s="222">
        <f t="shared" si="0"/>
        <v>1671.8419015293216</v>
      </c>
      <c r="H14" s="43"/>
      <c r="Z14" s="338" t="s">
        <v>553</v>
      </c>
      <c r="AA14" s="338"/>
      <c r="AB14" s="338"/>
      <c r="AC14" s="338"/>
    </row>
    <row r="15" spans="1:36">
      <c r="A15" s="37">
        <v>11</v>
      </c>
      <c r="B15" s="69" t="s">
        <v>280</v>
      </c>
      <c r="C15" s="33" t="s">
        <v>189</v>
      </c>
      <c r="D15" s="299" t="s">
        <v>736</v>
      </c>
      <c r="E15" s="37">
        <v>37</v>
      </c>
      <c r="F15" s="37">
        <v>29.878048780487806</v>
      </c>
      <c r="G15" s="222">
        <f t="shared" si="0"/>
        <v>601.4396781402761</v>
      </c>
      <c r="H15" s="43"/>
      <c r="Z15" s="338" t="s">
        <v>554</v>
      </c>
      <c r="AA15" s="338"/>
      <c r="AB15" s="338"/>
      <c r="AC15" s="338"/>
    </row>
    <row r="16" spans="1:36">
      <c r="A16" s="37">
        <v>12</v>
      </c>
      <c r="B16" s="66" t="s">
        <v>245</v>
      </c>
      <c r="C16" s="40" t="s">
        <v>118</v>
      </c>
      <c r="D16" s="325" t="s">
        <v>241</v>
      </c>
      <c r="E16" s="37">
        <v>23</v>
      </c>
      <c r="F16" s="37">
        <v>26.829268292682929</v>
      </c>
      <c r="G16" s="222">
        <f t="shared" si="0"/>
        <v>176.48017212699972</v>
      </c>
      <c r="H16" s="43"/>
      <c r="Z16" s="338" t="s">
        <v>555</v>
      </c>
      <c r="AA16" s="338"/>
      <c r="AB16" s="338"/>
      <c r="AC16" s="338"/>
    </row>
    <row r="17" spans="1:30">
      <c r="A17" s="37">
        <v>13</v>
      </c>
      <c r="B17" s="69" t="s">
        <v>279</v>
      </c>
      <c r="C17" s="33" t="s">
        <v>201</v>
      </c>
      <c r="D17" t="s">
        <v>249</v>
      </c>
      <c r="E17" s="37">
        <v>28</v>
      </c>
      <c r="F17" s="37">
        <v>25.914634146341466</v>
      </c>
      <c r="G17" s="222">
        <f t="shared" si="0"/>
        <v>293.10308694040185</v>
      </c>
      <c r="H17" s="43"/>
      <c r="Z17" s="338" t="s">
        <v>556</v>
      </c>
      <c r="AA17" s="338"/>
      <c r="AB17" s="338"/>
      <c r="AC17" s="338"/>
      <c r="AD17" s="1" t="s">
        <v>481</v>
      </c>
    </row>
    <row r="18" spans="1:30">
      <c r="A18" s="37">
        <v>14</v>
      </c>
      <c r="B18" s="66" t="s">
        <v>261</v>
      </c>
      <c r="C18" s="33" t="s">
        <v>95</v>
      </c>
      <c r="D18" s="325" t="s">
        <v>723</v>
      </c>
      <c r="E18" s="37">
        <v>26</v>
      </c>
      <c r="F18" s="37">
        <v>23.475609756097562</v>
      </c>
      <c r="G18" s="222">
        <f t="shared" si="0"/>
        <v>242.11187664507929</v>
      </c>
      <c r="H18" s="43"/>
      <c r="Z18" s="338" t="s">
        <v>557</v>
      </c>
      <c r="AA18" s="338"/>
      <c r="AB18" s="338"/>
      <c r="AC18" s="338"/>
    </row>
    <row r="19" spans="1:30">
      <c r="A19" s="37">
        <v>15</v>
      </c>
      <c r="B19" s="66" t="s">
        <v>278</v>
      </c>
      <c r="C19" s="33" t="s">
        <v>202</v>
      </c>
      <c r="D19" s="96" t="s">
        <v>255</v>
      </c>
      <c r="E19" s="37">
        <v>137</v>
      </c>
      <c r="F19" s="37">
        <v>36.585365853658537</v>
      </c>
      <c r="G19" s="222">
        <f t="shared" si="0"/>
        <v>17595.522683299114</v>
      </c>
      <c r="H19" s="43"/>
      <c r="Z19" s="338" t="s">
        <v>558</v>
      </c>
      <c r="AA19" s="338"/>
      <c r="AB19" s="338"/>
      <c r="AC19" s="338"/>
    </row>
    <row r="20" spans="1:30">
      <c r="A20" s="37">
        <v>16</v>
      </c>
      <c r="B20" s="66" t="s">
        <v>236</v>
      </c>
      <c r="C20" s="40" t="s">
        <v>90</v>
      </c>
      <c r="D20" s="43" t="s">
        <v>238</v>
      </c>
      <c r="E20" s="37">
        <v>84</v>
      </c>
      <c r="F20" s="37">
        <v>35.060975609756099</v>
      </c>
      <c r="G20" s="222">
        <f t="shared" si="0"/>
        <v>4983.289390613023</v>
      </c>
      <c r="H20" s="43"/>
      <c r="Z20" s="338" t="s">
        <v>559</v>
      </c>
      <c r="AA20" s="338"/>
      <c r="AB20" s="338"/>
      <c r="AC20" s="338"/>
    </row>
    <row r="21" spans="1:30">
      <c r="A21" s="37">
        <v>17</v>
      </c>
      <c r="B21" s="66" t="s">
        <v>270</v>
      </c>
      <c r="C21" s="40" t="s">
        <v>96</v>
      </c>
      <c r="D21" s="43" t="s">
        <v>271</v>
      </c>
      <c r="E21" s="37">
        <v>40</v>
      </c>
      <c r="F21" s="37">
        <v>32.012195121951223</v>
      </c>
      <c r="G21" s="222">
        <f t="shared" si="0"/>
        <v>735.38124110481999</v>
      </c>
      <c r="H21" s="43"/>
      <c r="Z21" s="338" t="s">
        <v>560</v>
      </c>
      <c r="AA21" s="338"/>
      <c r="AB21" s="338"/>
      <c r="AC21" s="338"/>
    </row>
    <row r="22" spans="1:30">
      <c r="A22" s="37">
        <v>18</v>
      </c>
      <c r="B22" s="66" t="s">
        <v>270</v>
      </c>
      <c r="C22" s="40" t="s">
        <v>96</v>
      </c>
      <c r="D22" s="43" t="s">
        <v>271</v>
      </c>
      <c r="E22" s="37">
        <v>58</v>
      </c>
      <c r="F22" s="37">
        <v>32.926829268292686</v>
      </c>
      <c r="G22" s="222">
        <f t="shared" si="0"/>
        <v>1917.2582931058187</v>
      </c>
      <c r="H22" s="43"/>
      <c r="Z22" s="338" t="s">
        <v>561</v>
      </c>
      <c r="AA22" s="338"/>
      <c r="AB22" s="338"/>
      <c r="AC22" s="338"/>
    </row>
    <row r="23" spans="1:30">
      <c r="A23" s="37">
        <v>19</v>
      </c>
      <c r="B23" s="69" t="s">
        <v>230</v>
      </c>
      <c r="C23" s="40" t="s">
        <v>88</v>
      </c>
      <c r="D23" s="43" t="s">
        <v>232</v>
      </c>
      <c r="E23" s="37">
        <v>55</v>
      </c>
      <c r="F23" s="37">
        <v>33.536585365853661</v>
      </c>
      <c r="G23" s="222">
        <f t="shared" si="0"/>
        <v>1671.8419015293216</v>
      </c>
      <c r="H23" s="43"/>
    </row>
    <row r="24" spans="1:30">
      <c r="A24" s="37">
        <v>20</v>
      </c>
      <c r="B24" s="66" t="s">
        <v>229</v>
      </c>
      <c r="C24" s="33" t="s">
        <v>166</v>
      </c>
      <c r="D24" s="96" t="s">
        <v>720</v>
      </c>
      <c r="E24" s="37">
        <v>38</v>
      </c>
      <c r="F24" s="37">
        <v>36.585365853658537</v>
      </c>
      <c r="G24" s="222">
        <f t="shared" si="0"/>
        <v>644.26082629965481</v>
      </c>
      <c r="H24" s="43"/>
    </row>
    <row r="25" spans="1:30">
      <c r="A25" s="37">
        <v>21</v>
      </c>
      <c r="B25" s="66" t="s">
        <v>253</v>
      </c>
      <c r="C25" s="40" t="s">
        <v>122</v>
      </c>
      <c r="D25" s="96" t="s">
        <v>255</v>
      </c>
      <c r="E25" s="37">
        <v>38</v>
      </c>
      <c r="F25" s="37">
        <v>25.304878048780488</v>
      </c>
      <c r="G25" s="222">
        <f t="shared" si="0"/>
        <v>644.26082629965481</v>
      </c>
      <c r="H25" s="43"/>
    </row>
    <row r="26" spans="1:30">
      <c r="A26" s="37">
        <v>22</v>
      </c>
      <c r="B26" s="69" t="s">
        <v>230</v>
      </c>
      <c r="C26" s="40" t="s">
        <v>88</v>
      </c>
      <c r="D26" s="43" t="s">
        <v>232</v>
      </c>
      <c r="E26" s="37">
        <v>20</v>
      </c>
      <c r="F26" s="37">
        <v>18.597560975609756</v>
      </c>
      <c r="G26" s="222">
        <f t="shared" si="0"/>
        <v>123.07113006706489</v>
      </c>
      <c r="H26" s="43"/>
    </row>
    <row r="27" spans="1:30">
      <c r="A27" s="37">
        <v>23</v>
      </c>
      <c r="B27" s="69" t="s">
        <v>230</v>
      </c>
      <c r="C27" s="40" t="s">
        <v>88</v>
      </c>
      <c r="D27" s="43" t="s">
        <v>232</v>
      </c>
      <c r="E27" s="37">
        <v>61</v>
      </c>
      <c r="F27" s="37">
        <v>28.658536585365855</v>
      </c>
      <c r="G27" s="222">
        <f t="shared" si="0"/>
        <v>2183.5617300226813</v>
      </c>
      <c r="H27" s="43"/>
    </row>
    <row r="28" spans="1:30">
      <c r="A28" s="37">
        <v>24</v>
      </c>
      <c r="B28" s="66" t="s">
        <v>242</v>
      </c>
      <c r="C28" s="33" t="s">
        <v>98</v>
      </c>
      <c r="D28" s="325" t="s">
        <v>241</v>
      </c>
      <c r="E28" s="37">
        <v>34</v>
      </c>
      <c r="F28" s="37">
        <v>25.304878048780488</v>
      </c>
      <c r="G28" s="222">
        <f t="shared" si="0"/>
        <v>483.5973993039749</v>
      </c>
      <c r="H28" s="43"/>
    </row>
    <row r="29" spans="1:30">
      <c r="A29" s="340" t="s">
        <v>463</v>
      </c>
      <c r="B29" s="340"/>
      <c r="C29" s="340"/>
      <c r="D29" s="340"/>
      <c r="E29" s="340"/>
      <c r="F29" s="340"/>
      <c r="G29" s="33">
        <f t="shared" si="0"/>
        <v>0</v>
      </c>
      <c r="H29" s="43"/>
    </row>
    <row r="30" spans="1:30">
      <c r="C30" s="1" t="s">
        <v>781</v>
      </c>
      <c r="D30" s="1">
        <f>COUNTIF(D4:D28,D27)</f>
        <v>8</v>
      </c>
      <c r="E30" s="329">
        <v>0.33329999999999999</v>
      </c>
    </row>
  </sheetData>
  <mergeCells count="21">
    <mergeCell ref="A29:F29"/>
    <mergeCell ref="J1:N1"/>
    <mergeCell ref="J10:K10"/>
    <mergeCell ref="M10:N10"/>
    <mergeCell ref="J11:K11"/>
    <mergeCell ref="M11:O11"/>
    <mergeCell ref="E1:G1"/>
    <mergeCell ref="E2:G2"/>
    <mergeCell ref="J2:K2"/>
    <mergeCell ref="M2:O2"/>
    <mergeCell ref="A1:C1"/>
    <mergeCell ref="AA1:AC1"/>
    <mergeCell ref="Z14:AC14"/>
    <mergeCell ref="Z15:AC15"/>
    <mergeCell ref="Z16:AC16"/>
    <mergeCell ref="Z17:AC17"/>
    <mergeCell ref="Z18:AC18"/>
    <mergeCell ref="Z19:AC19"/>
    <mergeCell ref="Z20:AC20"/>
    <mergeCell ref="Z21:AC21"/>
    <mergeCell ref="Z22:AC2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K39"/>
  <sheetViews>
    <sheetView zoomScaleNormal="100" workbookViewId="0">
      <selection activeCell="P6" sqref="P6"/>
    </sheetView>
  </sheetViews>
  <sheetFormatPr defaultRowHeight="15"/>
  <cols>
    <col min="1" max="1" width="9.140625" style="1"/>
    <col min="2" max="2" width="20.42578125" style="1" customWidth="1"/>
    <col min="3" max="3" width="21.85546875" style="1" bestFit="1" customWidth="1"/>
    <col min="4" max="4" width="14.7109375" style="1" bestFit="1" customWidth="1"/>
    <col min="5" max="5" width="11" style="1" customWidth="1"/>
    <col min="6" max="6" width="10" style="1" bestFit="1" customWidth="1"/>
    <col min="7" max="7" width="12.28515625" style="1" bestFit="1" customWidth="1"/>
    <col min="8" max="8" width="13.5703125" style="1" bestFit="1" customWidth="1"/>
    <col min="9" max="9" width="9.140625" style="1"/>
    <col min="10" max="10" width="13.85546875" style="1" customWidth="1"/>
    <col min="11" max="11" width="16.28515625" style="1" customWidth="1"/>
    <col min="12" max="14" width="9.140625" style="1"/>
    <col min="15" max="15" width="12.28515625" style="1" bestFit="1" customWidth="1"/>
    <col min="16" max="16" width="13.5703125" style="1" bestFit="1" customWidth="1"/>
    <col min="17" max="16384" width="9.140625" style="1"/>
  </cols>
  <sheetData>
    <row r="1" spans="1:37">
      <c r="A1" s="338" t="s">
        <v>562</v>
      </c>
      <c r="B1" s="338"/>
      <c r="C1" s="338"/>
      <c r="D1" s="324"/>
      <c r="E1" s="338" t="s">
        <v>563</v>
      </c>
      <c r="F1" s="338"/>
      <c r="G1" s="338"/>
      <c r="H1" s="286"/>
      <c r="J1" s="338" t="s">
        <v>564</v>
      </c>
      <c r="K1" s="338"/>
      <c r="L1" s="338"/>
      <c r="M1" s="338"/>
      <c r="N1" s="338"/>
      <c r="S1" s="2" t="s">
        <v>565</v>
      </c>
      <c r="AA1" s="338" t="s">
        <v>438</v>
      </c>
      <c r="AB1" s="338"/>
      <c r="AC1" s="338"/>
    </row>
    <row r="2" spans="1:37">
      <c r="A2" s="2" t="s">
        <v>566</v>
      </c>
      <c r="B2" s="2"/>
      <c r="E2" s="338" t="s">
        <v>440</v>
      </c>
      <c r="F2" s="338"/>
      <c r="G2" s="338"/>
      <c r="H2" s="286"/>
      <c r="J2" s="338"/>
      <c r="K2" s="338"/>
      <c r="M2" s="338"/>
      <c r="N2" s="338"/>
      <c r="O2" s="338"/>
      <c r="P2" s="286"/>
      <c r="Q2" s="286"/>
      <c r="AG2" s="9"/>
      <c r="AH2" s="9"/>
      <c r="AI2" s="9"/>
      <c r="AJ2" s="9"/>
      <c r="AK2" s="25"/>
    </row>
    <row r="3" spans="1:37">
      <c r="Z3" s="1">
        <v>2</v>
      </c>
      <c r="AA3" s="1">
        <v>8</v>
      </c>
      <c r="AC3" s="1">
        <v>3</v>
      </c>
      <c r="AG3" s="9"/>
      <c r="AH3" s="9"/>
      <c r="AI3" s="9"/>
      <c r="AJ3" s="9"/>
      <c r="AK3" s="25"/>
    </row>
    <row r="4" spans="1:37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445</v>
      </c>
      <c r="H4" s="213" t="s">
        <v>4</v>
      </c>
      <c r="I4" s="1" t="s">
        <v>770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26" t="s">
        <v>445</v>
      </c>
      <c r="P4" s="210" t="s">
        <v>4</v>
      </c>
      <c r="Q4" s="210"/>
      <c r="S4" s="3" t="s">
        <v>441</v>
      </c>
      <c r="T4" s="3" t="s">
        <v>442</v>
      </c>
      <c r="U4" s="26" t="s">
        <v>224</v>
      </c>
      <c r="V4" s="3" t="s">
        <v>443</v>
      </c>
      <c r="W4" s="3" t="s">
        <v>444</v>
      </c>
      <c r="X4" s="26" t="s">
        <v>448</v>
      </c>
      <c r="Z4" s="9"/>
      <c r="AA4" s="10"/>
      <c r="AB4" s="10"/>
      <c r="AC4" s="11"/>
      <c r="AG4" s="9"/>
      <c r="AH4" s="9"/>
      <c r="AI4" s="9"/>
      <c r="AJ4" s="9"/>
      <c r="AK4" s="25"/>
    </row>
    <row r="5" spans="1:37">
      <c r="A5" s="37">
        <v>1</v>
      </c>
      <c r="B5" s="66" t="s">
        <v>236</v>
      </c>
      <c r="C5" s="40" t="s">
        <v>90</v>
      </c>
      <c r="D5" s="43" t="s">
        <v>238</v>
      </c>
      <c r="E5" s="37">
        <v>58</v>
      </c>
      <c r="F5" s="37">
        <v>27.439024390243905</v>
      </c>
      <c r="G5" s="222">
        <f>0.0543*E5^2.579</f>
        <v>1917.2582931058187</v>
      </c>
      <c r="H5" s="211">
        <f>SUM(G5:G36)/1000/0.025</f>
        <v>1362.3698092722043</v>
      </c>
      <c r="I5" s="75">
        <f>AVERAGE(F5:F36)</f>
        <v>19.998094512195124</v>
      </c>
      <c r="J5" s="37">
        <v>33</v>
      </c>
      <c r="K5" s="66" t="s">
        <v>245</v>
      </c>
      <c r="L5" s="40" t="s">
        <v>118</v>
      </c>
      <c r="M5" s="37">
        <v>17</v>
      </c>
      <c r="N5" s="33">
        <v>18.902439024390244</v>
      </c>
      <c r="O5" s="222">
        <f>0.0543*M5^2.579</f>
        <v>80.933365039903734</v>
      </c>
      <c r="P5" s="211">
        <f>SUM(O5:O10)/1000/0.0625</f>
        <v>6.2566885371078094</v>
      </c>
      <c r="Q5" s="43"/>
      <c r="S5" s="19">
        <v>0</v>
      </c>
      <c r="T5" s="19">
        <v>0</v>
      </c>
      <c r="U5" s="19">
        <v>0</v>
      </c>
      <c r="V5" s="19">
        <v>0</v>
      </c>
      <c r="W5" s="4">
        <v>0</v>
      </c>
      <c r="X5" s="4">
        <v>0</v>
      </c>
      <c r="Z5" s="9"/>
      <c r="AA5" s="12"/>
      <c r="AB5" s="12"/>
      <c r="AC5" s="13"/>
      <c r="AG5" s="9"/>
      <c r="AH5" s="9"/>
      <c r="AI5" s="9"/>
      <c r="AJ5" s="9"/>
      <c r="AK5" s="25"/>
    </row>
    <row r="6" spans="1:37">
      <c r="A6" s="37">
        <v>2</v>
      </c>
      <c r="B6" s="69" t="s">
        <v>230</v>
      </c>
      <c r="C6" s="40" t="s">
        <v>88</v>
      </c>
      <c r="D6" s="43" t="s">
        <v>232</v>
      </c>
      <c r="E6" s="37">
        <v>26</v>
      </c>
      <c r="F6" s="37">
        <v>16.76829268292683</v>
      </c>
      <c r="G6" s="222">
        <f t="shared" ref="G6:G37" si="0">0.0543*E6^2.579</f>
        <v>242.11187664507929</v>
      </c>
      <c r="H6" s="43"/>
      <c r="J6" s="37">
        <v>34</v>
      </c>
      <c r="K6" s="69" t="s">
        <v>276</v>
      </c>
      <c r="L6" s="33" t="s">
        <v>143</v>
      </c>
      <c r="M6" s="37">
        <v>18</v>
      </c>
      <c r="N6" s="33">
        <v>18.292682926829269</v>
      </c>
      <c r="O6" s="222">
        <f t="shared" ref="O6:O11" si="1">0.0543*M6^2.579</f>
        <v>93.788074609647225</v>
      </c>
      <c r="P6" s="43"/>
      <c r="Q6" s="43"/>
      <c r="S6" s="24" t="s">
        <v>449</v>
      </c>
      <c r="Z6" s="9"/>
      <c r="AA6" s="12"/>
      <c r="AB6" s="12"/>
      <c r="AC6" s="14"/>
      <c r="AG6" s="9"/>
      <c r="AH6" s="9"/>
      <c r="AI6" s="9"/>
      <c r="AJ6" s="9"/>
      <c r="AK6" s="25"/>
    </row>
    <row r="7" spans="1:37">
      <c r="A7" s="37">
        <v>3</v>
      </c>
      <c r="B7" s="66" t="s">
        <v>236</v>
      </c>
      <c r="C7" s="40" t="s">
        <v>90</v>
      </c>
      <c r="D7" s="43" t="s">
        <v>238</v>
      </c>
      <c r="E7" s="37">
        <v>65</v>
      </c>
      <c r="F7" s="37">
        <v>25.914634146341466</v>
      </c>
      <c r="G7" s="222">
        <f t="shared" si="0"/>
        <v>2572.1919597953765</v>
      </c>
      <c r="H7" s="43"/>
      <c r="J7" s="37">
        <v>35</v>
      </c>
      <c r="K7" s="69" t="s">
        <v>276</v>
      </c>
      <c r="L7" s="33" t="s">
        <v>143</v>
      </c>
      <c r="M7" s="37">
        <v>12</v>
      </c>
      <c r="N7" s="33">
        <v>11.585365853658537</v>
      </c>
      <c r="O7" s="222">
        <f t="shared" si="1"/>
        <v>32.961598358796536</v>
      </c>
      <c r="P7" s="43"/>
      <c r="Q7" s="43"/>
      <c r="Z7" s="9">
        <v>6</v>
      </c>
      <c r="AA7" s="12"/>
      <c r="AB7" s="15"/>
      <c r="AC7" s="16"/>
      <c r="AD7" s="18">
        <v>7</v>
      </c>
      <c r="AG7" s="9"/>
      <c r="AH7" s="9"/>
      <c r="AI7" s="9"/>
      <c r="AJ7" s="9"/>
      <c r="AK7" s="25"/>
    </row>
    <row r="8" spans="1:37">
      <c r="A8" s="37">
        <v>4</v>
      </c>
      <c r="B8" s="66" t="s">
        <v>258</v>
      </c>
      <c r="C8" s="40" t="s">
        <v>119</v>
      </c>
      <c r="D8" s="325" t="s">
        <v>238</v>
      </c>
      <c r="E8" s="37">
        <v>77</v>
      </c>
      <c r="F8" s="37">
        <v>26.524390243902442</v>
      </c>
      <c r="G8" s="222">
        <f t="shared" si="0"/>
        <v>3981.6163380276826</v>
      </c>
      <c r="H8" s="43"/>
      <c r="J8" s="37">
        <v>36</v>
      </c>
      <c r="K8" s="66" t="s">
        <v>245</v>
      </c>
      <c r="L8" s="40" t="s">
        <v>118</v>
      </c>
      <c r="M8" s="37">
        <v>18</v>
      </c>
      <c r="N8" s="33">
        <v>19.207317073170731</v>
      </c>
      <c r="O8" s="222">
        <f t="shared" si="1"/>
        <v>93.788074609647225</v>
      </c>
      <c r="P8" s="43"/>
      <c r="Q8" s="43"/>
      <c r="S8" s="27" t="s">
        <v>442</v>
      </c>
      <c r="T8" s="3" t="s">
        <v>224</v>
      </c>
      <c r="U8" s="27" t="s">
        <v>450</v>
      </c>
      <c r="V8" s="27" t="s">
        <v>448</v>
      </c>
      <c r="Z8" s="9"/>
      <c r="AA8" s="12">
        <v>1</v>
      </c>
      <c r="AB8" s="9"/>
      <c r="AC8" s="14"/>
      <c r="AG8" s="9"/>
      <c r="AH8" s="9"/>
      <c r="AI8" s="9"/>
      <c r="AJ8" s="9"/>
      <c r="AK8" s="25"/>
    </row>
    <row r="9" spans="1:37">
      <c r="A9" s="37">
        <v>5</v>
      </c>
      <c r="B9" s="66" t="s">
        <v>236</v>
      </c>
      <c r="C9" s="40" t="s">
        <v>90</v>
      </c>
      <c r="D9" s="43" t="s">
        <v>238</v>
      </c>
      <c r="E9" s="37">
        <v>56</v>
      </c>
      <c r="F9" s="37">
        <v>25.609756097560979</v>
      </c>
      <c r="G9" s="222">
        <f t="shared" si="0"/>
        <v>1751.3653423709684</v>
      </c>
      <c r="H9" s="43"/>
      <c r="J9" s="37">
        <v>37</v>
      </c>
      <c r="K9" s="66" t="s">
        <v>258</v>
      </c>
      <c r="L9" s="40" t="s">
        <v>119</v>
      </c>
      <c r="M9" s="37">
        <v>13</v>
      </c>
      <c r="N9" s="33">
        <v>11.585365853658537</v>
      </c>
      <c r="O9" s="222">
        <f t="shared" si="1"/>
        <v>40.51909485289751</v>
      </c>
      <c r="P9" s="43"/>
      <c r="Q9" s="43"/>
      <c r="S9" s="66" t="s">
        <v>275</v>
      </c>
      <c r="T9" s="40" t="s">
        <v>86</v>
      </c>
      <c r="U9" s="37">
        <v>1</v>
      </c>
      <c r="V9" s="33"/>
      <c r="Z9" s="9"/>
      <c r="AA9" s="12"/>
      <c r="AB9" s="9"/>
      <c r="AC9" s="14"/>
      <c r="AG9" s="9"/>
      <c r="AH9" s="9"/>
      <c r="AI9" s="9"/>
      <c r="AJ9" s="9"/>
      <c r="AK9" s="25"/>
    </row>
    <row r="10" spans="1:37">
      <c r="A10" s="37">
        <v>6</v>
      </c>
      <c r="B10" s="66" t="s">
        <v>236</v>
      </c>
      <c r="C10" s="40" t="s">
        <v>90</v>
      </c>
      <c r="D10" s="43" t="s">
        <v>238</v>
      </c>
      <c r="E10" s="37">
        <v>57</v>
      </c>
      <c r="F10" s="37">
        <v>26.219512195121954</v>
      </c>
      <c r="G10" s="222">
        <f t="shared" si="0"/>
        <v>1833.1629973562706</v>
      </c>
      <c r="H10" s="43"/>
      <c r="J10" s="37">
        <v>38</v>
      </c>
      <c r="K10" s="66" t="s">
        <v>270</v>
      </c>
      <c r="L10" s="40" t="s">
        <v>96</v>
      </c>
      <c r="M10" s="37">
        <v>14</v>
      </c>
      <c r="N10" s="33">
        <v>9.1463414634146343</v>
      </c>
      <c r="O10" s="222">
        <f t="shared" si="1"/>
        <v>49.052826098345776</v>
      </c>
      <c r="P10" s="43"/>
      <c r="Q10" s="43"/>
      <c r="S10" s="77" t="s">
        <v>310</v>
      </c>
      <c r="T10" s="33"/>
      <c r="U10" s="37">
        <v>1</v>
      </c>
      <c r="V10" s="33"/>
      <c r="Z10" s="9"/>
      <c r="AA10" s="12"/>
      <c r="AB10" s="9"/>
      <c r="AC10" s="14"/>
      <c r="AG10" s="9"/>
      <c r="AH10" s="9"/>
      <c r="AI10" s="9"/>
      <c r="AJ10" s="9"/>
      <c r="AK10" s="25"/>
    </row>
    <row r="11" spans="1:37">
      <c r="A11" s="37">
        <v>7</v>
      </c>
      <c r="B11" s="66" t="s">
        <v>250</v>
      </c>
      <c r="C11" s="40" t="s">
        <v>94</v>
      </c>
      <c r="D11" s="43" t="s">
        <v>241</v>
      </c>
      <c r="E11" s="37">
        <v>25</v>
      </c>
      <c r="F11" s="37">
        <v>13.414634146341465</v>
      </c>
      <c r="G11" s="222">
        <f t="shared" si="0"/>
        <v>218.82004950676119</v>
      </c>
      <c r="H11" s="43"/>
      <c r="J11" s="24" t="s">
        <v>459</v>
      </c>
      <c r="O11" s="33">
        <f t="shared" si="1"/>
        <v>0</v>
      </c>
      <c r="S11" s="66" t="s">
        <v>245</v>
      </c>
      <c r="T11" s="40" t="s">
        <v>118</v>
      </c>
      <c r="U11" s="37">
        <v>2</v>
      </c>
      <c r="V11" s="33"/>
      <c r="Z11" s="9">
        <v>4</v>
      </c>
      <c r="AA11" s="15"/>
      <c r="AB11" s="17"/>
      <c r="AC11" s="16"/>
      <c r="AD11" s="18">
        <v>5</v>
      </c>
      <c r="AG11" s="9"/>
      <c r="AH11" s="9"/>
      <c r="AI11" s="9"/>
      <c r="AJ11" s="9"/>
      <c r="AK11" s="9"/>
    </row>
    <row r="12" spans="1:37">
      <c r="A12" s="37">
        <v>8</v>
      </c>
      <c r="B12" s="69" t="s">
        <v>304</v>
      </c>
      <c r="C12" s="327" t="s">
        <v>206</v>
      </c>
      <c r="D12" s="37" t="s">
        <v>780</v>
      </c>
      <c r="E12" s="37">
        <v>40</v>
      </c>
      <c r="F12" s="37">
        <v>20.731707317073173</v>
      </c>
      <c r="G12" s="222">
        <f t="shared" si="0"/>
        <v>735.38124110481999</v>
      </c>
      <c r="H12" s="43"/>
      <c r="S12" s="66" t="s">
        <v>308</v>
      </c>
      <c r="T12" s="37" t="s">
        <v>210</v>
      </c>
      <c r="U12" s="37">
        <v>1</v>
      </c>
      <c r="V12" s="33"/>
      <c r="AA12" s="1">
        <v>9</v>
      </c>
    </row>
    <row r="13" spans="1:37">
      <c r="A13" s="37">
        <v>9</v>
      </c>
      <c r="B13" s="66" t="s">
        <v>268</v>
      </c>
      <c r="C13" s="33" t="s">
        <v>171</v>
      </c>
      <c r="D13" s="325" t="s">
        <v>241</v>
      </c>
      <c r="E13" s="37">
        <v>20</v>
      </c>
      <c r="F13" s="37">
        <v>11.585365853658537</v>
      </c>
      <c r="G13" s="222">
        <f t="shared" si="0"/>
        <v>123.07113006706489</v>
      </c>
      <c r="H13" s="43"/>
      <c r="S13" s="66" t="s">
        <v>233</v>
      </c>
      <c r="T13" s="40" t="s">
        <v>124</v>
      </c>
      <c r="U13" s="37">
        <v>8</v>
      </c>
      <c r="V13" s="33"/>
    </row>
    <row r="14" spans="1:37">
      <c r="A14" s="37">
        <v>10</v>
      </c>
      <c r="B14" s="66" t="s">
        <v>268</v>
      </c>
      <c r="C14" s="33" t="s">
        <v>171</v>
      </c>
      <c r="D14" s="325" t="s">
        <v>241</v>
      </c>
      <c r="E14" s="37">
        <v>20</v>
      </c>
      <c r="F14" s="37">
        <v>11.280487804878049</v>
      </c>
      <c r="G14" s="222">
        <f t="shared" si="0"/>
        <v>123.07113006706489</v>
      </c>
      <c r="H14" s="43"/>
      <c r="J14" s="338"/>
      <c r="K14" s="338"/>
      <c r="M14" s="338"/>
      <c r="N14" s="338"/>
      <c r="S14" s="33"/>
      <c r="T14" s="33"/>
      <c r="U14" s="33"/>
      <c r="V14" s="33"/>
      <c r="Z14" s="338" t="s">
        <v>567</v>
      </c>
      <c r="AA14" s="338"/>
      <c r="AB14" s="338"/>
      <c r="AC14" s="338"/>
    </row>
    <row r="15" spans="1:37">
      <c r="A15" s="37">
        <v>11</v>
      </c>
      <c r="B15" s="66" t="s">
        <v>236</v>
      </c>
      <c r="C15" s="40" t="s">
        <v>90</v>
      </c>
      <c r="D15" s="43" t="s">
        <v>238</v>
      </c>
      <c r="E15" s="37">
        <v>45</v>
      </c>
      <c r="F15" s="37">
        <v>23.780487804878049</v>
      </c>
      <c r="G15" s="222">
        <f t="shared" si="0"/>
        <v>996.4027158786098</v>
      </c>
      <c r="H15" s="43"/>
      <c r="J15" s="338"/>
      <c r="K15" s="338"/>
      <c r="M15" s="338"/>
      <c r="N15" s="338"/>
      <c r="O15" s="338"/>
      <c r="P15" s="286"/>
      <c r="Q15" s="286"/>
      <c r="S15" s="37" t="s">
        <v>366</v>
      </c>
      <c r="T15" s="33"/>
      <c r="U15" s="37" t="s">
        <v>367</v>
      </c>
      <c r="V15" s="37" t="s">
        <v>388</v>
      </c>
      <c r="Z15" s="338" t="s">
        <v>568</v>
      </c>
      <c r="AA15" s="338"/>
      <c r="AB15" s="338"/>
      <c r="AC15" s="338"/>
    </row>
    <row r="16" spans="1:37">
      <c r="A16" s="37">
        <v>12</v>
      </c>
      <c r="B16" s="66" t="s">
        <v>236</v>
      </c>
      <c r="C16" s="40" t="s">
        <v>90</v>
      </c>
      <c r="D16" s="43" t="s">
        <v>238</v>
      </c>
      <c r="E16" s="37">
        <v>46</v>
      </c>
      <c r="F16" s="37">
        <v>25.609756097560979</v>
      </c>
      <c r="G16" s="222">
        <f t="shared" si="0"/>
        <v>1054.5138241472591</v>
      </c>
      <c r="H16" s="43"/>
      <c r="S16" s="24" t="s">
        <v>451</v>
      </c>
      <c r="Z16" s="338" t="s">
        <v>569</v>
      </c>
      <c r="AA16" s="338"/>
      <c r="AB16" s="338"/>
      <c r="AC16" s="338"/>
    </row>
    <row r="17" spans="1:30">
      <c r="A17" s="37">
        <v>13</v>
      </c>
      <c r="B17" s="69" t="s">
        <v>242</v>
      </c>
      <c r="C17" s="37" t="s">
        <v>207</v>
      </c>
      <c r="D17" s="325" t="s">
        <v>241</v>
      </c>
      <c r="E17" s="37">
        <v>22</v>
      </c>
      <c r="F17" s="37">
        <v>16.158536585365855</v>
      </c>
      <c r="G17" s="222">
        <f t="shared" si="0"/>
        <v>157.36491932170634</v>
      </c>
      <c r="H17" s="43"/>
      <c r="J17" s="22"/>
      <c r="K17" s="22"/>
      <c r="L17" s="22"/>
      <c r="S17" s="24" t="s">
        <v>452</v>
      </c>
      <c r="Z17" s="338" t="s">
        <v>570</v>
      </c>
      <c r="AA17" s="338"/>
      <c r="AB17" s="338"/>
      <c r="AC17" s="338"/>
      <c r="AD17" s="1" t="s">
        <v>481</v>
      </c>
    </row>
    <row r="18" spans="1:30">
      <c r="A18" s="37">
        <v>14</v>
      </c>
      <c r="B18" s="69" t="s">
        <v>230</v>
      </c>
      <c r="C18" s="40" t="s">
        <v>88</v>
      </c>
      <c r="D18" s="43" t="s">
        <v>232</v>
      </c>
      <c r="E18" s="37">
        <v>52</v>
      </c>
      <c r="F18" s="37">
        <v>24.085365853658537</v>
      </c>
      <c r="G18" s="222">
        <f t="shared" si="0"/>
        <v>1446.679917836572</v>
      </c>
      <c r="H18" s="43"/>
      <c r="J18" s="290"/>
      <c r="K18" s="290"/>
      <c r="L18" s="290"/>
      <c r="Z18" s="338" t="s">
        <v>571</v>
      </c>
      <c r="AA18" s="338"/>
      <c r="AB18" s="338"/>
      <c r="AC18" s="338"/>
    </row>
    <row r="19" spans="1:30">
      <c r="A19" s="37">
        <v>15</v>
      </c>
      <c r="B19" s="69" t="s">
        <v>230</v>
      </c>
      <c r="C19" s="40" t="s">
        <v>88</v>
      </c>
      <c r="D19" s="43" t="s">
        <v>232</v>
      </c>
      <c r="E19" s="37">
        <v>38</v>
      </c>
      <c r="F19" s="37">
        <v>21.341463414634148</v>
      </c>
      <c r="G19" s="222">
        <f t="shared" si="0"/>
        <v>644.26082629965481</v>
      </c>
      <c r="H19" s="43"/>
      <c r="J19" s="290"/>
      <c r="K19" s="290"/>
      <c r="L19" s="290"/>
      <c r="Z19" s="338" t="s">
        <v>572</v>
      </c>
      <c r="AA19" s="338"/>
      <c r="AB19" s="338"/>
      <c r="AC19" s="338"/>
    </row>
    <row r="20" spans="1:30">
      <c r="A20" s="37">
        <v>16</v>
      </c>
      <c r="B20" s="69" t="s">
        <v>230</v>
      </c>
      <c r="C20" s="40" t="s">
        <v>88</v>
      </c>
      <c r="D20" s="43" t="s">
        <v>232</v>
      </c>
      <c r="E20" s="37">
        <v>45</v>
      </c>
      <c r="F20" s="37">
        <v>22.256097560975611</v>
      </c>
      <c r="G20" s="222">
        <f t="shared" si="0"/>
        <v>996.4027158786098</v>
      </c>
      <c r="H20" s="43"/>
      <c r="J20" s="290"/>
      <c r="K20" s="290"/>
      <c r="L20" s="290"/>
      <c r="Z20" s="338" t="s">
        <v>573</v>
      </c>
      <c r="AA20" s="338"/>
      <c r="AB20" s="338"/>
      <c r="AC20" s="338"/>
    </row>
    <row r="21" spans="1:30">
      <c r="A21" s="37">
        <v>17</v>
      </c>
      <c r="B21" s="69" t="s">
        <v>230</v>
      </c>
      <c r="C21" s="40" t="s">
        <v>88</v>
      </c>
      <c r="D21" s="43" t="s">
        <v>232</v>
      </c>
      <c r="E21" s="37">
        <v>34</v>
      </c>
      <c r="F21" s="37">
        <v>22.560975609756099</v>
      </c>
      <c r="G21" s="222">
        <f t="shared" si="0"/>
        <v>483.5973993039749</v>
      </c>
      <c r="H21" s="43"/>
      <c r="J21" s="290"/>
      <c r="K21" s="290"/>
      <c r="L21" s="290"/>
      <c r="Z21" s="338" t="s">
        <v>574</v>
      </c>
      <c r="AA21" s="338"/>
      <c r="AB21" s="338"/>
      <c r="AC21" s="338"/>
    </row>
    <row r="22" spans="1:30">
      <c r="A22" s="37">
        <v>18</v>
      </c>
      <c r="B22" s="66" t="s">
        <v>236</v>
      </c>
      <c r="C22" s="40" t="s">
        <v>90</v>
      </c>
      <c r="D22" s="43" t="s">
        <v>238</v>
      </c>
      <c r="E22" s="37">
        <v>32</v>
      </c>
      <c r="F22" s="37">
        <v>24.085365853658537</v>
      </c>
      <c r="G22" s="222">
        <f t="shared" si="0"/>
        <v>413.60104148086589</v>
      </c>
      <c r="H22" s="43"/>
      <c r="J22" s="290"/>
      <c r="K22" s="290"/>
      <c r="L22" s="290"/>
      <c r="Z22" s="338" t="s">
        <v>575</v>
      </c>
      <c r="AA22" s="338"/>
      <c r="AB22" s="338"/>
      <c r="AC22" s="338"/>
    </row>
    <row r="23" spans="1:30">
      <c r="A23" s="37">
        <v>19</v>
      </c>
      <c r="B23" s="69" t="s">
        <v>230</v>
      </c>
      <c r="C23" s="40" t="s">
        <v>88</v>
      </c>
      <c r="D23" s="43" t="s">
        <v>232</v>
      </c>
      <c r="E23" s="37">
        <v>35</v>
      </c>
      <c r="F23" s="37">
        <v>23.475609756097562</v>
      </c>
      <c r="G23" s="222">
        <f t="shared" si="0"/>
        <v>521.13628890815676</v>
      </c>
      <c r="H23" s="43"/>
      <c r="J23" s="290"/>
      <c r="K23" s="290"/>
      <c r="L23" s="290"/>
    </row>
    <row r="24" spans="1:30">
      <c r="A24" s="37">
        <v>20</v>
      </c>
      <c r="B24" s="66" t="s">
        <v>261</v>
      </c>
      <c r="C24" s="33" t="s">
        <v>95</v>
      </c>
      <c r="D24" s="325" t="s">
        <v>723</v>
      </c>
      <c r="E24" s="37">
        <v>45</v>
      </c>
      <c r="F24" s="37">
        <v>20.731707317073173</v>
      </c>
      <c r="G24" s="222">
        <f t="shared" si="0"/>
        <v>996.4027158786098</v>
      </c>
      <c r="H24" s="43"/>
      <c r="J24" s="290"/>
    </row>
    <row r="25" spans="1:30">
      <c r="A25" s="37">
        <v>21</v>
      </c>
      <c r="B25" s="66" t="s">
        <v>261</v>
      </c>
      <c r="C25" s="33" t="s">
        <v>95</v>
      </c>
      <c r="D25" s="325" t="s">
        <v>723</v>
      </c>
      <c r="E25" s="37">
        <v>41</v>
      </c>
      <c r="F25" s="37">
        <v>20.426829268292686</v>
      </c>
      <c r="G25" s="222">
        <f t="shared" si="0"/>
        <v>783.73527821042649</v>
      </c>
      <c r="H25" s="43"/>
      <c r="J25" s="290"/>
      <c r="K25" s="290"/>
      <c r="L25" s="290"/>
    </row>
    <row r="26" spans="1:30">
      <c r="A26" s="37">
        <v>22</v>
      </c>
      <c r="B26" s="69" t="s">
        <v>230</v>
      </c>
      <c r="C26" s="40" t="s">
        <v>88</v>
      </c>
      <c r="D26" s="43" t="s">
        <v>232</v>
      </c>
      <c r="E26" s="37">
        <v>22</v>
      </c>
      <c r="F26" s="37">
        <v>14.634146341463415</v>
      </c>
      <c r="G26" s="222">
        <f t="shared" si="0"/>
        <v>157.36491932170634</v>
      </c>
      <c r="H26" s="43"/>
      <c r="J26" s="290"/>
      <c r="K26" s="290"/>
      <c r="L26" s="290"/>
    </row>
    <row r="27" spans="1:30">
      <c r="A27" s="37">
        <v>23</v>
      </c>
      <c r="B27" s="69" t="s">
        <v>276</v>
      </c>
      <c r="C27" s="37" t="s">
        <v>208</v>
      </c>
      <c r="D27" s="96" t="s">
        <v>255</v>
      </c>
      <c r="E27" s="37">
        <v>21</v>
      </c>
      <c r="F27" s="37">
        <v>14.329268292682928</v>
      </c>
      <c r="G27" s="222">
        <f t="shared" si="0"/>
        <v>139.57363547262395</v>
      </c>
      <c r="H27" s="43"/>
    </row>
    <row r="28" spans="1:30">
      <c r="A28" s="37">
        <v>24</v>
      </c>
      <c r="B28" s="66" t="s">
        <v>258</v>
      </c>
      <c r="C28" s="40" t="s">
        <v>119</v>
      </c>
      <c r="D28" s="325" t="s">
        <v>238</v>
      </c>
      <c r="E28" s="37">
        <v>54</v>
      </c>
      <c r="F28" s="37">
        <v>27.134146341463417</v>
      </c>
      <c r="G28" s="222">
        <f t="shared" si="0"/>
        <v>1594.5690714042569</v>
      </c>
      <c r="H28" s="43"/>
    </row>
    <row r="29" spans="1:30">
      <c r="A29" s="37">
        <v>25</v>
      </c>
      <c r="B29" s="69" t="s">
        <v>297</v>
      </c>
      <c r="C29" s="37" t="s">
        <v>209</v>
      </c>
      <c r="D29" s="37" t="s">
        <v>779</v>
      </c>
      <c r="E29" s="37">
        <v>25</v>
      </c>
      <c r="F29" s="37">
        <v>5.4878048780487809</v>
      </c>
      <c r="G29" s="222">
        <f t="shared" si="0"/>
        <v>218.82004950676119</v>
      </c>
      <c r="H29" s="43"/>
    </row>
    <row r="30" spans="1:30">
      <c r="A30" s="37">
        <v>26</v>
      </c>
      <c r="B30" s="66" t="s">
        <v>270</v>
      </c>
      <c r="C30" s="40" t="s">
        <v>96</v>
      </c>
      <c r="D30" s="43" t="s">
        <v>271</v>
      </c>
      <c r="E30" s="37">
        <v>81</v>
      </c>
      <c r="F30" s="37">
        <v>28.658536585365855</v>
      </c>
      <c r="G30" s="222">
        <f t="shared" si="0"/>
        <v>4537.1453596147421</v>
      </c>
      <c r="H30" s="43"/>
    </row>
    <row r="31" spans="1:30">
      <c r="A31" s="37">
        <v>27</v>
      </c>
      <c r="B31" s="66" t="s">
        <v>265</v>
      </c>
      <c r="C31" s="33" t="s">
        <v>137</v>
      </c>
      <c r="D31" s="325" t="s">
        <v>267</v>
      </c>
      <c r="E31" s="37">
        <v>33</v>
      </c>
      <c r="F31" s="37">
        <v>17.378048780487806</v>
      </c>
      <c r="G31" s="222">
        <f t="shared" si="0"/>
        <v>447.76204823655206</v>
      </c>
      <c r="H31" s="43"/>
    </row>
    <row r="32" spans="1:30">
      <c r="A32" s="37">
        <v>28</v>
      </c>
      <c r="B32" s="66" t="s">
        <v>308</v>
      </c>
      <c r="C32" s="37" t="s">
        <v>210</v>
      </c>
      <c r="D32" s="43" t="s">
        <v>263</v>
      </c>
      <c r="E32" s="37">
        <v>27.5</v>
      </c>
      <c r="F32" s="37">
        <v>12.195121951219512</v>
      </c>
      <c r="G32" s="222">
        <f t="shared" si="0"/>
        <v>279.79428983742076</v>
      </c>
      <c r="H32" s="43"/>
      <c r="L32" s="41"/>
      <c r="M32" s="42"/>
    </row>
    <row r="33" spans="1:8">
      <c r="A33" s="37">
        <v>29</v>
      </c>
      <c r="B33" s="69" t="s">
        <v>230</v>
      </c>
      <c r="C33" s="40" t="s">
        <v>88</v>
      </c>
      <c r="D33" s="43" t="s">
        <v>232</v>
      </c>
      <c r="E33" s="37">
        <v>53</v>
      </c>
      <c r="F33" s="37">
        <v>17.987804878048781</v>
      </c>
      <c r="G33" s="222">
        <f t="shared" si="0"/>
        <v>1519.5230671755387</v>
      </c>
      <c r="H33" s="43"/>
    </row>
    <row r="34" spans="1:8">
      <c r="A34" s="37">
        <v>30</v>
      </c>
      <c r="B34" s="69" t="s">
        <v>230</v>
      </c>
      <c r="C34" s="40" t="s">
        <v>88</v>
      </c>
      <c r="D34" s="43" t="s">
        <v>232</v>
      </c>
      <c r="E34" s="37">
        <v>44</v>
      </c>
      <c r="F34" s="37">
        <v>12.804878048780489</v>
      </c>
      <c r="G34" s="222">
        <f t="shared" si="0"/>
        <v>940.29533664065059</v>
      </c>
      <c r="H34" s="43"/>
    </row>
    <row r="35" spans="1:8">
      <c r="A35" s="37">
        <v>31</v>
      </c>
      <c r="B35" s="66" t="s">
        <v>233</v>
      </c>
      <c r="C35" s="40" t="s">
        <v>124</v>
      </c>
      <c r="D35" s="299" t="s">
        <v>235</v>
      </c>
      <c r="E35" s="37">
        <v>36</v>
      </c>
      <c r="F35" s="37">
        <v>18.597560975609756</v>
      </c>
      <c r="G35" s="222">
        <f t="shared" si="0"/>
        <v>560.40755187418995</v>
      </c>
      <c r="H35" s="43"/>
    </row>
    <row r="36" spans="1:8">
      <c r="A36" s="37">
        <v>32</v>
      </c>
      <c r="B36" s="69" t="s">
        <v>230</v>
      </c>
      <c r="C36" s="40" t="s">
        <v>88</v>
      </c>
      <c r="D36" s="43" t="s">
        <v>232</v>
      </c>
      <c r="E36" s="37">
        <v>55</v>
      </c>
      <c r="F36" s="37">
        <v>20.731707317073173</v>
      </c>
      <c r="G36" s="222">
        <f t="shared" si="0"/>
        <v>1671.8419015293216</v>
      </c>
      <c r="H36" s="43"/>
    </row>
    <row r="37" spans="1:8">
      <c r="A37" s="340" t="s">
        <v>463</v>
      </c>
      <c r="B37" s="340"/>
      <c r="C37" s="340"/>
      <c r="D37" s="340"/>
      <c r="E37" s="340"/>
      <c r="F37" s="340"/>
      <c r="G37" s="33">
        <f t="shared" si="0"/>
        <v>0</v>
      </c>
    </row>
    <row r="39" spans="1:8">
      <c r="C39" s="1" t="s">
        <v>781</v>
      </c>
      <c r="D39" s="1">
        <f>COUNTIF(D4:D36,D19)</f>
        <v>10</v>
      </c>
      <c r="E39" s="329">
        <v>0.3125</v>
      </c>
    </row>
  </sheetData>
  <mergeCells count="21">
    <mergeCell ref="E1:G1"/>
    <mergeCell ref="E2:G2"/>
    <mergeCell ref="J2:K2"/>
    <mergeCell ref="M2:O2"/>
    <mergeCell ref="A1:C1"/>
    <mergeCell ref="A37:F37"/>
    <mergeCell ref="J1:N1"/>
    <mergeCell ref="AA1:AC1"/>
    <mergeCell ref="Z14:AC14"/>
    <mergeCell ref="Z15:AC15"/>
    <mergeCell ref="Z16:AC16"/>
    <mergeCell ref="Z17:AC17"/>
    <mergeCell ref="Z18:AC18"/>
    <mergeCell ref="Z19:AC19"/>
    <mergeCell ref="Z20:AC20"/>
    <mergeCell ref="Z21:AC21"/>
    <mergeCell ref="Z22:AC22"/>
    <mergeCell ref="J14:K14"/>
    <mergeCell ref="M14:N14"/>
    <mergeCell ref="J15:K15"/>
    <mergeCell ref="M15:O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K32"/>
  <sheetViews>
    <sheetView zoomScaleNormal="100" workbookViewId="0">
      <selection activeCell="P6" sqref="P6"/>
    </sheetView>
  </sheetViews>
  <sheetFormatPr defaultRowHeight="15"/>
  <cols>
    <col min="1" max="1" width="9.140625" style="1"/>
    <col min="2" max="2" width="14.5703125" style="1" customWidth="1"/>
    <col min="3" max="3" width="22.7109375" style="1" bestFit="1" customWidth="1"/>
    <col min="4" max="4" width="16.42578125" style="1" customWidth="1"/>
    <col min="5" max="5" width="13.7109375" style="1" customWidth="1"/>
    <col min="6" max="6" width="16.85546875" style="1" customWidth="1"/>
    <col min="7" max="8" width="9.140625" style="1"/>
    <col min="9" max="9" width="13.7109375" style="1" bestFit="1" customWidth="1"/>
    <col min="10" max="10" width="14.7109375" style="1" customWidth="1"/>
    <col min="11" max="11" width="13.42578125" style="1" bestFit="1" customWidth="1"/>
    <col min="12" max="16384" width="9.140625" style="1"/>
  </cols>
  <sheetData>
    <row r="1" spans="1:37">
      <c r="A1" s="338" t="s">
        <v>576</v>
      </c>
      <c r="B1" s="338"/>
      <c r="C1" s="338"/>
      <c r="D1" s="324"/>
      <c r="E1" s="338" t="s">
        <v>563</v>
      </c>
      <c r="F1" s="338"/>
      <c r="G1" s="338"/>
      <c r="H1" s="286"/>
      <c r="J1" s="338" t="s">
        <v>577</v>
      </c>
      <c r="K1" s="338"/>
      <c r="L1" s="338"/>
      <c r="M1" s="338"/>
      <c r="N1" s="338"/>
      <c r="R1" s="2" t="s">
        <v>578</v>
      </c>
      <c r="Z1" s="338" t="s">
        <v>438</v>
      </c>
      <c r="AA1" s="338"/>
      <c r="AB1" s="338"/>
    </row>
    <row r="2" spans="1:37">
      <c r="A2" s="2" t="s">
        <v>566</v>
      </c>
      <c r="B2" s="2"/>
      <c r="E2" s="338" t="s">
        <v>440</v>
      </c>
      <c r="F2" s="338"/>
      <c r="G2" s="338"/>
      <c r="H2" s="286"/>
      <c r="J2" s="338"/>
      <c r="K2" s="338"/>
      <c r="M2" s="338"/>
      <c r="N2" s="338"/>
      <c r="O2" s="338"/>
      <c r="P2" s="286"/>
      <c r="AE2" s="9"/>
      <c r="AF2" s="9"/>
      <c r="AG2" s="9"/>
      <c r="AH2" s="9"/>
      <c r="AI2" s="25"/>
      <c r="AJ2" s="9"/>
      <c r="AK2" s="9"/>
    </row>
    <row r="3" spans="1:37">
      <c r="Y3" s="1">
        <v>2</v>
      </c>
      <c r="Z3" s="1">
        <v>8</v>
      </c>
      <c r="AB3" s="1">
        <v>3</v>
      </c>
      <c r="AE3" s="9"/>
      <c r="AF3" s="9"/>
      <c r="AG3" s="9"/>
      <c r="AH3" s="9"/>
      <c r="AI3" s="25"/>
      <c r="AJ3" s="9"/>
      <c r="AK3" s="9"/>
    </row>
    <row r="4" spans="1:37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579</v>
      </c>
      <c r="H4" s="213" t="s">
        <v>580</v>
      </c>
      <c r="I4" s="1" t="s">
        <v>770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26" t="s">
        <v>445</v>
      </c>
      <c r="P4" s="210" t="s">
        <v>581</v>
      </c>
      <c r="R4" s="3" t="s">
        <v>441</v>
      </c>
      <c r="S4" s="3" t="s">
        <v>442</v>
      </c>
      <c r="T4" s="26" t="s">
        <v>224</v>
      </c>
      <c r="U4" s="3" t="s">
        <v>443</v>
      </c>
      <c r="V4" s="3" t="s">
        <v>444</v>
      </c>
      <c r="W4" s="26" t="s">
        <v>448</v>
      </c>
      <c r="Y4" s="9"/>
      <c r="Z4" s="10"/>
      <c r="AA4" s="10"/>
      <c r="AB4" s="11"/>
      <c r="AE4" s="9"/>
      <c r="AF4" s="9"/>
      <c r="AG4" s="9"/>
      <c r="AH4" s="9"/>
      <c r="AI4" s="25"/>
      <c r="AJ4" s="9"/>
      <c r="AK4" s="9"/>
    </row>
    <row r="5" spans="1:37">
      <c r="A5" s="33">
        <v>1</v>
      </c>
      <c r="B5" s="69" t="s">
        <v>295</v>
      </c>
      <c r="C5" s="33" t="s">
        <v>170</v>
      </c>
      <c r="D5" s="43" t="s">
        <v>241</v>
      </c>
      <c r="E5" s="33">
        <v>44</v>
      </c>
      <c r="F5" s="33">
        <v>13.719512195121952</v>
      </c>
      <c r="G5" s="222">
        <f>0.0543*E5^2.579</f>
        <v>940.29533664065059</v>
      </c>
      <c r="H5" s="211">
        <f>SUM(G5:G29)/1000/0.025</f>
        <v>1299.1072655268981</v>
      </c>
      <c r="I5" s="75">
        <f>AVERAGE(F5:F29)</f>
        <v>24</v>
      </c>
      <c r="J5" s="6">
        <v>26</v>
      </c>
      <c r="K5" s="67" t="s">
        <v>344</v>
      </c>
      <c r="L5" s="4" t="s">
        <v>329</v>
      </c>
      <c r="M5" s="6">
        <v>14</v>
      </c>
      <c r="N5" s="4">
        <v>9.1463414634146343</v>
      </c>
      <c r="O5" s="47">
        <f>0.0543*M5^2.579</f>
        <v>49.052826098345776</v>
      </c>
      <c r="P5" s="214">
        <f>O5/1000/0.0625</f>
        <v>0.78484521757353243</v>
      </c>
      <c r="R5" s="19">
        <v>0</v>
      </c>
      <c r="S5" s="19">
        <v>0</v>
      </c>
      <c r="T5" s="19">
        <v>0</v>
      </c>
      <c r="U5" s="19">
        <v>0</v>
      </c>
      <c r="V5" s="4">
        <v>0</v>
      </c>
      <c r="W5" s="4">
        <v>0</v>
      </c>
      <c r="Y5" s="9"/>
      <c r="Z5" s="12"/>
      <c r="AA5" s="12"/>
      <c r="AB5" s="13"/>
      <c r="AE5" s="9"/>
      <c r="AF5" s="9"/>
      <c r="AG5" s="9"/>
      <c r="AH5" s="9"/>
      <c r="AI5" s="25"/>
      <c r="AJ5" s="9"/>
      <c r="AK5" s="9"/>
    </row>
    <row r="6" spans="1:37">
      <c r="A6" s="33">
        <v>2</v>
      </c>
      <c r="B6" s="69" t="s">
        <v>230</v>
      </c>
      <c r="C6" s="40" t="s">
        <v>88</v>
      </c>
      <c r="D6" s="43" t="s">
        <v>232</v>
      </c>
      <c r="E6" s="33">
        <v>52</v>
      </c>
      <c r="F6" s="33">
        <v>25.914634146341466</v>
      </c>
      <c r="G6" s="222">
        <f t="shared" ref="G6:G30" si="0">0.0543*E6^2.579</f>
        <v>1446.679917836572</v>
      </c>
      <c r="H6" s="43"/>
      <c r="J6" s="24" t="s">
        <v>459</v>
      </c>
      <c r="R6" s="24" t="s">
        <v>449</v>
      </c>
      <c r="Y6" s="9"/>
      <c r="Z6" s="12"/>
      <c r="AA6" s="12"/>
      <c r="AB6" s="14"/>
      <c r="AE6" s="9"/>
      <c r="AF6" s="9"/>
      <c r="AG6" s="9"/>
      <c r="AH6" s="9"/>
      <c r="AI6" s="25"/>
      <c r="AJ6" s="9"/>
      <c r="AK6" s="9"/>
    </row>
    <row r="7" spans="1:37">
      <c r="A7" s="33">
        <v>3</v>
      </c>
      <c r="B7" s="66" t="s">
        <v>236</v>
      </c>
      <c r="C7" s="40" t="s">
        <v>90</v>
      </c>
      <c r="D7" s="43" t="s">
        <v>238</v>
      </c>
      <c r="E7" s="33">
        <v>90</v>
      </c>
      <c r="F7" s="33">
        <v>32.012195121951223</v>
      </c>
      <c r="G7" s="222">
        <f t="shared" si="0"/>
        <v>5953.7591427310153</v>
      </c>
      <c r="H7" s="43"/>
      <c r="Y7" s="9">
        <v>6</v>
      </c>
      <c r="Z7" s="12"/>
      <c r="AA7" s="15"/>
      <c r="AB7" s="16"/>
      <c r="AC7" s="18">
        <v>7</v>
      </c>
      <c r="AE7" s="9"/>
      <c r="AF7" s="9"/>
      <c r="AG7" s="9"/>
      <c r="AH7" s="9"/>
      <c r="AI7" s="25"/>
      <c r="AJ7" s="9"/>
      <c r="AK7" s="9"/>
    </row>
    <row r="8" spans="1:37">
      <c r="A8" s="33">
        <v>4</v>
      </c>
      <c r="B8" s="66" t="s">
        <v>242</v>
      </c>
      <c r="C8" s="33" t="s">
        <v>98</v>
      </c>
      <c r="D8" s="325" t="s">
        <v>241</v>
      </c>
      <c r="E8" s="33">
        <v>43</v>
      </c>
      <c r="F8" s="33">
        <v>22.865853658536587</v>
      </c>
      <c r="G8" s="222">
        <f t="shared" si="0"/>
        <v>886.16578232166205</v>
      </c>
      <c r="H8" s="43"/>
      <c r="J8" s="338"/>
      <c r="K8" s="338"/>
      <c r="M8" s="338"/>
      <c r="N8" s="338"/>
      <c r="R8" s="27" t="s">
        <v>442</v>
      </c>
      <c r="S8" s="3" t="s">
        <v>224</v>
      </c>
      <c r="T8" s="27" t="s">
        <v>450</v>
      </c>
      <c r="U8" s="27" t="s">
        <v>448</v>
      </c>
      <c r="Y8" s="9"/>
      <c r="Z8" s="12">
        <v>1</v>
      </c>
      <c r="AA8" s="9"/>
      <c r="AB8" s="14"/>
      <c r="AE8" s="9"/>
      <c r="AF8" s="9"/>
      <c r="AG8" s="9"/>
      <c r="AH8" s="9"/>
      <c r="AI8" s="25"/>
      <c r="AJ8" s="9"/>
      <c r="AK8" s="9"/>
    </row>
    <row r="9" spans="1:37">
      <c r="A9" s="33">
        <v>5</v>
      </c>
      <c r="B9" s="77" t="s">
        <v>310</v>
      </c>
      <c r="C9" s="33"/>
      <c r="D9" s="33"/>
      <c r="E9" s="33">
        <v>36</v>
      </c>
      <c r="F9" s="33">
        <v>21.951219512195124</v>
      </c>
      <c r="G9" s="222">
        <f t="shared" si="0"/>
        <v>560.40755187418995</v>
      </c>
      <c r="H9" s="43"/>
      <c r="J9" s="338"/>
      <c r="K9" s="338"/>
      <c r="M9" s="338"/>
      <c r="N9" s="338"/>
      <c r="O9" s="338"/>
      <c r="P9" s="286"/>
      <c r="R9" s="66" t="s">
        <v>270</v>
      </c>
      <c r="S9" s="40" t="s">
        <v>96</v>
      </c>
      <c r="T9" s="37">
        <v>1</v>
      </c>
      <c r="U9" s="33"/>
      <c r="Y9" s="9"/>
      <c r="Z9" s="12"/>
      <c r="AA9" s="9"/>
      <c r="AB9" s="14"/>
      <c r="AE9" s="9"/>
      <c r="AF9" s="9"/>
      <c r="AG9" s="9"/>
      <c r="AH9" s="9"/>
      <c r="AI9" s="25"/>
      <c r="AJ9" s="9"/>
      <c r="AK9" s="9"/>
    </row>
    <row r="10" spans="1:37">
      <c r="A10" s="33">
        <v>6</v>
      </c>
      <c r="B10" s="66" t="s">
        <v>265</v>
      </c>
      <c r="C10" s="33" t="s">
        <v>169</v>
      </c>
      <c r="D10" s="325" t="s">
        <v>267</v>
      </c>
      <c r="E10" s="33">
        <v>60</v>
      </c>
      <c r="F10" s="33">
        <v>23.170731707317074</v>
      </c>
      <c r="G10" s="222">
        <f t="shared" si="0"/>
        <v>2092.4346555199027</v>
      </c>
      <c r="H10" s="43"/>
      <c r="R10" s="69" t="s">
        <v>250</v>
      </c>
      <c r="S10" s="40" t="s">
        <v>94</v>
      </c>
      <c r="T10" s="37">
        <v>1</v>
      </c>
      <c r="U10" s="33"/>
      <c r="Y10" s="9"/>
      <c r="Z10" s="12"/>
      <c r="AA10" s="9"/>
      <c r="AB10" s="14"/>
      <c r="AE10" s="9"/>
      <c r="AF10" s="9"/>
      <c r="AG10" s="9"/>
      <c r="AH10" s="9"/>
      <c r="AI10" s="25"/>
      <c r="AJ10" s="9"/>
      <c r="AK10" s="9"/>
    </row>
    <row r="11" spans="1:37">
      <c r="A11" s="33">
        <v>7</v>
      </c>
      <c r="B11" s="69" t="s">
        <v>293</v>
      </c>
      <c r="C11" s="33" t="s">
        <v>168</v>
      </c>
      <c r="D11" s="43" t="s">
        <v>721</v>
      </c>
      <c r="E11" s="33">
        <v>31</v>
      </c>
      <c r="F11" s="33">
        <v>22.256097560975611</v>
      </c>
      <c r="G11" s="222">
        <f t="shared" si="0"/>
        <v>381.08480982637832</v>
      </c>
      <c r="H11" s="43"/>
      <c r="J11" s="22"/>
      <c r="K11" s="22"/>
      <c r="L11" s="22"/>
      <c r="R11" s="66" t="s">
        <v>264</v>
      </c>
      <c r="S11" s="33" t="s">
        <v>93</v>
      </c>
      <c r="T11" s="37">
        <v>3</v>
      </c>
      <c r="U11" s="33"/>
      <c r="Y11" s="9">
        <v>4</v>
      </c>
      <c r="Z11" s="15"/>
      <c r="AA11" s="17"/>
      <c r="AB11" s="16"/>
      <c r="AC11" s="18">
        <v>5</v>
      </c>
      <c r="AE11" s="9"/>
      <c r="AF11" s="9"/>
      <c r="AG11" s="9"/>
      <c r="AH11" s="9"/>
      <c r="AI11" s="9"/>
      <c r="AJ11" s="9"/>
      <c r="AK11" s="9"/>
    </row>
    <row r="12" spans="1:37">
      <c r="A12" s="33">
        <v>8</v>
      </c>
      <c r="B12" s="66" t="s">
        <v>242</v>
      </c>
      <c r="C12" s="33" t="s">
        <v>98</v>
      </c>
      <c r="D12" s="325" t="s">
        <v>241</v>
      </c>
      <c r="E12" s="33">
        <v>29</v>
      </c>
      <c r="F12" s="33">
        <v>21.646341463414636</v>
      </c>
      <c r="G12" s="222">
        <f t="shared" si="0"/>
        <v>320.86641808877988</v>
      </c>
      <c r="H12" s="43"/>
      <c r="J12" s="290"/>
      <c r="K12" s="290"/>
      <c r="L12" s="290"/>
      <c r="R12" s="66" t="s">
        <v>242</v>
      </c>
      <c r="S12" s="33" t="s">
        <v>98</v>
      </c>
      <c r="T12" s="37">
        <v>1</v>
      </c>
      <c r="U12" s="33"/>
      <c r="Z12" s="1">
        <v>9</v>
      </c>
      <c r="AE12" s="9"/>
      <c r="AF12" s="9"/>
      <c r="AG12" s="9"/>
      <c r="AH12" s="9"/>
      <c r="AI12" s="9"/>
      <c r="AJ12" s="9"/>
      <c r="AK12" s="9"/>
    </row>
    <row r="13" spans="1:37">
      <c r="A13" s="33">
        <v>9</v>
      </c>
      <c r="B13" s="69" t="s">
        <v>230</v>
      </c>
      <c r="C13" s="40" t="s">
        <v>88</v>
      </c>
      <c r="D13" s="43" t="s">
        <v>232</v>
      </c>
      <c r="E13" s="33">
        <v>58</v>
      </c>
      <c r="F13" s="33">
        <v>25.914634146341466</v>
      </c>
      <c r="G13" s="222">
        <f t="shared" si="0"/>
        <v>1917.2582931058187</v>
      </c>
      <c r="H13" s="43"/>
      <c r="J13" s="290"/>
      <c r="K13" s="290"/>
      <c r="L13" s="290"/>
      <c r="R13" s="37"/>
      <c r="S13" s="33"/>
      <c r="T13" s="37"/>
      <c r="U13" s="33"/>
      <c r="AE13" s="9"/>
      <c r="AF13" s="9"/>
      <c r="AG13" s="9"/>
      <c r="AH13" s="9"/>
      <c r="AI13" s="9"/>
      <c r="AJ13" s="9"/>
      <c r="AK13" s="9"/>
    </row>
    <row r="14" spans="1:37">
      <c r="A14" s="33">
        <v>10</v>
      </c>
      <c r="B14" s="69" t="s">
        <v>230</v>
      </c>
      <c r="C14" s="40" t="s">
        <v>88</v>
      </c>
      <c r="D14" s="43" t="s">
        <v>232</v>
      </c>
      <c r="E14" s="33">
        <v>36</v>
      </c>
      <c r="F14" s="33">
        <v>25.914634146341466</v>
      </c>
      <c r="G14" s="222">
        <f t="shared" si="0"/>
        <v>560.40755187418995</v>
      </c>
      <c r="H14" s="43"/>
      <c r="J14" s="290"/>
      <c r="K14" s="290"/>
      <c r="L14" s="290"/>
      <c r="R14" s="37" t="s">
        <v>366</v>
      </c>
      <c r="S14" s="33"/>
      <c r="T14" s="37" t="s">
        <v>363</v>
      </c>
      <c r="U14" s="37" t="s">
        <v>390</v>
      </c>
      <c r="Y14" s="338" t="s">
        <v>582</v>
      </c>
      <c r="Z14" s="338"/>
      <c r="AA14" s="338"/>
      <c r="AB14" s="338"/>
      <c r="AE14" s="9"/>
      <c r="AF14" s="9"/>
      <c r="AG14" s="9"/>
      <c r="AH14" s="9"/>
      <c r="AI14" s="9"/>
      <c r="AJ14" s="9"/>
      <c r="AK14" s="9"/>
    </row>
    <row r="15" spans="1:37">
      <c r="A15" s="33">
        <v>11</v>
      </c>
      <c r="B15" s="66" t="s">
        <v>307</v>
      </c>
      <c r="C15" s="33" t="s">
        <v>203</v>
      </c>
      <c r="D15" s="43" t="s">
        <v>729</v>
      </c>
      <c r="E15" s="33">
        <v>30</v>
      </c>
      <c r="F15" s="33">
        <v>24.695121951219512</v>
      </c>
      <c r="G15" s="222">
        <f t="shared" si="0"/>
        <v>350.18339230333765</v>
      </c>
      <c r="H15" s="43"/>
      <c r="J15" s="290"/>
      <c r="K15" s="290"/>
      <c r="L15" s="290"/>
      <c r="R15" s="24" t="s">
        <v>451</v>
      </c>
      <c r="Y15" s="338" t="s">
        <v>583</v>
      </c>
      <c r="Z15" s="338"/>
      <c r="AA15" s="338"/>
      <c r="AB15" s="338"/>
      <c r="AE15" s="9"/>
      <c r="AF15" s="9"/>
      <c r="AG15" s="9"/>
      <c r="AH15" s="9"/>
      <c r="AI15" s="9"/>
      <c r="AJ15" s="9"/>
      <c r="AK15" s="9"/>
    </row>
    <row r="16" spans="1:37">
      <c r="A16" s="33">
        <v>12</v>
      </c>
      <c r="B16" s="69" t="s">
        <v>253</v>
      </c>
      <c r="C16" s="40" t="s">
        <v>122</v>
      </c>
      <c r="D16" s="96" t="s">
        <v>255</v>
      </c>
      <c r="E16" s="33">
        <v>32</v>
      </c>
      <c r="F16" s="33">
        <v>23.780487804878049</v>
      </c>
      <c r="G16" s="222">
        <f t="shared" si="0"/>
        <v>413.60104148086589</v>
      </c>
      <c r="H16" s="43"/>
      <c r="J16" s="290"/>
      <c r="K16" s="290"/>
      <c r="L16" s="290"/>
      <c r="R16" s="24" t="s">
        <v>452</v>
      </c>
      <c r="Y16" s="338" t="s">
        <v>584</v>
      </c>
      <c r="Z16" s="338"/>
      <c r="AA16" s="338"/>
      <c r="AB16" s="338"/>
      <c r="AE16" s="9"/>
      <c r="AF16" s="9"/>
      <c r="AG16" s="9"/>
      <c r="AH16" s="9"/>
      <c r="AI16" s="9"/>
      <c r="AJ16" s="9"/>
      <c r="AK16" s="9"/>
    </row>
    <row r="17" spans="1:37">
      <c r="A17" s="33">
        <v>13</v>
      </c>
      <c r="B17" s="69" t="s">
        <v>250</v>
      </c>
      <c r="C17" s="40" t="s">
        <v>94</v>
      </c>
      <c r="D17" s="43" t="s">
        <v>241</v>
      </c>
      <c r="E17" s="33">
        <v>37</v>
      </c>
      <c r="F17" s="33">
        <v>24.085365853658537</v>
      </c>
      <c r="G17" s="222">
        <f t="shared" si="0"/>
        <v>601.4396781402761</v>
      </c>
      <c r="H17" s="43"/>
      <c r="J17" s="290"/>
      <c r="K17" s="290"/>
      <c r="L17" s="290"/>
      <c r="Y17" s="338" t="s">
        <v>585</v>
      </c>
      <c r="Z17" s="338"/>
      <c r="AA17" s="338"/>
      <c r="AB17" s="338"/>
      <c r="AC17" s="1" t="s">
        <v>481</v>
      </c>
      <c r="AE17" s="9"/>
      <c r="AF17" s="9"/>
      <c r="AG17" s="9"/>
      <c r="AH17" s="9"/>
      <c r="AI17" s="9"/>
      <c r="AJ17" s="9"/>
      <c r="AK17" s="9"/>
    </row>
    <row r="18" spans="1:37">
      <c r="A18" s="33">
        <v>14</v>
      </c>
      <c r="B18" s="69" t="s">
        <v>230</v>
      </c>
      <c r="C18" s="40" t="s">
        <v>88</v>
      </c>
      <c r="D18" s="43" t="s">
        <v>232</v>
      </c>
      <c r="E18" s="33">
        <v>48</v>
      </c>
      <c r="F18" s="33">
        <v>23.475609756097562</v>
      </c>
      <c r="G18" s="222">
        <f t="shared" si="0"/>
        <v>1176.8496452989223</v>
      </c>
      <c r="H18" s="43"/>
      <c r="Y18" s="338" t="s">
        <v>586</v>
      </c>
      <c r="Z18" s="338"/>
      <c r="AA18" s="338"/>
      <c r="AB18" s="338"/>
      <c r="AE18" s="9"/>
      <c r="AF18" s="9"/>
      <c r="AG18" s="9"/>
      <c r="AH18" s="9"/>
      <c r="AI18" s="9"/>
      <c r="AJ18" s="9"/>
      <c r="AK18" s="9"/>
    </row>
    <row r="19" spans="1:37">
      <c r="A19" s="33">
        <v>15</v>
      </c>
      <c r="B19" s="66" t="s">
        <v>258</v>
      </c>
      <c r="C19" s="40" t="s">
        <v>119</v>
      </c>
      <c r="D19" s="325" t="s">
        <v>238</v>
      </c>
      <c r="E19" s="33">
        <v>61</v>
      </c>
      <c r="F19" s="33">
        <v>27.134146341463417</v>
      </c>
      <c r="G19" s="222">
        <f t="shared" si="0"/>
        <v>2183.5617300226813</v>
      </c>
      <c r="H19" s="43"/>
      <c r="Y19" s="338" t="s">
        <v>587</v>
      </c>
      <c r="Z19" s="338"/>
      <c r="AA19" s="338"/>
      <c r="AB19" s="338"/>
      <c r="AE19" s="9"/>
      <c r="AF19" s="9"/>
      <c r="AG19" s="9"/>
      <c r="AH19" s="9"/>
      <c r="AI19" s="9"/>
      <c r="AJ19" s="9"/>
      <c r="AK19" s="9"/>
    </row>
    <row r="20" spans="1:37">
      <c r="A20" s="33">
        <v>16</v>
      </c>
      <c r="B20" s="69" t="s">
        <v>293</v>
      </c>
      <c r="C20" s="33" t="s">
        <v>168</v>
      </c>
      <c r="D20" s="43" t="s">
        <v>721</v>
      </c>
      <c r="E20" s="33">
        <v>38</v>
      </c>
      <c r="F20" s="33">
        <v>20.731707317073173</v>
      </c>
      <c r="G20" s="222">
        <f t="shared" si="0"/>
        <v>644.26082629965481</v>
      </c>
      <c r="H20" s="43"/>
      <c r="Y20" s="338" t="s">
        <v>588</v>
      </c>
      <c r="Z20" s="338"/>
      <c r="AA20" s="338"/>
      <c r="AB20" s="338"/>
      <c r="AE20" s="9"/>
      <c r="AF20" s="9"/>
      <c r="AG20" s="9"/>
      <c r="AH20" s="9"/>
      <c r="AI20" s="9"/>
      <c r="AJ20" s="9"/>
      <c r="AK20" s="9"/>
    </row>
    <row r="21" spans="1:37">
      <c r="A21" s="33">
        <v>17</v>
      </c>
      <c r="B21" s="69" t="s">
        <v>230</v>
      </c>
      <c r="C21" s="40" t="s">
        <v>88</v>
      </c>
      <c r="D21" s="43" t="s">
        <v>232</v>
      </c>
      <c r="E21" s="33">
        <v>63</v>
      </c>
      <c r="F21" s="33">
        <v>27.439024390243905</v>
      </c>
      <c r="G21" s="222">
        <f t="shared" si="0"/>
        <v>2373.007477063672</v>
      </c>
      <c r="H21" s="43"/>
      <c r="Y21" s="338" t="s">
        <v>589</v>
      </c>
      <c r="Z21" s="338"/>
      <c r="AA21" s="338"/>
      <c r="AB21" s="338"/>
      <c r="AE21" s="9"/>
      <c r="AF21" s="9"/>
      <c r="AG21" s="9"/>
      <c r="AH21" s="9"/>
      <c r="AI21" s="9"/>
      <c r="AJ21" s="9"/>
      <c r="AK21" s="9"/>
    </row>
    <row r="22" spans="1:37">
      <c r="A22" s="33">
        <v>18</v>
      </c>
      <c r="B22" s="66" t="s">
        <v>258</v>
      </c>
      <c r="C22" s="40" t="s">
        <v>119</v>
      </c>
      <c r="D22" s="325" t="s">
        <v>238</v>
      </c>
      <c r="E22" s="33">
        <v>51</v>
      </c>
      <c r="F22" s="33">
        <v>28.353658536585368</v>
      </c>
      <c r="G22" s="222">
        <f t="shared" si="0"/>
        <v>1376.0154611813107</v>
      </c>
      <c r="H22" s="43"/>
      <c r="Y22" s="338" t="s">
        <v>590</v>
      </c>
      <c r="Z22" s="338"/>
      <c r="AA22" s="338"/>
      <c r="AB22" s="338"/>
      <c r="AE22" s="9"/>
      <c r="AF22" s="9"/>
      <c r="AG22" s="9"/>
      <c r="AH22" s="9"/>
      <c r="AI22" s="9"/>
      <c r="AJ22" s="9"/>
      <c r="AK22" s="9"/>
    </row>
    <row r="23" spans="1:37">
      <c r="A23" s="33">
        <v>19</v>
      </c>
      <c r="B23" s="69" t="s">
        <v>230</v>
      </c>
      <c r="C23" s="40" t="s">
        <v>88</v>
      </c>
      <c r="D23" s="43" t="s">
        <v>232</v>
      </c>
      <c r="E23" s="33">
        <v>40</v>
      </c>
      <c r="F23" s="33">
        <v>28.04878048780488</v>
      </c>
      <c r="G23" s="222">
        <f t="shared" si="0"/>
        <v>735.38124110481999</v>
      </c>
      <c r="H23" s="43"/>
      <c r="AE23" s="9"/>
      <c r="AF23" s="9"/>
      <c r="AG23" s="9"/>
      <c r="AH23" s="9"/>
      <c r="AI23" s="9"/>
      <c r="AJ23" s="9"/>
      <c r="AK23" s="9"/>
    </row>
    <row r="24" spans="1:37">
      <c r="A24" s="33">
        <v>20</v>
      </c>
      <c r="B24" s="69" t="s">
        <v>230</v>
      </c>
      <c r="C24" s="40" t="s">
        <v>88</v>
      </c>
      <c r="D24" s="43" t="s">
        <v>232</v>
      </c>
      <c r="E24" s="33">
        <v>44</v>
      </c>
      <c r="F24" s="33">
        <v>27.134146341463417</v>
      </c>
      <c r="G24" s="222">
        <f t="shared" si="0"/>
        <v>940.29533664065059</v>
      </c>
      <c r="H24" s="43"/>
      <c r="AE24" s="9"/>
      <c r="AF24" s="9"/>
      <c r="AG24" s="9"/>
      <c r="AH24" s="9"/>
      <c r="AI24" s="9"/>
      <c r="AJ24" s="9"/>
      <c r="AK24" s="9"/>
    </row>
    <row r="25" spans="1:37">
      <c r="A25" s="33">
        <v>21</v>
      </c>
      <c r="B25" s="66" t="s">
        <v>303</v>
      </c>
      <c r="C25" s="33" t="s">
        <v>204</v>
      </c>
      <c r="D25" s="43" t="s">
        <v>263</v>
      </c>
      <c r="E25" s="33">
        <v>76</v>
      </c>
      <c r="F25" s="33">
        <v>22.560975609756099</v>
      </c>
      <c r="G25" s="222">
        <f t="shared" si="0"/>
        <v>3849.6219688669676</v>
      </c>
      <c r="H25" s="43"/>
      <c r="AE25" s="9"/>
      <c r="AF25" s="9"/>
      <c r="AG25" s="9"/>
      <c r="AH25" s="9"/>
      <c r="AI25" s="9"/>
      <c r="AJ25" s="9"/>
      <c r="AK25" s="9"/>
    </row>
    <row r="26" spans="1:37">
      <c r="A26" s="33">
        <v>22</v>
      </c>
      <c r="B26" s="69" t="s">
        <v>293</v>
      </c>
      <c r="C26" s="33" t="s">
        <v>168</v>
      </c>
      <c r="D26" s="43" t="s">
        <v>721</v>
      </c>
      <c r="E26" s="33">
        <v>25</v>
      </c>
      <c r="F26" s="33">
        <v>13.719512195121952</v>
      </c>
      <c r="G26" s="222">
        <f t="shared" si="0"/>
        <v>218.82004950676119</v>
      </c>
      <c r="H26" s="43"/>
    </row>
    <row r="27" spans="1:37">
      <c r="A27" s="33">
        <v>23</v>
      </c>
      <c r="B27" s="66" t="s">
        <v>257</v>
      </c>
      <c r="C27" s="33" t="s">
        <v>205</v>
      </c>
      <c r="D27" s="43" t="s">
        <v>726</v>
      </c>
      <c r="E27" s="33">
        <v>43</v>
      </c>
      <c r="F27" s="33">
        <v>26.524390243902442</v>
      </c>
      <c r="G27" s="222">
        <f t="shared" si="0"/>
        <v>886.16578232166205</v>
      </c>
      <c r="H27" s="43"/>
    </row>
    <row r="28" spans="1:37">
      <c r="A28" s="33">
        <v>24</v>
      </c>
      <c r="B28" s="66" t="s">
        <v>265</v>
      </c>
      <c r="C28" s="33" t="s">
        <v>169</v>
      </c>
      <c r="D28" s="325" t="s">
        <v>267</v>
      </c>
      <c r="E28" s="33">
        <v>51</v>
      </c>
      <c r="F28" s="33">
        <v>25.914634146341466</v>
      </c>
      <c r="G28" s="222">
        <f t="shared" si="0"/>
        <v>1376.0154611813107</v>
      </c>
      <c r="H28" s="43"/>
    </row>
    <row r="29" spans="1:37">
      <c r="A29" s="33">
        <v>25</v>
      </c>
      <c r="B29" s="69" t="s">
        <v>295</v>
      </c>
      <c r="C29" s="33" t="s">
        <v>170</v>
      </c>
      <c r="D29" s="43" t="s">
        <v>241</v>
      </c>
      <c r="E29" s="33">
        <v>28</v>
      </c>
      <c r="F29" s="33">
        <v>21.036585365853661</v>
      </c>
      <c r="G29" s="222">
        <f t="shared" si="0"/>
        <v>293.10308694040185</v>
      </c>
      <c r="H29" s="43"/>
    </row>
    <row r="30" spans="1:37">
      <c r="A30" s="340" t="s">
        <v>463</v>
      </c>
      <c r="B30" s="340"/>
      <c r="C30" s="340"/>
      <c r="D30" s="340"/>
      <c r="E30" s="340"/>
      <c r="F30" s="340"/>
      <c r="G30" s="33">
        <f t="shared" si="0"/>
        <v>0</v>
      </c>
    </row>
    <row r="32" spans="1:37">
      <c r="C32" s="1" t="s">
        <v>781</v>
      </c>
      <c r="D32" s="1">
        <f>COUNTIF(D5:D29,D23)</f>
        <v>7</v>
      </c>
      <c r="E32" s="330">
        <v>0.24</v>
      </c>
    </row>
  </sheetData>
  <mergeCells count="21">
    <mergeCell ref="E1:G1"/>
    <mergeCell ref="E2:G2"/>
    <mergeCell ref="J2:K2"/>
    <mergeCell ref="M2:O2"/>
    <mergeCell ref="A1:C1"/>
    <mergeCell ref="A30:F30"/>
    <mergeCell ref="J1:N1"/>
    <mergeCell ref="Z1:AB1"/>
    <mergeCell ref="Y14:AB14"/>
    <mergeCell ref="Y15:AB15"/>
    <mergeCell ref="Y16:AB16"/>
    <mergeCell ref="Y17:AB17"/>
    <mergeCell ref="Y18:AB18"/>
    <mergeCell ref="Y19:AB19"/>
    <mergeCell ref="Y20:AB20"/>
    <mergeCell ref="Y21:AB21"/>
    <mergeCell ref="Y22:AB22"/>
    <mergeCell ref="J8:K8"/>
    <mergeCell ref="M8:N8"/>
    <mergeCell ref="J9:K9"/>
    <mergeCell ref="M9:O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M35"/>
  <sheetViews>
    <sheetView zoomScale="115" zoomScaleNormal="115" workbookViewId="0">
      <selection activeCell="P6" sqref="P6"/>
    </sheetView>
  </sheetViews>
  <sheetFormatPr defaultRowHeight="15"/>
  <cols>
    <col min="2" max="2" width="14.7109375" customWidth="1"/>
    <col min="3" max="3" width="25.28515625" bestFit="1" customWidth="1"/>
    <col min="4" max="4" width="18.28515625" customWidth="1"/>
    <col min="5" max="5" width="9.85546875" customWidth="1"/>
    <col min="6" max="6" width="10.85546875" customWidth="1"/>
    <col min="10" max="10" width="7.28515625" customWidth="1"/>
    <col min="11" max="11" width="12.5703125" customWidth="1"/>
    <col min="12" max="12" width="16.140625" customWidth="1"/>
    <col min="13" max="13" width="11.140625" customWidth="1"/>
    <col min="14" max="14" width="12.7109375" customWidth="1"/>
  </cols>
  <sheetData>
    <row r="1" spans="1:39">
      <c r="A1" s="338" t="s">
        <v>591</v>
      </c>
      <c r="B1" s="338"/>
      <c r="C1" s="338"/>
      <c r="D1" s="324"/>
      <c r="E1" s="338" t="s">
        <v>592</v>
      </c>
      <c r="F1" s="338"/>
      <c r="G1" s="338"/>
      <c r="H1" s="286"/>
      <c r="I1" s="1"/>
      <c r="J1" s="338" t="s">
        <v>593</v>
      </c>
      <c r="K1" s="338"/>
      <c r="L1" s="338"/>
      <c r="M1" s="338"/>
      <c r="N1" s="338"/>
      <c r="R1" s="2" t="s">
        <v>594</v>
      </c>
      <c r="Y1" s="1"/>
      <c r="Z1" s="338" t="s">
        <v>438</v>
      </c>
      <c r="AA1" s="338"/>
      <c r="AB1" s="338"/>
      <c r="AC1" s="1"/>
      <c r="AE1" s="1"/>
      <c r="AF1" s="1"/>
      <c r="AG1" s="1"/>
      <c r="AH1" s="1"/>
      <c r="AI1" s="1"/>
      <c r="AJ1" s="1"/>
      <c r="AK1" s="1"/>
      <c r="AL1" s="1"/>
      <c r="AM1" s="1"/>
    </row>
    <row r="2" spans="1:39">
      <c r="A2" s="2" t="s">
        <v>595</v>
      </c>
      <c r="B2" s="2"/>
      <c r="C2" s="1"/>
      <c r="D2" s="1"/>
      <c r="E2" s="338" t="s">
        <v>440</v>
      </c>
      <c r="F2" s="338"/>
      <c r="G2" s="338"/>
      <c r="H2" s="286"/>
      <c r="I2" s="1"/>
      <c r="Y2" s="1"/>
      <c r="Z2" s="1"/>
      <c r="AA2" s="1"/>
      <c r="AB2" s="1"/>
      <c r="AC2" s="1"/>
      <c r="AE2" s="1"/>
      <c r="AF2" s="1"/>
      <c r="AG2" s="1"/>
      <c r="AH2" s="1"/>
      <c r="AI2" s="1"/>
      <c r="AJ2" s="1"/>
      <c r="AK2" s="1"/>
      <c r="AL2" s="1"/>
      <c r="AM2" s="1"/>
    </row>
    <row r="3" spans="1:39">
      <c r="A3" s="1"/>
      <c r="B3" s="1"/>
      <c r="C3" s="1"/>
      <c r="D3" s="1"/>
      <c r="E3" s="1"/>
      <c r="F3" s="1"/>
      <c r="G3" s="1"/>
      <c r="H3" s="1"/>
      <c r="I3" s="1"/>
      <c r="Y3" s="1">
        <v>2</v>
      </c>
      <c r="Z3" s="1">
        <v>8</v>
      </c>
      <c r="AA3" s="1"/>
      <c r="AB3" s="1">
        <v>3</v>
      </c>
      <c r="AC3" s="1"/>
      <c r="AE3" s="1"/>
      <c r="AF3" s="1"/>
      <c r="AG3" s="1"/>
      <c r="AH3" s="1"/>
      <c r="AI3" s="1"/>
      <c r="AJ3" s="1"/>
      <c r="AK3" s="1"/>
      <c r="AL3" s="1"/>
      <c r="AM3" s="1"/>
    </row>
    <row r="4" spans="1:39">
      <c r="A4" s="45" t="s">
        <v>221</v>
      </c>
      <c r="B4" s="45" t="s">
        <v>596</v>
      </c>
      <c r="C4" s="45" t="s">
        <v>224</v>
      </c>
      <c r="D4" s="45"/>
      <c r="E4" s="45" t="s">
        <v>597</v>
      </c>
      <c r="F4" s="45" t="s">
        <v>598</v>
      </c>
      <c r="G4" s="45" t="s">
        <v>579</v>
      </c>
      <c r="H4" s="217" t="s">
        <v>580</v>
      </c>
      <c r="I4" s="1" t="s">
        <v>770</v>
      </c>
      <c r="J4" s="45" t="s">
        <v>221</v>
      </c>
      <c r="K4" s="45" t="s">
        <v>596</v>
      </c>
      <c r="L4" s="45" t="s">
        <v>224</v>
      </c>
      <c r="M4" s="45" t="s">
        <v>597</v>
      </c>
      <c r="N4" s="45" t="s">
        <v>598</v>
      </c>
      <c r="O4" s="45" t="s">
        <v>579</v>
      </c>
      <c r="P4" s="217" t="s">
        <v>581</v>
      </c>
      <c r="R4" s="3" t="s">
        <v>441</v>
      </c>
      <c r="S4" s="3" t="s">
        <v>442</v>
      </c>
      <c r="T4" s="26" t="s">
        <v>224</v>
      </c>
      <c r="U4" s="3" t="s">
        <v>443</v>
      </c>
      <c r="V4" s="3" t="s">
        <v>444</v>
      </c>
      <c r="W4" s="26" t="s">
        <v>448</v>
      </c>
      <c r="Y4" s="9"/>
      <c r="Z4" s="10"/>
      <c r="AA4" s="10"/>
      <c r="AB4" s="11"/>
      <c r="AC4" s="1"/>
      <c r="AE4" s="1"/>
      <c r="AF4" s="1"/>
      <c r="AG4" s="1"/>
      <c r="AH4" s="1"/>
      <c r="AI4" s="1"/>
      <c r="AJ4" s="1"/>
      <c r="AK4" s="1"/>
      <c r="AL4" s="1"/>
      <c r="AM4" s="1"/>
    </row>
    <row r="5" spans="1:39">
      <c r="A5" s="6">
        <v>1</v>
      </c>
      <c r="B5" s="71" t="s">
        <v>239</v>
      </c>
      <c r="C5" s="46" t="s">
        <v>125</v>
      </c>
      <c r="D5" s="325" t="s">
        <v>241</v>
      </c>
      <c r="E5" s="47">
        <v>26</v>
      </c>
      <c r="F5" s="5">
        <v>12.804878048780489</v>
      </c>
      <c r="G5" s="47">
        <f>0.0543*E5^2.579</f>
        <v>242.11187664507929</v>
      </c>
      <c r="H5" s="214">
        <f>SUM(G5:G32)/1000/0.025</f>
        <v>356.7870993691983</v>
      </c>
      <c r="I5" s="75">
        <f>AVERAGE(F5:F32)</f>
        <v>17.583841463414632</v>
      </c>
      <c r="J5" s="48">
        <v>29</v>
      </c>
      <c r="K5" s="69" t="s">
        <v>230</v>
      </c>
      <c r="L5" s="46" t="s">
        <v>88</v>
      </c>
      <c r="M5" s="4">
        <v>12.1</v>
      </c>
      <c r="N5" s="5">
        <v>10.060975609756099</v>
      </c>
      <c r="O5" s="47">
        <f>0.0543*M5^2.597</f>
        <v>35.220331256184764</v>
      </c>
      <c r="P5" s="214">
        <f>SUM(O5:O10)/1000/0.0625</f>
        <v>4.6851707614454732</v>
      </c>
      <c r="R5" s="6">
        <v>35</v>
      </c>
      <c r="S5" s="69" t="s">
        <v>230</v>
      </c>
      <c r="T5" s="46" t="s">
        <v>88</v>
      </c>
      <c r="U5" s="4">
        <v>5.3</v>
      </c>
      <c r="V5" s="5">
        <v>10.060975609756099</v>
      </c>
      <c r="W5" s="49"/>
      <c r="Y5" s="9"/>
      <c r="Z5" s="12"/>
      <c r="AA5" s="12"/>
      <c r="AB5" s="13"/>
      <c r="AC5" s="1"/>
      <c r="AE5" s="1"/>
      <c r="AF5" s="1"/>
      <c r="AG5" s="1"/>
      <c r="AH5" s="1"/>
      <c r="AI5" s="1"/>
      <c r="AJ5" s="1"/>
      <c r="AK5" s="1"/>
      <c r="AL5" s="1"/>
      <c r="AM5" s="1"/>
    </row>
    <row r="6" spans="1:39" ht="18">
      <c r="A6" s="6">
        <v>2</v>
      </c>
      <c r="B6" s="69" t="s">
        <v>230</v>
      </c>
      <c r="C6" s="46" t="s">
        <v>88</v>
      </c>
      <c r="D6" s="328" t="s">
        <v>232</v>
      </c>
      <c r="E6" s="47">
        <v>22</v>
      </c>
      <c r="F6" s="5">
        <v>13.414634146341465</v>
      </c>
      <c r="G6" s="47">
        <f t="shared" ref="G6:G33" si="0">0.0543*E6^2.579</f>
        <v>157.36491932170634</v>
      </c>
      <c r="H6" s="9"/>
      <c r="I6" s="1"/>
      <c r="J6" s="48">
        <v>30</v>
      </c>
      <c r="K6" s="69" t="s">
        <v>230</v>
      </c>
      <c r="L6" s="46" t="s">
        <v>88</v>
      </c>
      <c r="M6" s="4">
        <v>11.7</v>
      </c>
      <c r="N6" s="5">
        <v>9.7560975609756095</v>
      </c>
      <c r="O6" s="47">
        <f t="shared" ref="O6:O11" si="1">0.0543*M6^2.597</f>
        <v>32.275911245502797</v>
      </c>
      <c r="P6" s="9"/>
      <c r="R6" s="6">
        <v>36</v>
      </c>
      <c r="S6" s="71" t="s">
        <v>239</v>
      </c>
      <c r="T6" s="46" t="s">
        <v>125</v>
      </c>
      <c r="U6" s="4">
        <v>6.1</v>
      </c>
      <c r="V6" s="5">
        <v>11.280487804878049</v>
      </c>
      <c r="W6" s="49"/>
      <c r="Y6" s="9"/>
      <c r="Z6" s="12"/>
      <c r="AA6" s="12"/>
      <c r="AB6" s="14"/>
      <c r="AC6" s="1"/>
      <c r="AE6" s="1"/>
      <c r="AF6" s="1"/>
      <c r="AG6" s="1"/>
      <c r="AH6" s="1"/>
      <c r="AI6" s="1"/>
      <c r="AJ6" s="1"/>
      <c r="AK6" s="1"/>
      <c r="AL6" s="1"/>
      <c r="AM6" s="1"/>
    </row>
    <row r="7" spans="1:39" ht="18">
      <c r="A7" s="6">
        <v>3</v>
      </c>
      <c r="B7" s="69" t="s">
        <v>230</v>
      </c>
      <c r="C7" s="46" t="s">
        <v>88</v>
      </c>
      <c r="D7" s="328" t="s">
        <v>232</v>
      </c>
      <c r="E7" s="47">
        <v>31.2</v>
      </c>
      <c r="F7" s="5">
        <v>12.195121951219512</v>
      </c>
      <c r="G7" s="47">
        <f t="shared" si="0"/>
        <v>387.45790649261903</v>
      </c>
      <c r="H7" s="9"/>
      <c r="I7" s="1"/>
      <c r="J7" s="48">
        <v>31</v>
      </c>
      <c r="K7" s="69" t="s">
        <v>230</v>
      </c>
      <c r="L7" s="46" t="s">
        <v>88</v>
      </c>
      <c r="M7" s="4">
        <v>11.5</v>
      </c>
      <c r="N7" s="5">
        <v>7.6219512195121952</v>
      </c>
      <c r="O7" s="47">
        <f t="shared" si="1"/>
        <v>30.862572346114135</v>
      </c>
      <c r="P7" s="9"/>
      <c r="R7" s="24" t="s">
        <v>449</v>
      </c>
      <c r="Y7" s="9">
        <v>6</v>
      </c>
      <c r="Z7" s="12"/>
      <c r="AA7" s="15"/>
      <c r="AB7" s="16"/>
      <c r="AC7" s="18">
        <v>7</v>
      </c>
      <c r="AE7" s="1"/>
      <c r="AF7" s="1"/>
      <c r="AG7" s="1"/>
      <c r="AH7" s="1"/>
      <c r="AI7" s="1"/>
      <c r="AJ7" s="1"/>
      <c r="AK7" s="1"/>
      <c r="AL7" s="1"/>
      <c r="AM7" s="1"/>
    </row>
    <row r="8" spans="1:39" ht="18">
      <c r="A8" s="6">
        <v>4</v>
      </c>
      <c r="B8" s="69" t="s">
        <v>230</v>
      </c>
      <c r="C8" s="46" t="s">
        <v>88</v>
      </c>
      <c r="D8" s="328" t="s">
        <v>232</v>
      </c>
      <c r="E8" s="47">
        <v>42</v>
      </c>
      <c r="F8" s="5">
        <v>16.463414634146343</v>
      </c>
      <c r="G8" s="47">
        <f t="shared" si="0"/>
        <v>833.98789970839402</v>
      </c>
      <c r="H8" s="9"/>
      <c r="I8" s="1"/>
      <c r="J8" s="48">
        <v>32</v>
      </c>
      <c r="K8" s="71" t="s">
        <v>239</v>
      </c>
      <c r="L8" s="46" t="s">
        <v>125</v>
      </c>
      <c r="M8" s="4">
        <v>12.8</v>
      </c>
      <c r="N8" s="5">
        <v>10.884146341463417</v>
      </c>
      <c r="O8" s="47">
        <f t="shared" si="1"/>
        <v>40.759056355658629</v>
      </c>
      <c r="P8" s="9"/>
      <c r="Y8" s="9"/>
      <c r="Z8" s="12">
        <v>1</v>
      </c>
      <c r="AA8" s="9"/>
      <c r="AB8" s="14"/>
      <c r="AC8" s="1"/>
      <c r="AE8" s="1"/>
      <c r="AF8" s="1"/>
      <c r="AG8" s="1"/>
      <c r="AH8" s="1"/>
      <c r="AI8" s="1"/>
      <c r="AJ8" s="1"/>
      <c r="AK8" s="1"/>
      <c r="AL8" s="1"/>
      <c r="AM8" s="1"/>
    </row>
    <row r="9" spans="1:39" ht="18">
      <c r="A9" s="6">
        <v>5</v>
      </c>
      <c r="B9" s="69" t="s">
        <v>230</v>
      </c>
      <c r="C9" s="46" t="s">
        <v>88</v>
      </c>
      <c r="D9" s="328" t="s">
        <v>232</v>
      </c>
      <c r="E9" s="47">
        <v>33.5</v>
      </c>
      <c r="F9" s="5">
        <v>17.378048780487806</v>
      </c>
      <c r="G9" s="47">
        <f t="shared" si="0"/>
        <v>465.46859749165554</v>
      </c>
      <c r="H9" s="9"/>
      <c r="I9" s="1"/>
      <c r="J9" s="48">
        <v>33</v>
      </c>
      <c r="K9" s="69" t="s">
        <v>230</v>
      </c>
      <c r="L9" s="46" t="s">
        <v>88</v>
      </c>
      <c r="M9" s="4">
        <v>11.2</v>
      </c>
      <c r="N9" s="5">
        <v>11.737804878048781</v>
      </c>
      <c r="O9" s="47">
        <f t="shared" si="1"/>
        <v>28.815027239320699</v>
      </c>
      <c r="P9" s="9"/>
      <c r="R9" s="27" t="s">
        <v>442</v>
      </c>
      <c r="S9" s="3" t="s">
        <v>224</v>
      </c>
      <c r="T9" s="27" t="s">
        <v>450</v>
      </c>
      <c r="U9" s="27" t="s">
        <v>448</v>
      </c>
      <c r="Y9" s="9"/>
      <c r="Z9" s="12"/>
      <c r="AA9" s="9"/>
      <c r="AB9" s="14"/>
      <c r="AC9" s="1"/>
      <c r="AE9" s="1"/>
      <c r="AF9" s="1"/>
      <c r="AG9" s="1"/>
      <c r="AH9" s="1"/>
      <c r="AI9" s="1"/>
      <c r="AJ9" s="1"/>
      <c r="AK9" s="1"/>
      <c r="AL9" s="1"/>
      <c r="AM9" s="1"/>
    </row>
    <row r="10" spans="1:39">
      <c r="A10" s="6">
        <v>6</v>
      </c>
      <c r="B10" s="69" t="s">
        <v>230</v>
      </c>
      <c r="C10" s="46" t="s">
        <v>88</v>
      </c>
      <c r="D10" s="328" t="s">
        <v>232</v>
      </c>
      <c r="E10" s="47">
        <v>24</v>
      </c>
      <c r="F10" s="5">
        <v>11.890243902439025</v>
      </c>
      <c r="G10" s="47">
        <f t="shared" si="0"/>
        <v>196.95391678520957</v>
      </c>
      <c r="H10" s="9"/>
      <c r="I10" s="1"/>
      <c r="J10" s="48">
        <v>34</v>
      </c>
      <c r="K10" s="71" t="s">
        <v>239</v>
      </c>
      <c r="L10" s="46" t="s">
        <v>125</v>
      </c>
      <c r="M10" s="4">
        <v>19.7</v>
      </c>
      <c r="N10" s="5">
        <v>12.5</v>
      </c>
      <c r="O10" s="47">
        <f t="shared" si="1"/>
        <v>124.89027414756106</v>
      </c>
      <c r="P10" s="9"/>
      <c r="R10" s="71" t="s">
        <v>599</v>
      </c>
      <c r="S10" s="50" t="s">
        <v>392</v>
      </c>
      <c r="T10" s="4">
        <v>2</v>
      </c>
      <c r="U10" s="49"/>
      <c r="Y10" s="9"/>
      <c r="Z10" s="12"/>
      <c r="AA10" s="9"/>
      <c r="AB10" s="14"/>
      <c r="AC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>
      <c r="A11" s="6">
        <v>7</v>
      </c>
      <c r="B11" s="69" t="s">
        <v>230</v>
      </c>
      <c r="C11" s="46" t="s">
        <v>88</v>
      </c>
      <c r="D11" s="328" t="s">
        <v>232</v>
      </c>
      <c r="E11" s="47">
        <v>27.5</v>
      </c>
      <c r="F11" s="5">
        <v>15.853658536585368</v>
      </c>
      <c r="G11" s="47">
        <f t="shared" si="0"/>
        <v>279.79428983742076</v>
      </c>
      <c r="H11" s="9"/>
      <c r="I11" s="1"/>
      <c r="J11" s="24" t="s">
        <v>459</v>
      </c>
      <c r="O11" s="4">
        <f t="shared" si="1"/>
        <v>0</v>
      </c>
      <c r="R11" s="71" t="s">
        <v>600</v>
      </c>
      <c r="S11" s="50" t="s">
        <v>393</v>
      </c>
      <c r="T11" s="4">
        <v>1</v>
      </c>
      <c r="U11" s="49"/>
      <c r="Y11" s="9">
        <v>4</v>
      </c>
      <c r="Z11" s="15"/>
      <c r="AA11" s="17"/>
      <c r="AB11" s="16"/>
      <c r="AC11" s="18">
        <v>5</v>
      </c>
      <c r="AE11" s="1"/>
      <c r="AF11" s="1"/>
      <c r="AG11" s="1"/>
      <c r="AH11" s="1"/>
      <c r="AI11" s="1"/>
      <c r="AJ11" s="1"/>
      <c r="AK11" s="1"/>
      <c r="AL11" s="1"/>
      <c r="AM11" s="1"/>
    </row>
    <row r="12" spans="1:39">
      <c r="A12" s="6">
        <v>8</v>
      </c>
      <c r="B12" s="69" t="s">
        <v>230</v>
      </c>
      <c r="C12" s="46" t="s">
        <v>88</v>
      </c>
      <c r="D12" s="328" t="s">
        <v>232</v>
      </c>
      <c r="E12" s="47">
        <v>29</v>
      </c>
      <c r="F12" s="5">
        <v>19.207317073170731</v>
      </c>
      <c r="G12" s="47">
        <f t="shared" si="0"/>
        <v>320.86641808877988</v>
      </c>
      <c r="H12" s="9"/>
      <c r="I12" s="1"/>
      <c r="R12" s="69" t="s">
        <v>230</v>
      </c>
      <c r="S12" s="46" t="s">
        <v>88</v>
      </c>
      <c r="T12" s="4">
        <v>1</v>
      </c>
      <c r="U12" s="49"/>
      <c r="Y12" s="1"/>
      <c r="Z12" s="1">
        <v>9</v>
      </c>
      <c r="AA12" s="1"/>
      <c r="AB12" s="1"/>
      <c r="AC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>
      <c r="A13" s="6">
        <v>9</v>
      </c>
      <c r="B13" s="69" t="s">
        <v>230</v>
      </c>
      <c r="C13" s="46" t="s">
        <v>88</v>
      </c>
      <c r="D13" s="328" t="s">
        <v>232</v>
      </c>
      <c r="E13" s="47">
        <v>30.1</v>
      </c>
      <c r="F13" s="5">
        <v>20.731707317073173</v>
      </c>
      <c r="G13" s="47">
        <f t="shared" si="0"/>
        <v>353.20172968950226</v>
      </c>
      <c r="H13" s="9"/>
      <c r="I13" s="1"/>
      <c r="R13" s="24" t="s">
        <v>451</v>
      </c>
      <c r="S13" s="1"/>
      <c r="T13" s="1"/>
      <c r="Y13" s="1"/>
      <c r="Z13" s="1"/>
      <c r="AA13" s="1"/>
      <c r="AB13" s="1"/>
      <c r="AC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>
      <c r="A14" s="6">
        <v>10</v>
      </c>
      <c r="B14" s="69" t="s">
        <v>230</v>
      </c>
      <c r="C14" s="46" t="s">
        <v>88</v>
      </c>
      <c r="D14" s="328" t="s">
        <v>232</v>
      </c>
      <c r="E14" s="47">
        <v>23.5</v>
      </c>
      <c r="F14" s="5">
        <v>20.121951219512198</v>
      </c>
      <c r="G14" s="47">
        <f t="shared" si="0"/>
        <v>186.54510022351974</v>
      </c>
      <c r="H14" s="9"/>
      <c r="I14" s="1"/>
      <c r="R14" s="24" t="s">
        <v>452</v>
      </c>
      <c r="S14" s="1"/>
      <c r="T14" s="1"/>
      <c r="Y14" s="338" t="s">
        <v>601</v>
      </c>
      <c r="Z14" s="338"/>
      <c r="AA14" s="338"/>
      <c r="AB14" s="338"/>
      <c r="AC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>
      <c r="A15" s="6">
        <v>11</v>
      </c>
      <c r="B15" s="69" t="s">
        <v>230</v>
      </c>
      <c r="C15" s="46" t="s">
        <v>88</v>
      </c>
      <c r="D15" s="328" t="s">
        <v>232</v>
      </c>
      <c r="E15" s="47">
        <v>26.6</v>
      </c>
      <c r="F15" s="5">
        <v>19.512195121951219</v>
      </c>
      <c r="G15" s="47">
        <f t="shared" si="0"/>
        <v>256.7849523867398</v>
      </c>
      <c r="H15" s="9"/>
      <c r="I15" s="1"/>
      <c r="Y15" s="338" t="s">
        <v>602</v>
      </c>
      <c r="Z15" s="338"/>
      <c r="AA15" s="338"/>
      <c r="AB15" s="338"/>
      <c r="AC15" s="1"/>
    </row>
    <row r="16" spans="1:39">
      <c r="A16" s="6">
        <v>12</v>
      </c>
      <c r="B16" s="69" t="s">
        <v>230</v>
      </c>
      <c r="C16" s="46" t="s">
        <v>88</v>
      </c>
      <c r="D16" s="328" t="s">
        <v>232</v>
      </c>
      <c r="E16" s="47">
        <v>20.100000000000001</v>
      </c>
      <c r="F16" s="5">
        <v>18.902439024390244</v>
      </c>
      <c r="G16" s="47">
        <f t="shared" si="0"/>
        <v>124.66440302280226</v>
      </c>
      <c r="H16" s="9"/>
      <c r="I16" s="1"/>
      <c r="Y16" s="338" t="s">
        <v>603</v>
      </c>
      <c r="Z16" s="338"/>
      <c r="AA16" s="338"/>
      <c r="AB16" s="338"/>
      <c r="AC16" s="1"/>
    </row>
    <row r="17" spans="1:31">
      <c r="A17" s="6">
        <v>13</v>
      </c>
      <c r="B17" s="69" t="s">
        <v>230</v>
      </c>
      <c r="C17" s="46" t="s">
        <v>88</v>
      </c>
      <c r="D17" s="328" t="s">
        <v>232</v>
      </c>
      <c r="E17" s="47">
        <v>33.700000000000003</v>
      </c>
      <c r="F17" s="5">
        <v>21.036585365853661</v>
      </c>
      <c r="G17" s="47">
        <f t="shared" si="0"/>
        <v>472.66924369059154</v>
      </c>
      <c r="H17" s="9"/>
      <c r="I17" s="1"/>
      <c r="Y17" s="338" t="s">
        <v>604</v>
      </c>
      <c r="Z17" s="338"/>
      <c r="AA17" s="338"/>
      <c r="AB17" s="338"/>
      <c r="AC17" s="1" t="s">
        <v>481</v>
      </c>
    </row>
    <row r="18" spans="1:31">
      <c r="A18" s="6">
        <v>14</v>
      </c>
      <c r="B18" s="69" t="s">
        <v>230</v>
      </c>
      <c r="C18" s="46" t="s">
        <v>88</v>
      </c>
      <c r="D18" s="328" t="s">
        <v>232</v>
      </c>
      <c r="E18" s="47">
        <v>26</v>
      </c>
      <c r="F18" s="5">
        <v>21.951219512195124</v>
      </c>
      <c r="G18" s="47">
        <f t="shared" si="0"/>
        <v>242.11187664507929</v>
      </c>
      <c r="H18" s="9"/>
      <c r="I18" s="1"/>
      <c r="Y18" s="338" t="s">
        <v>605</v>
      </c>
      <c r="Z18" s="338"/>
      <c r="AA18" s="338"/>
      <c r="AB18" s="338"/>
      <c r="AC18" s="1"/>
      <c r="AE18" s="1"/>
    </row>
    <row r="19" spans="1:31" ht="18">
      <c r="A19" s="6">
        <v>15</v>
      </c>
      <c r="B19" s="69" t="s">
        <v>230</v>
      </c>
      <c r="C19" s="46" t="s">
        <v>88</v>
      </c>
      <c r="D19" s="328" t="s">
        <v>232</v>
      </c>
      <c r="E19" s="47">
        <v>23.4</v>
      </c>
      <c r="F19" s="5">
        <v>22.256097560975611</v>
      </c>
      <c r="G19" s="47">
        <f t="shared" si="0"/>
        <v>184.50473915610084</v>
      </c>
      <c r="H19" s="9"/>
      <c r="I19" s="1"/>
      <c r="Y19" s="338" t="s">
        <v>606</v>
      </c>
      <c r="Z19" s="338"/>
      <c r="AA19" s="338"/>
      <c r="AB19" s="338"/>
      <c r="AC19" s="1"/>
    </row>
    <row r="20" spans="1:31" ht="18">
      <c r="A20" s="6">
        <v>16</v>
      </c>
      <c r="B20" s="69" t="s">
        <v>230</v>
      </c>
      <c r="C20" s="46" t="s">
        <v>88</v>
      </c>
      <c r="D20" s="328" t="s">
        <v>232</v>
      </c>
      <c r="E20" s="47">
        <v>23.8</v>
      </c>
      <c r="F20" s="5">
        <v>21.646341463414636</v>
      </c>
      <c r="G20" s="47">
        <f t="shared" si="0"/>
        <v>192.74885277110465</v>
      </c>
      <c r="H20" s="9"/>
      <c r="I20" s="1"/>
      <c r="Y20" s="338" t="s">
        <v>607</v>
      </c>
      <c r="Z20" s="338"/>
      <c r="AA20" s="338"/>
      <c r="AB20" s="338"/>
      <c r="AC20" s="1"/>
    </row>
    <row r="21" spans="1:31" ht="18">
      <c r="A21" s="6">
        <v>17</v>
      </c>
      <c r="B21" s="69" t="s">
        <v>230</v>
      </c>
      <c r="C21" s="46" t="s">
        <v>88</v>
      </c>
      <c r="D21" s="328" t="s">
        <v>232</v>
      </c>
      <c r="E21" s="47">
        <v>35.299999999999997</v>
      </c>
      <c r="F21" s="5">
        <v>17.378048780487806</v>
      </c>
      <c r="G21" s="47">
        <f t="shared" si="0"/>
        <v>532.73446575770129</v>
      </c>
      <c r="H21" s="9"/>
      <c r="I21" s="1"/>
      <c r="Y21" s="338" t="s">
        <v>608</v>
      </c>
      <c r="Z21" s="338"/>
      <c r="AA21" s="338"/>
      <c r="AB21" s="338"/>
      <c r="AC21" s="1"/>
    </row>
    <row r="22" spans="1:31" ht="18">
      <c r="A22" s="6">
        <v>18</v>
      </c>
      <c r="B22" s="69" t="s">
        <v>230</v>
      </c>
      <c r="C22" s="46" t="s">
        <v>88</v>
      </c>
      <c r="D22" s="328" t="s">
        <v>232</v>
      </c>
      <c r="E22" s="47">
        <v>26.2</v>
      </c>
      <c r="F22" s="5">
        <v>17.682926829268293</v>
      </c>
      <c r="G22" s="47">
        <f t="shared" si="0"/>
        <v>246.94421682946864</v>
      </c>
      <c r="H22" s="9"/>
      <c r="I22" s="1"/>
      <c r="Y22" s="338" t="s">
        <v>609</v>
      </c>
      <c r="Z22" s="338"/>
      <c r="AA22" s="338"/>
      <c r="AB22" s="338"/>
      <c r="AC22" s="1"/>
    </row>
    <row r="23" spans="1:31" ht="18">
      <c r="A23" s="6">
        <v>19</v>
      </c>
      <c r="B23" s="69" t="s">
        <v>230</v>
      </c>
      <c r="C23" s="46" t="s">
        <v>88</v>
      </c>
      <c r="D23" s="328" t="s">
        <v>232</v>
      </c>
      <c r="E23" s="47">
        <v>40</v>
      </c>
      <c r="F23" s="5">
        <v>16.158536585365855</v>
      </c>
      <c r="G23" s="47">
        <f t="shared" si="0"/>
        <v>735.38124110481999</v>
      </c>
      <c r="H23" s="9"/>
      <c r="I23" s="1"/>
    </row>
    <row r="24" spans="1:31" ht="18">
      <c r="A24" s="6">
        <v>20</v>
      </c>
      <c r="B24" s="69" t="s">
        <v>230</v>
      </c>
      <c r="C24" s="46" t="s">
        <v>88</v>
      </c>
      <c r="D24" s="328" t="s">
        <v>232</v>
      </c>
      <c r="E24" s="47">
        <v>22</v>
      </c>
      <c r="F24" s="5">
        <v>13.902439024390246</v>
      </c>
      <c r="G24" s="47">
        <f t="shared" si="0"/>
        <v>157.36491932170634</v>
      </c>
      <c r="H24" s="9"/>
      <c r="I24" s="1"/>
    </row>
    <row r="25" spans="1:31" ht="18">
      <c r="A25" s="6">
        <v>21</v>
      </c>
      <c r="B25" s="69" t="s">
        <v>230</v>
      </c>
      <c r="C25" s="46" t="s">
        <v>88</v>
      </c>
      <c r="D25" s="328" t="s">
        <v>232</v>
      </c>
      <c r="E25" s="47">
        <v>27.7</v>
      </c>
      <c r="F25" s="5">
        <v>16.859756097560975</v>
      </c>
      <c r="G25" s="47">
        <f t="shared" si="0"/>
        <v>285.07238816617007</v>
      </c>
      <c r="H25" s="9"/>
      <c r="I25" s="1"/>
    </row>
    <row r="26" spans="1:31" ht="18">
      <c r="A26" s="6">
        <v>22</v>
      </c>
      <c r="B26" s="69" t="s">
        <v>230</v>
      </c>
      <c r="C26" s="46" t="s">
        <v>88</v>
      </c>
      <c r="D26" s="328" t="s">
        <v>232</v>
      </c>
      <c r="E26" s="47">
        <v>33.200000000000003</v>
      </c>
      <c r="F26" s="5">
        <v>17.804878048780488</v>
      </c>
      <c r="G26" s="47">
        <f t="shared" si="0"/>
        <v>454.7942313922033</v>
      </c>
      <c r="H26" s="9"/>
      <c r="I26" s="1"/>
    </row>
    <row r="27" spans="1:31" ht="18">
      <c r="A27" s="6">
        <v>23</v>
      </c>
      <c r="B27" s="69" t="s">
        <v>230</v>
      </c>
      <c r="C27" s="46" t="s">
        <v>88</v>
      </c>
      <c r="D27" s="328" t="s">
        <v>232</v>
      </c>
      <c r="E27" s="47">
        <v>32</v>
      </c>
      <c r="F27" s="5">
        <v>17.713414634146343</v>
      </c>
      <c r="G27" s="47">
        <f t="shared" si="0"/>
        <v>413.60104148086589</v>
      </c>
      <c r="H27" s="9"/>
      <c r="I27" s="1"/>
    </row>
    <row r="28" spans="1:31">
      <c r="A28" s="6">
        <v>24</v>
      </c>
      <c r="B28" s="71" t="s">
        <v>239</v>
      </c>
      <c r="C28" s="46" t="s">
        <v>125</v>
      </c>
      <c r="D28" s="325" t="s">
        <v>241</v>
      </c>
      <c r="E28" s="47">
        <v>29.4</v>
      </c>
      <c r="F28" s="5">
        <v>16.829268292682929</v>
      </c>
      <c r="G28" s="47">
        <f t="shared" si="0"/>
        <v>332.40503593513591</v>
      </c>
      <c r="H28" s="9"/>
      <c r="I28" s="1"/>
    </row>
    <row r="29" spans="1:31" ht="18">
      <c r="A29" s="6">
        <v>25</v>
      </c>
      <c r="B29" s="69" t="s">
        <v>230</v>
      </c>
      <c r="C29" s="46" t="s">
        <v>88</v>
      </c>
      <c r="D29" s="328" t="s">
        <v>232</v>
      </c>
      <c r="E29" s="47">
        <v>26.2</v>
      </c>
      <c r="F29" s="5">
        <v>18.993902439024392</v>
      </c>
      <c r="G29" s="47">
        <f t="shared" si="0"/>
        <v>246.94421682946864</v>
      </c>
      <c r="H29" s="9"/>
      <c r="I29" s="1"/>
    </row>
    <row r="30" spans="1:31" ht="18">
      <c r="A30" s="6">
        <v>26</v>
      </c>
      <c r="B30" s="69" t="s">
        <v>230</v>
      </c>
      <c r="C30" s="46" t="s">
        <v>88</v>
      </c>
      <c r="D30" s="328" t="s">
        <v>232</v>
      </c>
      <c r="E30" s="47">
        <v>22</v>
      </c>
      <c r="F30" s="5">
        <v>18.902439024390244</v>
      </c>
      <c r="G30" s="47">
        <f t="shared" si="0"/>
        <v>157.36491932170634</v>
      </c>
      <c r="H30" s="9"/>
      <c r="I30" s="1"/>
    </row>
    <row r="31" spans="1:31" ht="18">
      <c r="A31" s="6">
        <v>27</v>
      </c>
      <c r="B31" s="69" t="s">
        <v>230</v>
      </c>
      <c r="C31" s="46" t="s">
        <v>88</v>
      </c>
      <c r="D31" s="328" t="s">
        <v>232</v>
      </c>
      <c r="E31" s="47">
        <v>24.4</v>
      </c>
      <c r="F31" s="5">
        <v>19.81707317073171</v>
      </c>
      <c r="G31" s="47">
        <f t="shared" si="0"/>
        <v>205.53140531090955</v>
      </c>
      <c r="H31" s="9"/>
      <c r="I31" s="1"/>
    </row>
    <row r="32" spans="1:31" ht="18">
      <c r="A32" s="6">
        <v>28</v>
      </c>
      <c r="B32" s="69" t="s">
        <v>230</v>
      </c>
      <c r="C32" s="46" t="s">
        <v>88</v>
      </c>
      <c r="D32" s="328" t="s">
        <v>232</v>
      </c>
      <c r="E32" s="47">
        <v>26.5</v>
      </c>
      <c r="F32" s="5">
        <v>14.939024390243903</v>
      </c>
      <c r="G32" s="47">
        <f t="shared" si="0"/>
        <v>254.30268082349696</v>
      </c>
      <c r="H32" s="9"/>
      <c r="I32" s="1"/>
    </row>
    <row r="33" spans="1:9">
      <c r="A33" s="340" t="s">
        <v>463</v>
      </c>
      <c r="B33" s="340"/>
      <c r="C33" s="340"/>
      <c r="D33" s="340"/>
      <c r="E33" s="340"/>
      <c r="F33" s="340"/>
      <c r="G33" s="4">
        <f t="shared" si="0"/>
        <v>0</v>
      </c>
      <c r="H33" s="9"/>
      <c r="I33" s="1"/>
    </row>
    <row r="35" spans="1:9">
      <c r="C35" s="97" t="s">
        <v>781</v>
      </c>
      <c r="D35">
        <f>COUNTIF(D5:D32,D32)</f>
        <v>26</v>
      </c>
      <c r="E35" s="331">
        <v>0.92849999999999999</v>
      </c>
    </row>
  </sheetData>
  <autoFilter ref="A4:H33"/>
  <mergeCells count="15">
    <mergeCell ref="Y14:AB14"/>
    <mergeCell ref="A1:C1"/>
    <mergeCell ref="E1:G1"/>
    <mergeCell ref="J1:N1"/>
    <mergeCell ref="Z1:AB1"/>
    <mergeCell ref="E2:G2"/>
    <mergeCell ref="Y21:AB21"/>
    <mergeCell ref="Y22:AB22"/>
    <mergeCell ref="A33:F33"/>
    <mergeCell ref="Y15:AB15"/>
    <mergeCell ref="Y16:AB16"/>
    <mergeCell ref="Y17:AB17"/>
    <mergeCell ref="Y18:AB18"/>
    <mergeCell ref="Y19:AB19"/>
    <mergeCell ref="Y20:AB20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K30"/>
  <sheetViews>
    <sheetView workbookViewId="0">
      <selection activeCell="P5" sqref="P5"/>
    </sheetView>
  </sheetViews>
  <sheetFormatPr defaultRowHeight="15"/>
  <cols>
    <col min="3" max="3" width="25.28515625" bestFit="1" customWidth="1"/>
    <col min="4" max="4" width="13" customWidth="1"/>
  </cols>
  <sheetData>
    <row r="1" spans="1:37">
      <c r="A1" s="338" t="s">
        <v>610</v>
      </c>
      <c r="B1" s="338"/>
      <c r="C1" s="338"/>
      <c r="D1" s="324"/>
      <c r="E1" s="338" t="s">
        <v>592</v>
      </c>
      <c r="F1" s="338"/>
      <c r="G1" s="338"/>
      <c r="H1" s="286"/>
      <c r="J1" s="338" t="s">
        <v>611</v>
      </c>
      <c r="K1" s="338"/>
      <c r="L1" s="338"/>
      <c r="M1" s="338"/>
      <c r="N1" s="338"/>
      <c r="R1" s="2" t="s">
        <v>612</v>
      </c>
      <c r="Y1" s="1"/>
      <c r="Z1" s="338" t="s">
        <v>438</v>
      </c>
      <c r="AA1" s="338"/>
      <c r="AB1" s="338"/>
      <c r="AC1" s="1"/>
      <c r="AD1" s="1"/>
      <c r="AE1" s="1"/>
      <c r="AF1" s="1"/>
      <c r="AG1" s="1"/>
      <c r="AH1" s="1"/>
      <c r="AI1" s="1"/>
      <c r="AJ1" s="1"/>
      <c r="AK1" s="1"/>
    </row>
    <row r="2" spans="1:37">
      <c r="A2" s="2" t="s">
        <v>595</v>
      </c>
      <c r="B2" s="2"/>
      <c r="C2" s="1"/>
      <c r="D2" s="1"/>
      <c r="E2" s="338" t="s">
        <v>440</v>
      </c>
      <c r="F2" s="338"/>
      <c r="G2" s="338"/>
      <c r="H2" s="286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>
      <c r="Y3" s="1">
        <v>2</v>
      </c>
      <c r="Z3" s="1">
        <v>8</v>
      </c>
      <c r="AA3" s="1"/>
      <c r="AB3" s="1">
        <v>3</v>
      </c>
      <c r="AC3" s="1"/>
      <c r="AD3" s="1"/>
      <c r="AE3" s="1"/>
      <c r="AF3" s="1"/>
      <c r="AG3" s="1"/>
      <c r="AH3" s="1"/>
      <c r="AI3" s="1"/>
      <c r="AJ3" s="1"/>
      <c r="AK3" s="1"/>
    </row>
    <row r="4" spans="1:37">
      <c r="A4" s="45" t="s">
        <v>221</v>
      </c>
      <c r="B4" s="45" t="s">
        <v>596</v>
      </c>
      <c r="C4" s="45" t="s">
        <v>224</v>
      </c>
      <c r="D4" s="45" t="s">
        <v>225</v>
      </c>
      <c r="E4" s="45" t="s">
        <v>597</v>
      </c>
      <c r="F4" s="45" t="s">
        <v>598</v>
      </c>
      <c r="G4" s="45" t="s">
        <v>579</v>
      </c>
      <c r="H4" s="217" t="s">
        <v>4</v>
      </c>
      <c r="I4" s="28" t="s">
        <v>770</v>
      </c>
      <c r="J4" s="45" t="s">
        <v>221</v>
      </c>
      <c r="K4" s="45" t="s">
        <v>596</v>
      </c>
      <c r="L4" s="45" t="s">
        <v>224</v>
      </c>
      <c r="M4" s="45" t="s">
        <v>597</v>
      </c>
      <c r="N4" s="45" t="s">
        <v>598</v>
      </c>
      <c r="O4" s="45" t="s">
        <v>579</v>
      </c>
      <c r="P4" s="217" t="s">
        <v>581</v>
      </c>
      <c r="R4" s="3" t="s">
        <v>441</v>
      </c>
      <c r="S4" s="3" t="s">
        <v>442</v>
      </c>
      <c r="T4" s="26" t="s">
        <v>224</v>
      </c>
      <c r="U4" s="3" t="s">
        <v>443</v>
      </c>
      <c r="V4" s="3" t="s">
        <v>444</v>
      </c>
      <c r="W4" s="26" t="s">
        <v>448</v>
      </c>
      <c r="Y4" s="9"/>
      <c r="Z4" s="10"/>
      <c r="AA4" s="10"/>
      <c r="AB4" s="11"/>
      <c r="AC4" s="1"/>
      <c r="AD4" s="1"/>
      <c r="AE4" s="1"/>
      <c r="AF4" s="1"/>
      <c r="AG4" s="1"/>
      <c r="AH4" s="1"/>
      <c r="AI4" s="1"/>
      <c r="AJ4" s="1"/>
      <c r="AK4" s="1"/>
    </row>
    <row r="5" spans="1:37" ht="18">
      <c r="A5" s="6">
        <v>1</v>
      </c>
      <c r="B5" s="69" t="s">
        <v>230</v>
      </c>
      <c r="C5" s="46" t="s">
        <v>88</v>
      </c>
      <c r="D5" s="328" t="s">
        <v>232</v>
      </c>
      <c r="E5" s="47">
        <v>30.6</v>
      </c>
      <c r="F5" s="5">
        <v>18.902439024390244</v>
      </c>
      <c r="G5" s="223">
        <f>0.0543*E5^2.579</f>
        <v>368.53215650361699</v>
      </c>
      <c r="H5" s="224">
        <f>SUM(G5:G27)/1000/0.025</f>
        <v>250.27009223858417</v>
      </c>
      <c r="I5" s="84">
        <f>AVERAGE(F5:F27)</f>
        <v>18.769883351007426</v>
      </c>
      <c r="J5" s="48">
        <v>24</v>
      </c>
      <c r="K5" s="71" t="s">
        <v>239</v>
      </c>
      <c r="L5" s="46" t="s">
        <v>125</v>
      </c>
      <c r="M5" s="4">
        <v>15.5</v>
      </c>
      <c r="N5" s="5">
        <v>11.890243902439025</v>
      </c>
      <c r="O5" s="47">
        <f>0.0543*M5^2.579</f>
        <v>63.777175123834539</v>
      </c>
      <c r="P5" s="214">
        <f>SUM(O5:O12)/1000/0.0625</f>
        <v>8.2487523764325079</v>
      </c>
      <c r="R5" s="51">
        <v>0</v>
      </c>
      <c r="S5" s="51">
        <v>0</v>
      </c>
      <c r="T5" s="52">
        <v>0</v>
      </c>
      <c r="U5" s="51">
        <v>0</v>
      </c>
      <c r="V5" s="53">
        <v>0</v>
      </c>
      <c r="W5" s="54">
        <v>0</v>
      </c>
      <c r="Y5" s="9"/>
      <c r="Z5" s="12"/>
      <c r="AA5" s="12"/>
      <c r="AB5" s="13"/>
      <c r="AC5" s="1"/>
      <c r="AD5" s="1"/>
      <c r="AE5" s="1"/>
      <c r="AF5" s="1"/>
      <c r="AG5" s="1"/>
      <c r="AH5" s="1"/>
      <c r="AI5" s="1"/>
      <c r="AJ5" s="1"/>
      <c r="AK5" s="1"/>
    </row>
    <row r="6" spans="1:37" ht="18">
      <c r="A6" s="6">
        <v>2</v>
      </c>
      <c r="B6" s="69" t="s">
        <v>230</v>
      </c>
      <c r="C6" s="46" t="s">
        <v>88</v>
      </c>
      <c r="D6" s="328" t="s">
        <v>232</v>
      </c>
      <c r="E6" s="47">
        <v>25.1</v>
      </c>
      <c r="F6" s="5">
        <v>17.987804878048781</v>
      </c>
      <c r="G6" s="223">
        <f t="shared" ref="G6:G28" si="0">0.0543*E6^2.579</f>
        <v>221.08453134233611</v>
      </c>
      <c r="H6" s="79"/>
      <c r="I6" s="30"/>
      <c r="J6" s="48">
        <v>25</v>
      </c>
      <c r="K6" s="69" t="s">
        <v>230</v>
      </c>
      <c r="L6" s="46" t="s">
        <v>88</v>
      </c>
      <c r="M6" s="4">
        <v>16.8</v>
      </c>
      <c r="N6" s="5">
        <v>12.804878048780489</v>
      </c>
      <c r="O6" s="47">
        <f t="shared" ref="O6:O13" si="1">0.0543*M6^2.579</f>
        <v>78.500507992315676</v>
      </c>
      <c r="P6" s="9"/>
      <c r="R6" s="24" t="s">
        <v>449</v>
      </c>
      <c r="Y6" s="9"/>
      <c r="Z6" s="12"/>
      <c r="AA6" s="12"/>
      <c r="AB6" s="14"/>
      <c r="AC6" s="1"/>
      <c r="AD6" s="1"/>
      <c r="AE6" s="1"/>
      <c r="AF6" s="1"/>
      <c r="AG6" s="1"/>
      <c r="AH6" s="1"/>
      <c r="AI6" s="1"/>
      <c r="AJ6" s="1"/>
      <c r="AK6" s="1"/>
    </row>
    <row r="7" spans="1:37" ht="18">
      <c r="A7" s="6">
        <v>3</v>
      </c>
      <c r="B7" s="69" t="s">
        <v>230</v>
      </c>
      <c r="C7" s="46" t="s">
        <v>88</v>
      </c>
      <c r="D7" s="328" t="s">
        <v>232</v>
      </c>
      <c r="E7" s="47">
        <v>21.9</v>
      </c>
      <c r="F7" s="5">
        <v>7.9268292682926838</v>
      </c>
      <c r="G7" s="223">
        <f t="shared" si="0"/>
        <v>155.52678760245834</v>
      </c>
      <c r="H7" s="79"/>
      <c r="I7" s="30"/>
      <c r="J7" s="48">
        <v>26</v>
      </c>
      <c r="K7" s="69" t="s">
        <v>230</v>
      </c>
      <c r="L7" s="46" t="s">
        <v>88</v>
      </c>
      <c r="M7" s="4">
        <v>13.4</v>
      </c>
      <c r="N7" s="5">
        <v>15.853658536585368</v>
      </c>
      <c r="O7" s="47">
        <f t="shared" si="1"/>
        <v>43.813011400215565</v>
      </c>
      <c r="P7" s="9"/>
      <c r="Y7" s="9">
        <v>6</v>
      </c>
      <c r="Z7" s="12"/>
      <c r="AA7" s="15"/>
      <c r="AB7" s="16"/>
      <c r="AC7" s="18">
        <v>7</v>
      </c>
      <c r="AD7" s="1"/>
      <c r="AE7" s="1"/>
      <c r="AF7" s="1"/>
      <c r="AG7" s="1"/>
      <c r="AH7" s="1"/>
      <c r="AI7" s="1"/>
      <c r="AJ7" s="1"/>
      <c r="AK7" s="1"/>
    </row>
    <row r="8" spans="1:37" ht="18">
      <c r="A8" s="6">
        <v>4</v>
      </c>
      <c r="B8" s="69" t="s">
        <v>230</v>
      </c>
      <c r="C8" s="46" t="s">
        <v>88</v>
      </c>
      <c r="D8" s="328" t="s">
        <v>232</v>
      </c>
      <c r="E8" s="47">
        <v>20.2</v>
      </c>
      <c r="F8" s="5">
        <v>16.463414634146343</v>
      </c>
      <c r="G8" s="223">
        <f t="shared" si="0"/>
        <v>126.27024158924155</v>
      </c>
      <c r="H8" s="79"/>
      <c r="I8" s="30"/>
      <c r="J8" s="48">
        <v>27</v>
      </c>
      <c r="K8" s="69" t="s">
        <v>230</v>
      </c>
      <c r="L8" s="46" t="s">
        <v>88</v>
      </c>
      <c r="M8" s="4">
        <v>19.8</v>
      </c>
      <c r="N8" s="5">
        <v>16.158536585365855</v>
      </c>
      <c r="O8" s="47">
        <f t="shared" si="1"/>
        <v>119.92213597325981</v>
      </c>
      <c r="P8" s="9"/>
      <c r="R8" s="27" t="s">
        <v>442</v>
      </c>
      <c r="S8" s="3" t="s">
        <v>224</v>
      </c>
      <c r="T8" s="27" t="s">
        <v>450</v>
      </c>
      <c r="U8" s="27" t="s">
        <v>448</v>
      </c>
      <c r="Y8" s="9"/>
      <c r="Z8" s="12">
        <v>1</v>
      </c>
      <c r="AA8" s="9"/>
      <c r="AB8" s="14"/>
      <c r="AC8" s="1"/>
      <c r="AD8" s="1"/>
      <c r="AE8" s="1"/>
      <c r="AF8" s="1"/>
      <c r="AG8" s="1"/>
      <c r="AH8" s="1"/>
      <c r="AI8" s="1"/>
      <c r="AJ8" s="1"/>
      <c r="AK8" s="1"/>
    </row>
    <row r="9" spans="1:37">
      <c r="A9" s="6">
        <v>5</v>
      </c>
      <c r="B9" s="71" t="s">
        <v>239</v>
      </c>
      <c r="C9" s="46" t="s">
        <v>125</v>
      </c>
      <c r="D9" s="325" t="s">
        <v>241</v>
      </c>
      <c r="E9" s="47">
        <v>30.6</v>
      </c>
      <c r="F9" s="5">
        <v>17.378048780487806</v>
      </c>
      <c r="G9" s="223">
        <f t="shared" si="0"/>
        <v>368.53215650361699</v>
      </c>
      <c r="H9" s="79"/>
      <c r="I9" s="30"/>
      <c r="J9" s="48">
        <v>28</v>
      </c>
      <c r="K9" s="69" t="s">
        <v>230</v>
      </c>
      <c r="L9" s="46" t="s">
        <v>88</v>
      </c>
      <c r="M9" s="4">
        <v>19</v>
      </c>
      <c r="N9" s="5">
        <v>15.548780487804878</v>
      </c>
      <c r="O9" s="47">
        <f t="shared" si="1"/>
        <v>107.82149926957081</v>
      </c>
      <c r="P9" s="9"/>
      <c r="R9" s="69" t="s">
        <v>230</v>
      </c>
      <c r="S9" s="46" t="s">
        <v>88</v>
      </c>
      <c r="T9" s="4">
        <v>8</v>
      </c>
      <c r="U9" s="49"/>
      <c r="Y9" s="9"/>
      <c r="Z9" s="12"/>
      <c r="AA9" s="9"/>
      <c r="AB9" s="14"/>
      <c r="AC9" s="1"/>
      <c r="AD9" s="1"/>
      <c r="AE9" s="1"/>
      <c r="AF9" s="1"/>
      <c r="AG9" s="1"/>
      <c r="AH9" s="1"/>
      <c r="AI9" s="1"/>
      <c r="AJ9" s="1"/>
      <c r="AK9" s="1"/>
    </row>
    <row r="10" spans="1:37" ht="18">
      <c r="A10" s="6">
        <v>6</v>
      </c>
      <c r="B10" s="69" t="s">
        <v>230</v>
      </c>
      <c r="C10" s="46" t="s">
        <v>88</v>
      </c>
      <c r="D10" s="328" t="s">
        <v>232</v>
      </c>
      <c r="E10" s="47">
        <v>26.2</v>
      </c>
      <c r="F10" s="5">
        <v>14.939024390243903</v>
      </c>
      <c r="G10" s="223">
        <f t="shared" si="0"/>
        <v>246.94421682946864</v>
      </c>
      <c r="H10" s="79"/>
      <c r="I10" s="30"/>
      <c r="J10" s="48">
        <v>29</v>
      </c>
      <c r="K10" s="69" t="s">
        <v>230</v>
      </c>
      <c r="L10" s="46" t="s">
        <v>88</v>
      </c>
      <c r="M10" s="4">
        <v>13.9</v>
      </c>
      <c r="N10" s="5">
        <v>10.670731707317074</v>
      </c>
      <c r="O10" s="47">
        <f t="shared" si="1"/>
        <v>48.154291724967806</v>
      </c>
      <c r="P10" s="9"/>
      <c r="R10" s="71" t="s">
        <v>239</v>
      </c>
      <c r="S10" s="46" t="s">
        <v>125</v>
      </c>
      <c r="T10" s="4">
        <v>1</v>
      </c>
      <c r="U10" s="49"/>
      <c r="Y10" s="9"/>
      <c r="Z10" s="12"/>
      <c r="AA10" s="9"/>
      <c r="AB10" s="14"/>
      <c r="AC10" s="1"/>
      <c r="AD10" s="1"/>
      <c r="AE10" s="1"/>
      <c r="AF10" s="1"/>
      <c r="AG10" s="1"/>
      <c r="AH10" s="1"/>
      <c r="AI10" s="1"/>
      <c r="AJ10" s="1"/>
      <c r="AK10" s="1"/>
    </row>
    <row r="11" spans="1:37">
      <c r="A11" s="6">
        <v>7</v>
      </c>
      <c r="B11" s="69" t="s">
        <v>230</v>
      </c>
      <c r="C11" s="46" t="s">
        <v>88</v>
      </c>
      <c r="D11" s="328" t="s">
        <v>232</v>
      </c>
      <c r="E11" s="47">
        <v>34</v>
      </c>
      <c r="F11" s="5">
        <v>15.853658536585368</v>
      </c>
      <c r="G11" s="223">
        <f t="shared" si="0"/>
        <v>483.5973993039749</v>
      </c>
      <c r="H11" s="79"/>
      <c r="I11" s="30"/>
      <c r="J11" s="48">
        <v>30</v>
      </c>
      <c r="K11" s="69" t="s">
        <v>230</v>
      </c>
      <c r="L11" s="46" t="s">
        <v>88</v>
      </c>
      <c r="M11" s="4">
        <v>12</v>
      </c>
      <c r="N11" s="5">
        <v>11.280487804878049</v>
      </c>
      <c r="O11" s="47">
        <f t="shared" si="1"/>
        <v>32.961598358796536</v>
      </c>
      <c r="P11" s="9"/>
      <c r="R11" s="67" t="s">
        <v>337</v>
      </c>
      <c r="S11" s="114" t="s">
        <v>613</v>
      </c>
      <c r="T11" s="4">
        <v>1</v>
      </c>
      <c r="U11" s="49"/>
      <c r="Y11" s="9">
        <v>4</v>
      </c>
      <c r="Z11" s="15"/>
      <c r="AA11" s="17"/>
      <c r="AB11" s="16"/>
      <c r="AC11" s="18">
        <v>5</v>
      </c>
      <c r="AD11" s="1"/>
      <c r="AE11" s="1"/>
      <c r="AF11" s="1"/>
      <c r="AG11" s="1"/>
      <c r="AH11" s="1"/>
      <c r="AI11" s="1"/>
      <c r="AJ11" s="1"/>
      <c r="AK11" s="1"/>
    </row>
    <row r="12" spans="1:37">
      <c r="A12" s="6">
        <v>8</v>
      </c>
      <c r="B12" s="69" t="s">
        <v>230</v>
      </c>
      <c r="C12" s="46" t="s">
        <v>88</v>
      </c>
      <c r="D12" s="328" t="s">
        <v>232</v>
      </c>
      <c r="E12" s="47">
        <v>28</v>
      </c>
      <c r="F12" s="5">
        <v>21.646341463414636</v>
      </c>
      <c r="G12" s="223">
        <f t="shared" si="0"/>
        <v>293.10308694040185</v>
      </c>
      <c r="H12" s="79"/>
      <c r="I12" s="30"/>
      <c r="J12" s="48">
        <v>31</v>
      </c>
      <c r="K12" s="69" t="s">
        <v>230</v>
      </c>
      <c r="L12" s="46" t="s">
        <v>88</v>
      </c>
      <c r="M12" s="4">
        <v>10</v>
      </c>
      <c r="N12" s="5">
        <v>7.6219512195121952</v>
      </c>
      <c r="O12" s="47">
        <f t="shared" si="1"/>
        <v>20.596803684070956</v>
      </c>
      <c r="P12" s="9"/>
      <c r="R12" s="71" t="s">
        <v>292</v>
      </c>
      <c r="S12" s="114" t="s">
        <v>614</v>
      </c>
      <c r="T12" s="4">
        <v>1</v>
      </c>
      <c r="U12" s="49"/>
      <c r="Y12" s="1"/>
      <c r="Z12" s="1">
        <v>9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18">
      <c r="A13" s="6">
        <v>9</v>
      </c>
      <c r="B13" s="69" t="s">
        <v>230</v>
      </c>
      <c r="C13" s="46" t="s">
        <v>88</v>
      </c>
      <c r="D13" s="328" t="s">
        <v>232</v>
      </c>
      <c r="E13" s="47">
        <v>30.5</v>
      </c>
      <c r="F13" s="5">
        <v>22.865853658536587</v>
      </c>
      <c r="G13" s="223">
        <f t="shared" si="0"/>
        <v>365.4341376472259</v>
      </c>
      <c r="H13" s="79"/>
      <c r="I13" s="30"/>
      <c r="J13" s="24" t="s">
        <v>459</v>
      </c>
      <c r="O13" s="4">
        <f t="shared" si="1"/>
        <v>0</v>
      </c>
      <c r="R13" s="66" t="s">
        <v>233</v>
      </c>
      <c r="S13" s="114" t="s">
        <v>124</v>
      </c>
      <c r="T13" s="4">
        <v>1</v>
      </c>
      <c r="U13" s="49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>
      <c r="A14" s="6">
        <v>10</v>
      </c>
      <c r="B14" s="71" t="s">
        <v>239</v>
      </c>
      <c r="C14" s="46" t="s">
        <v>125</v>
      </c>
      <c r="D14" s="325" t="s">
        <v>241</v>
      </c>
      <c r="E14" s="47">
        <v>23.5</v>
      </c>
      <c r="F14" s="5">
        <v>16.76829268292683</v>
      </c>
      <c r="G14" s="223">
        <f t="shared" si="0"/>
        <v>186.54510022351974</v>
      </c>
      <c r="H14" s="79"/>
      <c r="I14" s="30"/>
      <c r="R14" s="69" t="s">
        <v>297</v>
      </c>
      <c r="S14" s="114" t="s">
        <v>615</v>
      </c>
      <c r="T14" s="4">
        <v>1</v>
      </c>
      <c r="U14" s="49"/>
      <c r="Y14" s="338" t="s">
        <v>616</v>
      </c>
      <c r="Z14" s="338"/>
      <c r="AA14" s="338"/>
      <c r="AB14" s="338"/>
      <c r="AC14" s="1"/>
      <c r="AD14" s="1"/>
      <c r="AE14" s="1"/>
      <c r="AF14" s="1"/>
      <c r="AG14" s="1"/>
      <c r="AH14" s="1"/>
      <c r="AI14" s="1"/>
      <c r="AJ14" s="1"/>
      <c r="AK14" s="1"/>
    </row>
    <row r="15" spans="1:37">
      <c r="A15" s="6">
        <v>11</v>
      </c>
      <c r="B15" s="69" t="s">
        <v>230</v>
      </c>
      <c r="C15" s="46" t="s">
        <v>88</v>
      </c>
      <c r="D15" s="328" t="s">
        <v>232</v>
      </c>
      <c r="E15" s="47">
        <v>24</v>
      </c>
      <c r="F15" s="5">
        <v>18.597560975609756</v>
      </c>
      <c r="G15" s="223">
        <f t="shared" si="0"/>
        <v>196.95391678520957</v>
      </c>
      <c r="H15" s="79"/>
      <c r="I15" s="30"/>
      <c r="R15" s="67" t="s">
        <v>617</v>
      </c>
      <c r="S15" s="115" t="s">
        <v>618</v>
      </c>
      <c r="T15" s="4">
        <v>1</v>
      </c>
      <c r="U15" s="49"/>
      <c r="Y15" s="338" t="s">
        <v>619</v>
      </c>
      <c r="Z15" s="338"/>
      <c r="AA15" s="338"/>
      <c r="AB15" s="338"/>
      <c r="AC15" s="1"/>
    </row>
    <row r="16" spans="1:37">
      <c r="A16" s="6">
        <v>12</v>
      </c>
      <c r="B16" s="71" t="s">
        <v>239</v>
      </c>
      <c r="C16" s="46" t="s">
        <v>125</v>
      </c>
      <c r="D16" s="325" t="s">
        <v>241</v>
      </c>
      <c r="E16" s="47">
        <v>34</v>
      </c>
      <c r="F16" s="5">
        <v>23.780487804878049</v>
      </c>
      <c r="G16" s="223">
        <f t="shared" si="0"/>
        <v>483.5973993039749</v>
      </c>
      <c r="H16" s="79"/>
      <c r="I16" s="30"/>
      <c r="R16" s="24" t="s">
        <v>451</v>
      </c>
      <c r="Y16" s="338" t="s">
        <v>620</v>
      </c>
      <c r="Z16" s="338"/>
      <c r="AA16" s="338"/>
      <c r="AB16" s="338"/>
      <c r="AC16" s="1"/>
    </row>
    <row r="17" spans="1:29" ht="18">
      <c r="A17" s="6">
        <v>13</v>
      </c>
      <c r="B17" s="69" t="s">
        <v>230</v>
      </c>
      <c r="C17" s="46" t="s">
        <v>88</v>
      </c>
      <c r="D17" s="328" t="s">
        <v>232</v>
      </c>
      <c r="E17" s="47">
        <v>20.9</v>
      </c>
      <c r="F17" s="5">
        <v>19.207317073170731</v>
      </c>
      <c r="G17" s="223">
        <f t="shared" si="0"/>
        <v>137.86597656538487</v>
      </c>
      <c r="H17" s="79"/>
      <c r="I17" s="30"/>
      <c r="R17" s="24" t="s">
        <v>452</v>
      </c>
      <c r="Y17" s="338" t="s">
        <v>621</v>
      </c>
      <c r="Z17" s="338"/>
      <c r="AA17" s="338"/>
      <c r="AB17" s="338"/>
      <c r="AC17" s="1" t="s">
        <v>481</v>
      </c>
    </row>
    <row r="18" spans="1:29" ht="18">
      <c r="A18" s="6">
        <v>14</v>
      </c>
      <c r="B18" s="69" t="s">
        <v>230</v>
      </c>
      <c r="C18" s="46" t="s">
        <v>88</v>
      </c>
      <c r="D18" s="328" t="s">
        <v>232</v>
      </c>
      <c r="E18" s="47">
        <v>21.2</v>
      </c>
      <c r="F18" s="5">
        <v>15.853658536585368</v>
      </c>
      <c r="G18" s="223">
        <f t="shared" si="0"/>
        <v>143.02765390364684</v>
      </c>
      <c r="H18" s="79"/>
      <c r="I18" s="30"/>
      <c r="Y18" s="338" t="s">
        <v>622</v>
      </c>
      <c r="Z18" s="338"/>
      <c r="AA18" s="338"/>
      <c r="AB18" s="338"/>
      <c r="AC18" s="1"/>
    </row>
    <row r="19" spans="1:29" ht="18">
      <c r="A19" s="6">
        <v>15</v>
      </c>
      <c r="B19" s="69" t="s">
        <v>230</v>
      </c>
      <c r="C19" s="46" t="s">
        <v>88</v>
      </c>
      <c r="D19" s="328" t="s">
        <v>232</v>
      </c>
      <c r="E19" s="47">
        <v>34</v>
      </c>
      <c r="F19" s="5">
        <v>24.085365853658537</v>
      </c>
      <c r="G19" s="223">
        <f t="shared" si="0"/>
        <v>483.5973993039749</v>
      </c>
      <c r="H19" s="79"/>
      <c r="I19" s="30"/>
      <c r="Y19" s="338" t="s">
        <v>623</v>
      </c>
      <c r="Z19" s="338"/>
      <c r="AA19" s="338"/>
      <c r="AB19" s="338"/>
      <c r="AC19" s="1"/>
    </row>
    <row r="20" spans="1:29" ht="18">
      <c r="A20" s="6">
        <v>16</v>
      </c>
      <c r="B20" s="69" t="s">
        <v>230</v>
      </c>
      <c r="C20" s="46" t="s">
        <v>88</v>
      </c>
      <c r="D20" s="328" t="s">
        <v>232</v>
      </c>
      <c r="E20" s="47">
        <v>39.700000000000003</v>
      </c>
      <c r="F20" s="5">
        <v>24.695121951219512</v>
      </c>
      <c r="G20" s="223">
        <f t="shared" si="0"/>
        <v>721.24123195845789</v>
      </c>
      <c r="H20" s="79"/>
      <c r="I20" s="30"/>
      <c r="Y20" s="338" t="s">
        <v>624</v>
      </c>
      <c r="Z20" s="338"/>
      <c r="AA20" s="338"/>
      <c r="AB20" s="338"/>
      <c r="AC20" s="1"/>
    </row>
    <row r="21" spans="1:29">
      <c r="A21" s="6">
        <v>17</v>
      </c>
      <c r="B21" s="71" t="s">
        <v>239</v>
      </c>
      <c r="C21" s="46" t="s">
        <v>125</v>
      </c>
      <c r="D21" s="325" t="s">
        <v>241</v>
      </c>
      <c r="E21" s="47">
        <v>20.8</v>
      </c>
      <c r="F21" s="5">
        <v>18.597560975609756</v>
      </c>
      <c r="G21" s="223">
        <f t="shared" si="0"/>
        <v>136.17117045962024</v>
      </c>
      <c r="H21" s="79"/>
      <c r="I21" s="30"/>
      <c r="Y21" s="338" t="s">
        <v>625</v>
      </c>
      <c r="Z21" s="338"/>
      <c r="AA21" s="338"/>
      <c r="AB21" s="338"/>
      <c r="AC21" s="1"/>
    </row>
    <row r="22" spans="1:29" ht="18">
      <c r="A22" s="6">
        <v>18</v>
      </c>
      <c r="B22" s="69" t="s">
        <v>230</v>
      </c>
      <c r="C22" s="46" t="s">
        <v>88</v>
      </c>
      <c r="D22" s="328" t="s">
        <v>232</v>
      </c>
      <c r="E22" s="47">
        <v>28.2</v>
      </c>
      <c r="F22" s="5">
        <v>17.987804878048781</v>
      </c>
      <c r="G22" s="223">
        <f t="shared" si="0"/>
        <v>298.53295509751587</v>
      </c>
      <c r="H22" s="79"/>
      <c r="I22" s="30"/>
      <c r="Y22" s="338" t="s">
        <v>626</v>
      </c>
      <c r="Z22" s="338"/>
      <c r="AA22" s="338"/>
      <c r="AB22" s="338"/>
      <c r="AC22" s="1"/>
    </row>
    <row r="23" spans="1:29" ht="18">
      <c r="A23" s="6">
        <v>19</v>
      </c>
      <c r="B23" s="69" t="s">
        <v>230</v>
      </c>
      <c r="C23" s="46" t="s">
        <v>88</v>
      </c>
      <c r="D23" s="328" t="s">
        <v>232</v>
      </c>
      <c r="E23" s="47">
        <v>22.2</v>
      </c>
      <c r="F23" s="5">
        <v>18.902439024390244</v>
      </c>
      <c r="G23" s="223">
        <f t="shared" si="0"/>
        <v>161.08093829235801</v>
      </c>
      <c r="H23" s="79"/>
      <c r="I23" s="30"/>
    </row>
    <row r="24" spans="1:29" ht="18">
      <c r="A24" s="6">
        <v>20</v>
      </c>
      <c r="B24" s="69" t="s">
        <v>230</v>
      </c>
      <c r="C24" s="46" t="s">
        <v>88</v>
      </c>
      <c r="D24" s="328" t="s">
        <v>232</v>
      </c>
      <c r="E24" s="47">
        <v>24.2</v>
      </c>
      <c r="F24" s="5">
        <v>20.426829268292686</v>
      </c>
      <c r="G24" s="223">
        <f t="shared" si="0"/>
        <v>201.21467820790031</v>
      </c>
      <c r="H24" s="79"/>
      <c r="I24" s="30"/>
    </row>
    <row r="25" spans="1:29">
      <c r="A25" s="6">
        <v>21</v>
      </c>
      <c r="B25" s="71" t="s">
        <v>239</v>
      </c>
      <c r="C25" s="46" t="s">
        <v>125</v>
      </c>
      <c r="D25" s="325" t="s">
        <v>241</v>
      </c>
      <c r="E25" s="47">
        <v>20.8</v>
      </c>
      <c r="F25" s="5">
        <v>21.036585365853661</v>
      </c>
      <c r="G25" s="223">
        <f t="shared" si="0"/>
        <v>136.17117045962024</v>
      </c>
      <c r="H25" s="79"/>
      <c r="I25" s="30"/>
    </row>
    <row r="26" spans="1:29" ht="18">
      <c r="A26" s="6">
        <v>22</v>
      </c>
      <c r="B26" s="69" t="s">
        <v>230</v>
      </c>
      <c r="C26" s="46" t="s">
        <v>88</v>
      </c>
      <c r="D26" s="328" t="s">
        <v>232</v>
      </c>
      <c r="E26" s="47">
        <v>24</v>
      </c>
      <c r="F26" s="5">
        <v>22.256097560975611</v>
      </c>
      <c r="G26" s="223">
        <f t="shared" si="0"/>
        <v>196.95391678520957</v>
      </c>
      <c r="H26" s="79"/>
      <c r="I26" s="30"/>
    </row>
    <row r="27" spans="1:29" ht="18">
      <c r="A27" s="6">
        <v>23</v>
      </c>
      <c r="B27" s="69" t="s">
        <v>230</v>
      </c>
      <c r="C27" s="46" t="s">
        <v>88</v>
      </c>
      <c r="D27" s="328" t="s">
        <v>232</v>
      </c>
      <c r="E27" s="47">
        <v>21.3</v>
      </c>
      <c r="F27" s="5">
        <v>15.548780487804878</v>
      </c>
      <c r="G27" s="223">
        <f t="shared" si="0"/>
        <v>144.7740843558706</v>
      </c>
      <c r="H27" s="79"/>
      <c r="I27" s="30"/>
    </row>
    <row r="28" spans="1:29">
      <c r="A28" s="340" t="s">
        <v>463</v>
      </c>
      <c r="B28" s="340"/>
      <c r="C28" s="340"/>
      <c r="D28" s="340"/>
      <c r="E28" s="340"/>
      <c r="F28" s="340"/>
      <c r="G28" s="49">
        <f t="shared" si="0"/>
        <v>0</v>
      </c>
    </row>
    <row r="30" spans="1:29">
      <c r="C30" s="97" t="s">
        <v>781</v>
      </c>
      <c r="D30">
        <f>COUNTIF(D4:D27,D27)</f>
        <v>18</v>
      </c>
      <c r="E30" s="331">
        <v>0.78259999999999996</v>
      </c>
    </row>
  </sheetData>
  <autoFilter ref="A4:H28"/>
  <mergeCells count="15">
    <mergeCell ref="Y14:AB14"/>
    <mergeCell ref="A1:C1"/>
    <mergeCell ref="E1:G1"/>
    <mergeCell ref="J1:N1"/>
    <mergeCell ref="Z1:AB1"/>
    <mergeCell ref="E2:G2"/>
    <mergeCell ref="Y21:AB21"/>
    <mergeCell ref="Y22:AB22"/>
    <mergeCell ref="A28:F28"/>
    <mergeCell ref="Y15:AB15"/>
    <mergeCell ref="Y16:AB16"/>
    <mergeCell ref="Y17:AB17"/>
    <mergeCell ref="Y18:AB18"/>
    <mergeCell ref="Y19:AB19"/>
    <mergeCell ref="Y20:AB20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L25"/>
  <sheetViews>
    <sheetView workbookViewId="0">
      <selection activeCell="Q6" sqref="Q6"/>
    </sheetView>
  </sheetViews>
  <sheetFormatPr defaultRowHeight="15"/>
  <cols>
    <col min="3" max="3" width="20.7109375" bestFit="1" customWidth="1"/>
    <col min="4" max="4" width="20.7109375" customWidth="1"/>
    <col min="5" max="6" width="10.140625" bestFit="1" customWidth="1"/>
    <col min="7" max="7" width="12.140625" bestFit="1" customWidth="1"/>
    <col min="8" max="8" width="13.42578125" bestFit="1" customWidth="1"/>
    <col min="16" max="16" width="12.140625" bestFit="1" customWidth="1"/>
  </cols>
  <sheetData>
    <row r="1" spans="1:38">
      <c r="A1" s="338" t="s">
        <v>627</v>
      </c>
      <c r="B1" s="338"/>
      <c r="C1" s="338"/>
      <c r="D1" s="324"/>
      <c r="E1" s="338" t="s">
        <v>628</v>
      </c>
      <c r="F1" s="338"/>
      <c r="G1" s="338"/>
      <c r="H1" s="286"/>
      <c r="I1" s="286"/>
      <c r="K1" s="338" t="s">
        <v>629</v>
      </c>
      <c r="L1" s="338"/>
      <c r="M1" s="338"/>
      <c r="N1" s="338"/>
      <c r="O1" s="338"/>
      <c r="P1" s="286"/>
      <c r="S1" s="2" t="s">
        <v>630</v>
      </c>
      <c r="Z1" s="1"/>
      <c r="AA1" s="338" t="s">
        <v>438</v>
      </c>
      <c r="AB1" s="338"/>
      <c r="AC1" s="338"/>
      <c r="AD1" s="1"/>
      <c r="AE1" s="1"/>
      <c r="AF1" s="1"/>
      <c r="AG1" s="1"/>
      <c r="AH1" s="1"/>
      <c r="AI1" s="1"/>
      <c r="AJ1" s="1"/>
      <c r="AK1" s="1"/>
      <c r="AL1" s="1"/>
    </row>
    <row r="2" spans="1:38">
      <c r="A2" s="2" t="s">
        <v>595</v>
      </c>
      <c r="B2" s="2"/>
      <c r="C2" s="1"/>
      <c r="D2" s="1"/>
      <c r="E2" s="338" t="s">
        <v>440</v>
      </c>
      <c r="F2" s="338"/>
      <c r="G2" s="338"/>
      <c r="H2" s="286"/>
      <c r="I2" s="286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>
      <c r="Z3" s="1">
        <v>2</v>
      </c>
      <c r="AA3" s="1">
        <v>8</v>
      </c>
      <c r="AB3" s="1"/>
      <c r="AC3" s="1">
        <v>3</v>
      </c>
      <c r="AD3" s="1"/>
      <c r="AE3" s="1"/>
      <c r="AF3" s="1"/>
      <c r="AG3" s="1"/>
      <c r="AH3" s="1"/>
      <c r="AI3" s="1"/>
      <c r="AJ3" s="1"/>
      <c r="AK3" s="1"/>
      <c r="AL3" s="1"/>
    </row>
    <row r="4" spans="1:38">
      <c r="A4" s="45" t="s">
        <v>221</v>
      </c>
      <c r="B4" s="45" t="s">
        <v>596</v>
      </c>
      <c r="C4" s="45">
        <v>2</v>
      </c>
      <c r="D4" s="45" t="s">
        <v>225</v>
      </c>
      <c r="E4" s="45" t="s">
        <v>597</v>
      </c>
      <c r="F4" s="45" t="s">
        <v>598</v>
      </c>
      <c r="G4" s="45" t="s">
        <v>445</v>
      </c>
      <c r="H4" s="217" t="s">
        <v>4</v>
      </c>
      <c r="I4" s="290" t="s">
        <v>771</v>
      </c>
      <c r="J4" s="290" t="s">
        <v>580</v>
      </c>
      <c r="K4" s="45" t="s">
        <v>221</v>
      </c>
      <c r="L4" s="45" t="s">
        <v>596</v>
      </c>
      <c r="M4" s="45" t="s">
        <v>224</v>
      </c>
      <c r="N4" s="45" t="s">
        <v>597</v>
      </c>
      <c r="O4" s="45" t="s">
        <v>598</v>
      </c>
      <c r="P4" s="45" t="s">
        <v>445</v>
      </c>
      <c r="Q4" s="45" t="s">
        <v>580</v>
      </c>
      <c r="S4" s="3" t="s">
        <v>441</v>
      </c>
      <c r="T4" s="3" t="s">
        <v>442</v>
      </c>
      <c r="U4" s="26" t="s">
        <v>224</v>
      </c>
      <c r="V4" s="3" t="s">
        <v>443</v>
      </c>
      <c r="W4" s="3" t="s">
        <v>444</v>
      </c>
      <c r="X4" s="26" t="s">
        <v>448</v>
      </c>
      <c r="Z4" s="9"/>
      <c r="AA4" s="10"/>
      <c r="AB4" s="10"/>
      <c r="AC4" s="11"/>
      <c r="AD4" s="1"/>
      <c r="AE4" s="1"/>
      <c r="AF4" s="1"/>
      <c r="AG4" s="1"/>
      <c r="AH4" s="1"/>
      <c r="AI4" s="1"/>
      <c r="AJ4" s="1"/>
      <c r="AK4" s="1"/>
      <c r="AL4" s="1"/>
    </row>
    <row r="5" spans="1:38" ht="18">
      <c r="A5" s="6">
        <v>1</v>
      </c>
      <c r="B5" s="69" t="s">
        <v>230</v>
      </c>
      <c r="C5" s="46" t="s">
        <v>88</v>
      </c>
      <c r="D5" s="328" t="s">
        <v>232</v>
      </c>
      <c r="E5" s="47">
        <v>24</v>
      </c>
      <c r="F5" s="5">
        <v>14.939024390243903</v>
      </c>
      <c r="G5" s="223">
        <f t="shared" ref="G5:G22" si="0">0.0543*E5^2.579</f>
        <v>196.95391678520957</v>
      </c>
      <c r="H5" s="224">
        <f>SUM(G5:G22)/1000/0.025</f>
        <v>325.80637173421326</v>
      </c>
      <c r="I5" s="91">
        <f>AVERAGE(F5:F22)</f>
        <v>16.990176151761521</v>
      </c>
      <c r="J5" s="30"/>
      <c r="K5" s="48">
        <v>19</v>
      </c>
      <c r="L5" s="69" t="s">
        <v>230</v>
      </c>
      <c r="M5" s="46" t="s">
        <v>88</v>
      </c>
      <c r="N5" s="4">
        <v>19.5</v>
      </c>
      <c r="O5" s="5">
        <v>10.27439024390244</v>
      </c>
      <c r="P5" s="47">
        <f t="shared" ref="P5:P10" si="1">0.0543*N5^2.579</f>
        <v>115.29197855676054</v>
      </c>
      <c r="Q5" s="47">
        <f>SUM(P5:P10)/1000/0.0625</f>
        <v>6.147126471247808</v>
      </c>
      <c r="S5" s="51">
        <v>0</v>
      </c>
      <c r="T5" s="51">
        <v>0</v>
      </c>
      <c r="U5" s="52">
        <v>0</v>
      </c>
      <c r="V5" s="51">
        <v>0</v>
      </c>
      <c r="W5" s="53">
        <v>0</v>
      </c>
      <c r="X5" s="54">
        <v>0</v>
      </c>
      <c r="Z5" s="9"/>
      <c r="AA5" s="12"/>
      <c r="AB5" s="12"/>
      <c r="AC5" s="13"/>
      <c r="AD5" s="1"/>
      <c r="AE5" s="1"/>
      <c r="AF5" s="1"/>
      <c r="AG5" s="1"/>
      <c r="AH5" s="1"/>
      <c r="AI5" s="1"/>
      <c r="AJ5" s="1"/>
      <c r="AK5" s="1"/>
      <c r="AL5" s="1"/>
    </row>
    <row r="6" spans="1:38" ht="18">
      <c r="A6" s="6">
        <v>2</v>
      </c>
      <c r="B6" s="69" t="s">
        <v>230</v>
      </c>
      <c r="C6" s="46" t="s">
        <v>88</v>
      </c>
      <c r="D6" s="328" t="s">
        <v>232</v>
      </c>
      <c r="E6" s="47">
        <v>20</v>
      </c>
      <c r="F6" s="5">
        <v>15.426829268292684</v>
      </c>
      <c r="G6" s="223">
        <f t="shared" si="0"/>
        <v>123.07113006706489</v>
      </c>
      <c r="H6" s="79"/>
      <c r="I6" s="79"/>
      <c r="J6" s="30"/>
      <c r="K6" s="48">
        <v>20</v>
      </c>
      <c r="L6" s="69" t="s">
        <v>230</v>
      </c>
      <c r="M6" s="46" t="s">
        <v>88</v>
      </c>
      <c r="N6" s="4">
        <v>16.2</v>
      </c>
      <c r="O6" s="5">
        <v>15.182926829268293</v>
      </c>
      <c r="P6" s="47">
        <f t="shared" si="1"/>
        <v>71.472512962150034</v>
      </c>
      <c r="Q6" s="5"/>
      <c r="S6" s="24" t="s">
        <v>449</v>
      </c>
      <c r="Z6" s="9"/>
      <c r="AA6" s="12"/>
      <c r="AB6" s="12"/>
      <c r="AC6" s="14"/>
      <c r="AD6" s="1"/>
      <c r="AE6" s="1"/>
      <c r="AF6" s="1"/>
      <c r="AG6" s="1"/>
      <c r="AH6" s="1"/>
      <c r="AI6" s="1"/>
      <c r="AJ6" s="1"/>
      <c r="AK6" s="1"/>
      <c r="AL6" s="1"/>
    </row>
    <row r="7" spans="1:38" ht="18">
      <c r="A7" s="6">
        <v>3</v>
      </c>
      <c r="B7" s="69" t="s">
        <v>230</v>
      </c>
      <c r="C7" s="46" t="s">
        <v>88</v>
      </c>
      <c r="D7" s="328" t="s">
        <v>232</v>
      </c>
      <c r="E7" s="47">
        <v>23.2</v>
      </c>
      <c r="F7" s="5">
        <v>17.469512195121951</v>
      </c>
      <c r="G7" s="223">
        <f t="shared" si="0"/>
        <v>180.46514825204486</v>
      </c>
      <c r="H7" s="79"/>
      <c r="I7" s="79"/>
      <c r="J7" s="30"/>
      <c r="K7" s="48">
        <v>21</v>
      </c>
      <c r="L7" s="69" t="s">
        <v>230</v>
      </c>
      <c r="M7" s="46" t="s">
        <v>88</v>
      </c>
      <c r="N7" s="4">
        <v>14.3</v>
      </c>
      <c r="O7" s="5">
        <v>11.737804878048781</v>
      </c>
      <c r="P7" s="47">
        <f t="shared" si="1"/>
        <v>51.809746843473022</v>
      </c>
      <c r="Q7" s="5"/>
      <c r="Z7" s="9">
        <v>6</v>
      </c>
      <c r="AA7" s="12"/>
      <c r="AB7" s="15"/>
      <c r="AC7" s="16"/>
      <c r="AD7" s="18">
        <v>7</v>
      </c>
      <c r="AE7" s="1"/>
      <c r="AF7" s="1"/>
      <c r="AG7" s="1"/>
      <c r="AH7" s="1"/>
      <c r="AI7" s="1"/>
      <c r="AJ7" s="1"/>
      <c r="AK7" s="1"/>
      <c r="AL7" s="1"/>
    </row>
    <row r="8" spans="1:38" ht="18">
      <c r="A8" s="6">
        <v>4</v>
      </c>
      <c r="B8" s="69" t="s">
        <v>230</v>
      </c>
      <c r="C8" s="46" t="s">
        <v>88</v>
      </c>
      <c r="D8" s="328" t="s">
        <v>232</v>
      </c>
      <c r="E8" s="47">
        <v>34</v>
      </c>
      <c r="F8" s="5">
        <v>14.329268292682928</v>
      </c>
      <c r="G8" s="223">
        <f t="shared" si="0"/>
        <v>483.5973993039749</v>
      </c>
      <c r="H8" s="79"/>
      <c r="I8" s="79"/>
      <c r="J8" s="30"/>
      <c r="K8" s="48">
        <v>22</v>
      </c>
      <c r="L8" s="69" t="s">
        <v>230</v>
      </c>
      <c r="M8" s="46" t="s">
        <v>88</v>
      </c>
      <c r="N8" s="4">
        <v>12.8</v>
      </c>
      <c r="O8" s="5">
        <v>13.841463414634147</v>
      </c>
      <c r="P8" s="47">
        <f t="shared" si="1"/>
        <v>38.930890812386224</v>
      </c>
      <c r="Q8" s="5"/>
      <c r="S8" s="27" t="s">
        <v>442</v>
      </c>
      <c r="T8" s="3" t="s">
        <v>224</v>
      </c>
      <c r="U8" s="27" t="s">
        <v>450</v>
      </c>
      <c r="V8" s="27" t="s">
        <v>448</v>
      </c>
      <c r="Z8" s="9"/>
      <c r="AA8" s="12">
        <v>1</v>
      </c>
      <c r="AB8" s="9"/>
      <c r="AC8" s="14"/>
      <c r="AD8" s="1"/>
      <c r="AE8" s="1"/>
      <c r="AF8" s="1"/>
      <c r="AG8" s="1"/>
      <c r="AH8" s="1"/>
      <c r="AI8" s="1"/>
      <c r="AJ8" s="1"/>
      <c r="AK8" s="1"/>
      <c r="AL8" s="1"/>
    </row>
    <row r="9" spans="1:38" ht="18">
      <c r="A9" s="6">
        <v>5</v>
      </c>
      <c r="B9" s="69" t="s">
        <v>230</v>
      </c>
      <c r="C9" s="46" t="s">
        <v>88</v>
      </c>
      <c r="D9" s="328" t="s">
        <v>232</v>
      </c>
      <c r="E9" s="47">
        <v>26</v>
      </c>
      <c r="F9" s="5">
        <v>8.536585365853659</v>
      </c>
      <c r="G9" s="223">
        <f t="shared" si="0"/>
        <v>242.11187664507929</v>
      </c>
      <c r="H9" s="79"/>
      <c r="I9" s="79"/>
      <c r="J9" s="30"/>
      <c r="K9" s="48">
        <v>23</v>
      </c>
      <c r="L9" s="69" t="s">
        <v>230</v>
      </c>
      <c r="M9" s="46" t="s">
        <v>88</v>
      </c>
      <c r="N9" s="4">
        <v>17.100000000000001</v>
      </c>
      <c r="O9" s="5">
        <v>14.329268292682928</v>
      </c>
      <c r="P9" s="47">
        <f t="shared" si="1"/>
        <v>82.166880343976928</v>
      </c>
      <c r="Q9" s="5"/>
      <c r="S9" s="69" t="s">
        <v>230</v>
      </c>
      <c r="T9" s="46" t="s">
        <v>88</v>
      </c>
      <c r="U9" s="4">
        <v>7</v>
      </c>
      <c r="V9" s="4"/>
      <c r="Z9" s="9"/>
      <c r="AA9" s="12"/>
      <c r="AB9" s="9"/>
      <c r="AC9" s="14"/>
      <c r="AD9" s="1"/>
      <c r="AE9" s="1"/>
      <c r="AF9" s="1"/>
      <c r="AG9" s="1"/>
      <c r="AH9" s="1"/>
      <c r="AI9" s="1"/>
      <c r="AJ9" s="1"/>
      <c r="AK9" s="1"/>
      <c r="AL9" s="1"/>
    </row>
    <row r="10" spans="1:38">
      <c r="A10" s="6">
        <v>6</v>
      </c>
      <c r="B10" s="69" t="s">
        <v>230</v>
      </c>
      <c r="C10" s="46" t="s">
        <v>88</v>
      </c>
      <c r="D10" s="328" t="s">
        <v>232</v>
      </c>
      <c r="E10" s="47">
        <v>25.3</v>
      </c>
      <c r="F10" s="5">
        <v>8.2926829268292686</v>
      </c>
      <c r="G10" s="223">
        <f t="shared" si="0"/>
        <v>225.65639913692584</v>
      </c>
      <c r="H10" s="79"/>
      <c r="I10" s="79"/>
      <c r="J10" s="30"/>
      <c r="K10" s="48">
        <v>24</v>
      </c>
      <c r="L10" s="69" t="s">
        <v>230</v>
      </c>
      <c r="M10" s="46" t="s">
        <v>88</v>
      </c>
      <c r="N10" s="4">
        <v>10.7</v>
      </c>
      <c r="O10" s="5">
        <v>8.8719512195121961</v>
      </c>
      <c r="P10" s="47">
        <f t="shared" si="1"/>
        <v>24.523394934241232</v>
      </c>
      <c r="Q10" s="5"/>
      <c r="S10" s="66" t="s">
        <v>245</v>
      </c>
      <c r="T10" s="115" t="s">
        <v>631</v>
      </c>
      <c r="U10" s="4">
        <v>1</v>
      </c>
      <c r="V10" s="4"/>
      <c r="Z10" s="9"/>
      <c r="AA10" s="12"/>
      <c r="AB10" s="9"/>
      <c r="AC10" s="14"/>
      <c r="AD10" s="1"/>
      <c r="AE10" s="1"/>
      <c r="AF10" s="1"/>
      <c r="AG10" s="1"/>
      <c r="AH10" s="1"/>
      <c r="AI10" s="1"/>
      <c r="AJ10" s="1"/>
      <c r="AK10" s="1"/>
      <c r="AL10" s="1"/>
    </row>
    <row r="11" spans="1:38">
      <c r="A11" s="6">
        <v>7</v>
      </c>
      <c r="B11" s="69" t="s">
        <v>230</v>
      </c>
      <c r="C11" s="46" t="s">
        <v>88</v>
      </c>
      <c r="D11" s="328" t="s">
        <v>232</v>
      </c>
      <c r="E11" s="47">
        <v>45</v>
      </c>
      <c r="F11" s="5">
        <v>14.298780487804878</v>
      </c>
      <c r="G11" s="223">
        <f t="shared" si="0"/>
        <v>996.4027158786098</v>
      </c>
      <c r="H11" s="79"/>
      <c r="I11" s="79"/>
      <c r="J11" s="30"/>
      <c r="K11" s="24" t="s">
        <v>459</v>
      </c>
      <c r="M11" s="46"/>
      <c r="P11" s="5"/>
      <c r="S11" s="69" t="s">
        <v>253</v>
      </c>
      <c r="T11" s="115" t="s">
        <v>632</v>
      </c>
      <c r="U11" s="4">
        <v>2</v>
      </c>
      <c r="V11" s="4"/>
      <c r="Z11" s="9">
        <v>4</v>
      </c>
      <c r="AA11" s="15"/>
      <c r="AB11" s="17"/>
      <c r="AC11" s="16"/>
      <c r="AD11" s="18">
        <v>5</v>
      </c>
      <c r="AE11" s="1"/>
      <c r="AF11" s="1"/>
      <c r="AG11" s="1"/>
      <c r="AH11" s="1"/>
      <c r="AI11" s="1"/>
      <c r="AJ11" s="1"/>
      <c r="AK11" s="1"/>
      <c r="AL11" s="1"/>
    </row>
    <row r="12" spans="1:38" ht="18">
      <c r="A12" s="6">
        <v>8</v>
      </c>
      <c r="B12" s="69" t="s">
        <v>230</v>
      </c>
      <c r="C12" s="46" t="s">
        <v>88</v>
      </c>
      <c r="D12" s="328" t="s">
        <v>232</v>
      </c>
      <c r="E12" s="47">
        <v>43.1</v>
      </c>
      <c r="F12" s="5">
        <v>16.463414634146343</v>
      </c>
      <c r="G12" s="223">
        <f t="shared" si="0"/>
        <v>891.49047900956873</v>
      </c>
      <c r="H12" s="79"/>
      <c r="I12" s="79"/>
      <c r="J12" s="30"/>
      <c r="S12" s="71" t="s">
        <v>633</v>
      </c>
      <c r="T12" s="114" t="s">
        <v>402</v>
      </c>
      <c r="U12" s="4">
        <v>2</v>
      </c>
      <c r="V12" s="4"/>
      <c r="Z12" s="1"/>
      <c r="AA12" s="1">
        <v>9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>
      <c r="A13" s="6">
        <v>9</v>
      </c>
      <c r="B13" s="69" t="s">
        <v>230</v>
      </c>
      <c r="C13" s="46" t="s">
        <v>88</v>
      </c>
      <c r="D13" s="328" t="s">
        <v>232</v>
      </c>
      <c r="E13" s="47">
        <v>45.2</v>
      </c>
      <c r="F13" s="5">
        <v>21.036585365853661</v>
      </c>
      <c r="G13" s="223">
        <f t="shared" si="0"/>
        <v>1007.8638145728437</v>
      </c>
      <c r="H13" s="79"/>
      <c r="I13" s="79"/>
      <c r="J13" s="30"/>
      <c r="S13" s="71" t="s">
        <v>634</v>
      </c>
      <c r="T13" s="114" t="s">
        <v>635</v>
      </c>
      <c r="U13" s="4">
        <v>1</v>
      </c>
      <c r="V13" s="4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ht="18">
      <c r="A14" s="6">
        <v>10</v>
      </c>
      <c r="B14" s="69" t="s">
        <v>230</v>
      </c>
      <c r="C14" s="46" t="s">
        <v>88</v>
      </c>
      <c r="D14" s="328" t="s">
        <v>232</v>
      </c>
      <c r="E14" s="47">
        <v>39.4</v>
      </c>
      <c r="F14" s="5">
        <v>20.54878048780488</v>
      </c>
      <c r="G14" s="223">
        <f t="shared" si="0"/>
        <v>707.26893901090909</v>
      </c>
      <c r="H14" s="79"/>
      <c r="I14" s="79"/>
      <c r="J14" s="30"/>
      <c r="S14" s="69" t="s">
        <v>297</v>
      </c>
      <c r="T14" s="114" t="s">
        <v>404</v>
      </c>
      <c r="U14" s="4">
        <v>1</v>
      </c>
      <c r="V14" s="4"/>
      <c r="Z14" s="338" t="s">
        <v>636</v>
      </c>
      <c r="AA14" s="338"/>
      <c r="AB14" s="338"/>
      <c r="AC14" s="338"/>
      <c r="AD14" s="1"/>
      <c r="AE14" s="1"/>
      <c r="AF14" s="1"/>
      <c r="AG14" s="1"/>
      <c r="AH14" s="1"/>
      <c r="AI14" s="1"/>
      <c r="AJ14" s="1"/>
      <c r="AK14" s="1"/>
      <c r="AL14" s="1"/>
    </row>
    <row r="15" spans="1:38" ht="18">
      <c r="A15" s="6">
        <v>11</v>
      </c>
      <c r="B15" s="69" t="s">
        <v>230</v>
      </c>
      <c r="C15" s="46" t="s">
        <v>88</v>
      </c>
      <c r="D15" s="328" t="s">
        <v>232</v>
      </c>
      <c r="E15" s="47">
        <v>44.5</v>
      </c>
      <c r="F15" s="5">
        <v>20.823170731707318</v>
      </c>
      <c r="G15" s="223">
        <f t="shared" si="0"/>
        <v>968.10017339332603</v>
      </c>
      <c r="H15" s="79"/>
      <c r="I15" s="79"/>
      <c r="J15" s="30"/>
      <c r="S15" s="67" t="s">
        <v>282</v>
      </c>
      <c r="T15" s="114" t="s">
        <v>322</v>
      </c>
      <c r="U15" s="4">
        <v>1</v>
      </c>
      <c r="V15" s="4"/>
      <c r="Z15" s="338" t="s">
        <v>637</v>
      </c>
      <c r="AA15" s="338"/>
      <c r="AB15" s="338"/>
      <c r="AC15" s="338"/>
      <c r="AD15" s="1"/>
    </row>
    <row r="16" spans="1:38">
      <c r="A16" s="6">
        <v>12</v>
      </c>
      <c r="B16" s="69" t="s">
        <v>230</v>
      </c>
      <c r="C16" s="46" t="s">
        <v>88</v>
      </c>
      <c r="D16" s="328" t="s">
        <v>232</v>
      </c>
      <c r="E16" s="47">
        <v>20.2</v>
      </c>
      <c r="F16" s="5">
        <v>20.274390243902442</v>
      </c>
      <c r="G16" s="223">
        <f t="shared" si="0"/>
        <v>126.27024158924155</v>
      </c>
      <c r="H16" s="79"/>
      <c r="I16" s="79"/>
      <c r="J16" s="30"/>
      <c r="S16" s="71" t="s">
        <v>638</v>
      </c>
      <c r="T16" s="115" t="s">
        <v>639</v>
      </c>
      <c r="U16" s="4">
        <v>1</v>
      </c>
      <c r="V16" s="4"/>
      <c r="Z16" s="338" t="s">
        <v>640</v>
      </c>
      <c r="AA16" s="338"/>
      <c r="AB16" s="338"/>
      <c r="AC16" s="338"/>
      <c r="AD16" s="1"/>
    </row>
    <row r="17" spans="1:30">
      <c r="A17" s="6">
        <v>13</v>
      </c>
      <c r="B17" s="69" t="s">
        <v>230</v>
      </c>
      <c r="C17" s="46" t="s">
        <v>88</v>
      </c>
      <c r="D17" s="328" t="s">
        <v>232</v>
      </c>
      <c r="E17" s="47">
        <v>24.1</v>
      </c>
      <c r="F17" s="5">
        <v>12.5</v>
      </c>
      <c r="G17" s="223">
        <f t="shared" si="0"/>
        <v>199.0773185315303</v>
      </c>
      <c r="H17" s="79"/>
      <c r="I17" s="79"/>
      <c r="J17" s="30"/>
      <c r="S17" s="24" t="s">
        <v>451</v>
      </c>
      <c r="Z17" s="338" t="s">
        <v>641</v>
      </c>
      <c r="AA17" s="338"/>
      <c r="AB17" s="338"/>
      <c r="AC17" s="338"/>
      <c r="AD17" s="1" t="s">
        <v>481</v>
      </c>
    </row>
    <row r="18" spans="1:30" ht="18">
      <c r="A18" s="6">
        <v>14</v>
      </c>
      <c r="B18" s="69" t="s">
        <v>230</v>
      </c>
      <c r="C18" s="46" t="s">
        <v>88</v>
      </c>
      <c r="D18" s="328" t="s">
        <v>232</v>
      </c>
      <c r="E18" s="47">
        <v>29.7</v>
      </c>
      <c r="F18" s="5">
        <v>19.207317073170731</v>
      </c>
      <c r="G18" s="223">
        <f t="shared" si="0"/>
        <v>341.22332641695931</v>
      </c>
      <c r="H18" s="79"/>
      <c r="I18" s="79"/>
      <c r="J18" s="30"/>
      <c r="S18" s="24" t="s">
        <v>452</v>
      </c>
      <c r="Z18" s="338" t="s">
        <v>642</v>
      </c>
      <c r="AA18" s="338"/>
      <c r="AB18" s="338"/>
      <c r="AC18" s="338"/>
      <c r="AD18" s="1"/>
    </row>
    <row r="19" spans="1:30">
      <c r="A19" s="6">
        <v>15</v>
      </c>
      <c r="B19" s="66" t="s">
        <v>265</v>
      </c>
      <c r="C19" s="114" t="s">
        <v>643</v>
      </c>
      <c r="D19" s="325" t="s">
        <v>267</v>
      </c>
      <c r="E19" s="47">
        <v>31.1</v>
      </c>
      <c r="F19" s="5">
        <v>19.908536585365855</v>
      </c>
      <c r="G19" s="223">
        <f t="shared" si="0"/>
        <v>384.26326884947548</v>
      </c>
      <c r="H19" s="79"/>
      <c r="I19" s="79"/>
      <c r="J19" s="30"/>
      <c r="Z19" s="338" t="s">
        <v>644</v>
      </c>
      <c r="AA19" s="338"/>
      <c r="AB19" s="338"/>
      <c r="AC19" s="338"/>
      <c r="AD19" s="1"/>
    </row>
    <row r="20" spans="1:30" ht="18">
      <c r="A20" s="6">
        <v>16</v>
      </c>
      <c r="B20" s="69" t="s">
        <v>230</v>
      </c>
      <c r="C20" s="46" t="s">
        <v>88</v>
      </c>
      <c r="D20" s="328" t="s">
        <v>232</v>
      </c>
      <c r="E20" s="47">
        <v>28.3</v>
      </c>
      <c r="F20" s="5">
        <v>21.646341463414636</v>
      </c>
      <c r="G20" s="223">
        <f t="shared" si="0"/>
        <v>301.27080424296003</v>
      </c>
      <c r="H20" s="79"/>
      <c r="I20" s="79"/>
      <c r="J20" s="30"/>
      <c r="Z20" s="338" t="s">
        <v>645</v>
      </c>
      <c r="AA20" s="338"/>
      <c r="AB20" s="338"/>
      <c r="AC20" s="338"/>
      <c r="AD20" s="1"/>
    </row>
    <row r="21" spans="1:30" ht="18">
      <c r="A21" s="6">
        <v>17</v>
      </c>
      <c r="B21" s="69" t="s">
        <v>230</v>
      </c>
      <c r="C21" s="46" t="s">
        <v>88</v>
      </c>
      <c r="D21" s="328" t="s">
        <v>232</v>
      </c>
      <c r="E21" s="47">
        <v>25.8</v>
      </c>
      <c r="F21" s="5">
        <v>21.524390243902438</v>
      </c>
      <c r="G21" s="223">
        <f t="shared" si="0"/>
        <v>237.33787591190813</v>
      </c>
      <c r="H21" s="79"/>
      <c r="I21" s="79"/>
      <c r="J21" s="30"/>
      <c r="Z21" s="338" t="s">
        <v>646</v>
      </c>
      <c r="AA21" s="338"/>
      <c r="AB21" s="338"/>
      <c r="AC21" s="338"/>
      <c r="AD21" s="1"/>
    </row>
    <row r="22" spans="1:30" ht="18">
      <c r="A22" s="6">
        <v>18</v>
      </c>
      <c r="B22" s="69" t="s">
        <v>230</v>
      </c>
      <c r="C22" s="46" t="s">
        <v>88</v>
      </c>
      <c r="D22" s="328" t="s">
        <v>232</v>
      </c>
      <c r="E22" s="47">
        <v>35.299999999999997</v>
      </c>
      <c r="F22" s="5">
        <v>18.597560975609756</v>
      </c>
      <c r="G22" s="223">
        <f t="shared" si="0"/>
        <v>532.73446575770129</v>
      </c>
      <c r="H22" s="79"/>
      <c r="I22" s="79"/>
      <c r="J22" s="30"/>
      <c r="Z22" s="338" t="s">
        <v>647</v>
      </c>
      <c r="AA22" s="338"/>
      <c r="AB22" s="338"/>
      <c r="AC22" s="338"/>
      <c r="AD22" s="1"/>
    </row>
    <row r="23" spans="1:30">
      <c r="A23" s="340" t="s">
        <v>463</v>
      </c>
      <c r="B23" s="340"/>
      <c r="C23" s="340"/>
      <c r="D23" s="340"/>
      <c r="E23" s="340"/>
      <c r="F23" s="340"/>
    </row>
    <row r="25" spans="1:30">
      <c r="C25" s="97" t="s">
        <v>781</v>
      </c>
      <c r="D25">
        <f>COUNTIF(D4:D22,D22)</f>
        <v>17</v>
      </c>
      <c r="E25" s="331">
        <v>0.94440000000000002</v>
      </c>
    </row>
  </sheetData>
  <autoFilter ref="A4:H23"/>
  <mergeCells count="15">
    <mergeCell ref="Z14:AC14"/>
    <mergeCell ref="A1:C1"/>
    <mergeCell ref="E1:G1"/>
    <mergeCell ref="K1:O1"/>
    <mergeCell ref="AA1:AC1"/>
    <mergeCell ref="E2:G2"/>
    <mergeCell ref="Z21:AC21"/>
    <mergeCell ref="Z22:AC22"/>
    <mergeCell ref="A23:F23"/>
    <mergeCell ref="Z15:AC15"/>
    <mergeCell ref="Z16:AC16"/>
    <mergeCell ref="Z17:AC17"/>
    <mergeCell ref="Z18:AC18"/>
    <mergeCell ref="Z19:AC19"/>
    <mergeCell ref="Z20:AC20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K36"/>
  <sheetViews>
    <sheetView workbookViewId="0">
      <selection activeCell="P6" sqref="P6"/>
    </sheetView>
  </sheetViews>
  <sheetFormatPr defaultRowHeight="15"/>
  <cols>
    <col min="3" max="3" width="25.28515625" bestFit="1" customWidth="1"/>
    <col min="7" max="7" width="12.140625" bestFit="1" customWidth="1"/>
    <col min="19" max="19" width="20.140625" bestFit="1" customWidth="1"/>
  </cols>
  <sheetData>
    <row r="1" spans="1:37">
      <c r="A1" s="338" t="s">
        <v>648</v>
      </c>
      <c r="B1" s="338"/>
      <c r="C1" s="338"/>
      <c r="D1" s="324"/>
      <c r="E1" s="338" t="s">
        <v>628</v>
      </c>
      <c r="F1" s="338"/>
      <c r="G1" s="338"/>
      <c r="H1" s="338"/>
      <c r="J1" s="338" t="s">
        <v>649</v>
      </c>
      <c r="K1" s="338"/>
      <c r="L1" s="338"/>
      <c r="M1" s="338"/>
      <c r="N1" s="338"/>
      <c r="O1" s="286"/>
      <c r="R1" s="2" t="s">
        <v>650</v>
      </c>
      <c r="Y1" s="1"/>
      <c r="Z1" s="338" t="s">
        <v>438</v>
      </c>
      <c r="AA1" s="338"/>
      <c r="AB1" s="338"/>
      <c r="AC1" s="1"/>
      <c r="AD1" s="1"/>
      <c r="AE1" s="1"/>
      <c r="AF1" s="1"/>
      <c r="AG1" s="1"/>
      <c r="AH1" s="1"/>
      <c r="AI1" s="1"/>
      <c r="AJ1" s="1"/>
      <c r="AK1" s="1"/>
    </row>
    <row r="2" spans="1:37">
      <c r="A2" s="2" t="s">
        <v>595</v>
      </c>
      <c r="B2" s="2"/>
      <c r="C2" s="1"/>
      <c r="D2" s="1"/>
      <c r="E2" s="338" t="s">
        <v>440</v>
      </c>
      <c r="F2" s="338"/>
      <c r="G2" s="338"/>
      <c r="H2" s="338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>
      <c r="Y3" s="1">
        <v>2</v>
      </c>
      <c r="Z3" s="1">
        <v>8</v>
      </c>
      <c r="AA3" s="1"/>
      <c r="AB3" s="1">
        <v>3</v>
      </c>
      <c r="AC3" s="1"/>
      <c r="AD3" s="1"/>
      <c r="AE3" s="1"/>
      <c r="AF3" s="1"/>
      <c r="AG3" s="1"/>
      <c r="AH3" s="1"/>
      <c r="AI3" s="1"/>
      <c r="AJ3" s="1"/>
      <c r="AK3" s="1"/>
    </row>
    <row r="4" spans="1:37">
      <c r="A4" s="45" t="s">
        <v>221</v>
      </c>
      <c r="B4" s="45" t="s">
        <v>596</v>
      </c>
      <c r="C4" s="45" t="s">
        <v>224</v>
      </c>
      <c r="D4" s="45" t="s">
        <v>225</v>
      </c>
      <c r="E4" s="45" t="s">
        <v>597</v>
      </c>
      <c r="F4" s="45" t="s">
        <v>598</v>
      </c>
      <c r="G4" s="45" t="s">
        <v>445</v>
      </c>
      <c r="H4" s="45" t="s">
        <v>580</v>
      </c>
      <c r="I4" s="28" t="s">
        <v>772</v>
      </c>
      <c r="J4" s="45" t="s">
        <v>221</v>
      </c>
      <c r="K4" s="45" t="s">
        <v>596</v>
      </c>
      <c r="L4" s="45" t="s">
        <v>224</v>
      </c>
      <c r="M4" s="45" t="s">
        <v>597</v>
      </c>
      <c r="N4" s="45" t="s">
        <v>598</v>
      </c>
      <c r="O4" s="45" t="s">
        <v>651</v>
      </c>
      <c r="P4" s="45" t="s">
        <v>580</v>
      </c>
      <c r="R4" s="3" t="s">
        <v>441</v>
      </c>
      <c r="S4" s="3" t="s">
        <v>442</v>
      </c>
      <c r="T4" s="26" t="s">
        <v>224</v>
      </c>
      <c r="U4" s="3" t="s">
        <v>443</v>
      </c>
      <c r="V4" s="3" t="s">
        <v>444</v>
      </c>
      <c r="W4" s="26" t="s">
        <v>448</v>
      </c>
      <c r="Y4" s="9"/>
      <c r="Z4" s="10"/>
      <c r="AA4" s="10"/>
      <c r="AB4" s="11"/>
      <c r="AC4" s="1"/>
      <c r="AD4" s="1"/>
      <c r="AE4" s="1"/>
      <c r="AF4" s="1"/>
      <c r="AG4" s="1"/>
      <c r="AH4" s="1"/>
      <c r="AI4" s="1"/>
      <c r="AJ4" s="1"/>
      <c r="AK4" s="1"/>
    </row>
    <row r="5" spans="1:37" ht="18">
      <c r="A5" s="6">
        <v>1</v>
      </c>
      <c r="B5" s="69" t="s">
        <v>230</v>
      </c>
      <c r="C5" s="46" t="s">
        <v>88</v>
      </c>
      <c r="D5" s="328" t="s">
        <v>232</v>
      </c>
      <c r="E5" s="47">
        <v>42.7</v>
      </c>
      <c r="F5" s="5">
        <v>22.256097560975611</v>
      </c>
      <c r="G5" s="47">
        <f>0.0543*E5^2.579</f>
        <v>870.30868863752585</v>
      </c>
      <c r="H5" s="223">
        <f>SUM(G5:G33)/1000/0.025</f>
        <v>468.95379716295054</v>
      </c>
      <c r="I5" s="84">
        <f>AVERAGE(F5:F33)</f>
        <v>18.018292682926834</v>
      </c>
      <c r="J5" s="48">
        <v>30</v>
      </c>
      <c r="K5" s="69" t="s">
        <v>230</v>
      </c>
      <c r="L5" s="46" t="s">
        <v>88</v>
      </c>
      <c r="M5" s="4">
        <v>16.8</v>
      </c>
      <c r="N5" s="5">
        <v>12.042682926829269</v>
      </c>
      <c r="O5" s="5">
        <f>0.0543*M5^2.579</f>
        <v>78.500507992315676</v>
      </c>
      <c r="P5" s="47">
        <f>SUM(O5:O7)/1000/0.0625</f>
        <v>2.7132708175751428</v>
      </c>
      <c r="R5" s="6">
        <v>33</v>
      </c>
      <c r="S5" s="69" t="s">
        <v>230</v>
      </c>
      <c r="T5" s="46" t="s">
        <v>88</v>
      </c>
      <c r="U5" s="4">
        <v>5.8</v>
      </c>
      <c r="V5" s="5">
        <v>4.786585365853659</v>
      </c>
      <c r="W5" s="4"/>
      <c r="Y5" s="9"/>
      <c r="Z5" s="12"/>
      <c r="AA5" s="12"/>
      <c r="AB5" s="13"/>
      <c r="AC5" s="1"/>
      <c r="AD5" s="1"/>
      <c r="AE5" s="1"/>
      <c r="AF5" s="1"/>
      <c r="AG5" s="1"/>
      <c r="AH5" s="1"/>
      <c r="AI5" s="1"/>
      <c r="AJ5" s="1"/>
      <c r="AK5" s="1"/>
    </row>
    <row r="6" spans="1:37" ht="18">
      <c r="A6" s="6">
        <v>2</v>
      </c>
      <c r="B6" s="69" t="s">
        <v>230</v>
      </c>
      <c r="C6" s="46" t="s">
        <v>88</v>
      </c>
      <c r="D6" s="328" t="s">
        <v>232</v>
      </c>
      <c r="E6" s="47">
        <v>32.6</v>
      </c>
      <c r="F6" s="5">
        <v>18.079268292682926</v>
      </c>
      <c r="G6" s="47">
        <f t="shared" ref="G6:G33" si="0">0.0543*E6^2.579</f>
        <v>433.89837151844927</v>
      </c>
      <c r="H6" s="49"/>
      <c r="I6" s="30"/>
      <c r="J6" s="48">
        <v>31</v>
      </c>
      <c r="K6" s="71" t="s">
        <v>239</v>
      </c>
      <c r="L6" s="46" t="s">
        <v>125</v>
      </c>
      <c r="M6" s="4">
        <v>13.8</v>
      </c>
      <c r="N6" s="5">
        <v>10.365853658536587</v>
      </c>
      <c r="O6" s="5">
        <f t="shared" ref="O6:O7" si="1">0.0543*M6^2.579</f>
        <v>47.265906705915164</v>
      </c>
      <c r="P6" s="5"/>
      <c r="R6" s="24" t="s">
        <v>449</v>
      </c>
      <c r="Y6" s="9"/>
      <c r="Z6" s="12"/>
      <c r="AA6" s="12"/>
      <c r="AB6" s="14"/>
      <c r="AC6" s="1"/>
      <c r="AD6" s="1"/>
      <c r="AE6" s="1"/>
      <c r="AF6" s="1"/>
      <c r="AG6" s="1"/>
      <c r="AH6" s="1"/>
      <c r="AI6" s="1"/>
      <c r="AJ6" s="1"/>
      <c r="AK6" s="1"/>
    </row>
    <row r="7" spans="1:37" ht="18">
      <c r="A7" s="6">
        <v>3</v>
      </c>
      <c r="B7" s="69" t="s">
        <v>230</v>
      </c>
      <c r="C7" s="46" t="s">
        <v>88</v>
      </c>
      <c r="D7" s="328" t="s">
        <v>232</v>
      </c>
      <c r="E7" s="47">
        <v>30.7</v>
      </c>
      <c r="F7" s="5">
        <v>14.786585365853659</v>
      </c>
      <c r="G7" s="47">
        <f t="shared" si="0"/>
        <v>371.64620286472808</v>
      </c>
      <c r="H7" s="49"/>
      <c r="I7" s="30"/>
      <c r="J7" s="48">
        <v>32</v>
      </c>
      <c r="K7" s="69" t="s">
        <v>230</v>
      </c>
      <c r="L7" s="46" t="s">
        <v>88</v>
      </c>
      <c r="M7" s="4">
        <v>13.4</v>
      </c>
      <c r="N7" s="5">
        <v>10.701219512195124</v>
      </c>
      <c r="O7" s="5">
        <f t="shared" si="1"/>
        <v>43.813011400215565</v>
      </c>
      <c r="P7" s="5"/>
      <c r="Y7" s="9">
        <v>6</v>
      </c>
      <c r="Z7" s="12"/>
      <c r="AA7" s="15"/>
      <c r="AB7" s="16"/>
      <c r="AC7" s="18">
        <v>7</v>
      </c>
      <c r="AD7" s="1"/>
      <c r="AE7" s="1"/>
      <c r="AF7" s="1"/>
      <c r="AG7" s="1"/>
      <c r="AH7" s="1"/>
      <c r="AI7" s="1"/>
      <c r="AJ7" s="1"/>
      <c r="AK7" s="1"/>
    </row>
    <row r="8" spans="1:37" ht="18">
      <c r="A8" s="6">
        <v>4</v>
      </c>
      <c r="B8" s="69" t="s">
        <v>230</v>
      </c>
      <c r="C8" s="46" t="s">
        <v>88</v>
      </c>
      <c r="D8" s="328" t="s">
        <v>232</v>
      </c>
      <c r="E8" s="47">
        <v>39.799999999999997</v>
      </c>
      <c r="F8" s="5">
        <v>18.810975609756099</v>
      </c>
      <c r="G8" s="47">
        <f t="shared" si="0"/>
        <v>725.93589697928405</v>
      </c>
      <c r="H8" s="49"/>
      <c r="I8" s="30"/>
      <c r="J8" s="24" t="s">
        <v>459</v>
      </c>
      <c r="R8" s="27" t="s">
        <v>442</v>
      </c>
      <c r="S8" s="3" t="s">
        <v>224</v>
      </c>
      <c r="T8" s="27" t="s">
        <v>450</v>
      </c>
      <c r="U8" s="27" t="s">
        <v>448</v>
      </c>
      <c r="Y8" s="9"/>
      <c r="Z8" s="12">
        <v>1</v>
      </c>
      <c r="AA8" s="9"/>
      <c r="AB8" s="14"/>
      <c r="AC8" s="1"/>
      <c r="AD8" s="1"/>
      <c r="AE8" s="1"/>
      <c r="AF8" s="1"/>
      <c r="AG8" s="1"/>
      <c r="AH8" s="1"/>
      <c r="AI8" s="1"/>
      <c r="AJ8" s="1"/>
      <c r="AK8" s="1"/>
    </row>
    <row r="9" spans="1:37" ht="18">
      <c r="A9" s="6">
        <v>5</v>
      </c>
      <c r="B9" s="69" t="s">
        <v>230</v>
      </c>
      <c r="C9" s="46" t="s">
        <v>88</v>
      </c>
      <c r="D9" s="328" t="s">
        <v>232</v>
      </c>
      <c r="E9" s="47">
        <v>38.5</v>
      </c>
      <c r="F9" s="5">
        <v>15.000000000000002</v>
      </c>
      <c r="G9" s="47">
        <f t="shared" si="0"/>
        <v>666.35099567995178</v>
      </c>
      <c r="H9" s="49"/>
      <c r="I9" s="30"/>
      <c r="R9" s="69" t="s">
        <v>230</v>
      </c>
      <c r="S9" s="46" t="s">
        <v>88</v>
      </c>
      <c r="T9" s="4">
        <v>2</v>
      </c>
      <c r="U9" s="49"/>
      <c r="Y9" s="9"/>
      <c r="Z9" s="12"/>
      <c r="AA9" s="9"/>
      <c r="AB9" s="14"/>
      <c r="AC9" s="1"/>
      <c r="AD9" s="1"/>
      <c r="AE9" s="1"/>
      <c r="AF9" s="1"/>
      <c r="AG9" s="1"/>
      <c r="AH9" s="1"/>
      <c r="AI9" s="1"/>
      <c r="AJ9" s="1"/>
      <c r="AK9" s="1"/>
    </row>
    <row r="10" spans="1:37">
      <c r="A10" s="6">
        <v>6</v>
      </c>
      <c r="B10" s="69" t="s">
        <v>230</v>
      </c>
      <c r="C10" s="46" t="s">
        <v>88</v>
      </c>
      <c r="D10" s="328" t="s">
        <v>232</v>
      </c>
      <c r="E10" s="47">
        <v>27.2</v>
      </c>
      <c r="F10" s="5">
        <v>17.408536585365855</v>
      </c>
      <c r="G10" s="47">
        <f t="shared" si="0"/>
        <v>271.99006016125969</v>
      </c>
      <c r="H10" s="49"/>
      <c r="I10" s="30"/>
      <c r="R10" s="71" t="s">
        <v>274</v>
      </c>
      <c r="S10" s="115" t="s">
        <v>652</v>
      </c>
      <c r="T10" s="4">
        <v>1</v>
      </c>
      <c r="U10" s="49"/>
      <c r="Y10" s="9"/>
      <c r="Z10" s="12"/>
      <c r="AA10" s="9"/>
      <c r="AB10" s="14"/>
      <c r="AC10" s="1"/>
      <c r="AD10" s="1"/>
      <c r="AE10" s="1"/>
      <c r="AF10" s="1"/>
      <c r="AG10" s="1"/>
      <c r="AH10" s="1"/>
      <c r="AI10" s="1"/>
      <c r="AJ10" s="1"/>
      <c r="AK10" s="1"/>
    </row>
    <row r="11" spans="1:37">
      <c r="A11" s="6">
        <v>7</v>
      </c>
      <c r="B11" s="71" t="s">
        <v>239</v>
      </c>
      <c r="C11" s="46" t="s">
        <v>125</v>
      </c>
      <c r="D11" s="325" t="s">
        <v>241</v>
      </c>
      <c r="E11" s="47">
        <v>27.3</v>
      </c>
      <c r="F11" s="5">
        <v>21.646341463414636</v>
      </c>
      <c r="G11" s="47">
        <f t="shared" si="0"/>
        <v>274.57645668841042</v>
      </c>
      <c r="H11" s="49"/>
      <c r="I11" s="30"/>
      <c r="R11" s="66" t="s">
        <v>265</v>
      </c>
      <c r="S11" s="114" t="s">
        <v>137</v>
      </c>
      <c r="T11" s="4">
        <v>1</v>
      </c>
      <c r="U11" s="49"/>
      <c r="Y11" s="9">
        <v>4</v>
      </c>
      <c r="Z11" s="15"/>
      <c r="AA11" s="17"/>
      <c r="AB11" s="16"/>
      <c r="AC11" s="18">
        <v>5</v>
      </c>
      <c r="AD11" s="1"/>
      <c r="AE11" s="1"/>
      <c r="AF11" s="1"/>
      <c r="AG11" s="1"/>
      <c r="AH11" s="1"/>
      <c r="AI11" s="1"/>
      <c r="AJ11" s="1"/>
      <c r="AK11" s="1"/>
    </row>
    <row r="12" spans="1:37" ht="18">
      <c r="A12" s="6">
        <v>8</v>
      </c>
      <c r="B12" s="69" t="s">
        <v>230</v>
      </c>
      <c r="C12" s="46" t="s">
        <v>88</v>
      </c>
      <c r="D12" s="328" t="s">
        <v>232</v>
      </c>
      <c r="E12" s="47">
        <v>37.200000000000003</v>
      </c>
      <c r="F12" s="5">
        <v>17.378048780487806</v>
      </c>
      <c r="G12" s="47">
        <f t="shared" si="0"/>
        <v>609.85989063196007</v>
      </c>
      <c r="H12" s="49"/>
      <c r="I12" s="30"/>
      <c r="R12" s="66" t="s">
        <v>261</v>
      </c>
      <c r="S12" s="114" t="s">
        <v>95</v>
      </c>
      <c r="T12" s="4">
        <v>1</v>
      </c>
      <c r="U12" s="49"/>
      <c r="Y12" s="1"/>
      <c r="Z12" s="1">
        <v>9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>
      <c r="A13" s="6">
        <v>9</v>
      </c>
      <c r="B13" s="71" t="s">
        <v>239</v>
      </c>
      <c r="C13" s="46" t="s">
        <v>125</v>
      </c>
      <c r="D13" s="325" t="s">
        <v>241</v>
      </c>
      <c r="E13" s="47">
        <v>26.6</v>
      </c>
      <c r="F13" s="5">
        <v>14.634146341463415</v>
      </c>
      <c r="G13" s="47">
        <f t="shared" si="0"/>
        <v>256.7849523867398</v>
      </c>
      <c r="H13" s="49"/>
      <c r="I13" s="30"/>
      <c r="R13" s="66" t="s">
        <v>308</v>
      </c>
      <c r="S13" s="114" t="s">
        <v>314</v>
      </c>
      <c r="T13" s="4">
        <v>1</v>
      </c>
      <c r="U13" s="49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>
      <c r="A14" s="6">
        <v>10</v>
      </c>
      <c r="B14" s="69" t="s">
        <v>230</v>
      </c>
      <c r="C14" s="46" t="s">
        <v>88</v>
      </c>
      <c r="D14" s="328" t="s">
        <v>232</v>
      </c>
      <c r="E14" s="47">
        <v>33.9</v>
      </c>
      <c r="F14" s="5">
        <v>20.945121951219516</v>
      </c>
      <c r="G14" s="47">
        <f t="shared" si="0"/>
        <v>479.93768380147299</v>
      </c>
      <c r="H14" s="49"/>
      <c r="I14" s="30"/>
      <c r="R14" s="71" t="s">
        <v>633</v>
      </c>
      <c r="S14" s="114" t="s">
        <v>653</v>
      </c>
      <c r="T14" s="4">
        <v>1</v>
      </c>
      <c r="U14" s="49"/>
      <c r="Y14" s="338" t="s">
        <v>636</v>
      </c>
      <c r="Z14" s="338"/>
      <c r="AA14" s="338"/>
      <c r="AB14" s="338"/>
      <c r="AC14" s="1"/>
      <c r="AD14" s="1"/>
      <c r="AE14" s="1"/>
      <c r="AF14" s="1"/>
      <c r="AG14" s="1"/>
      <c r="AH14" s="1"/>
      <c r="AI14" s="1"/>
      <c r="AJ14" s="1"/>
      <c r="AK14" s="1"/>
    </row>
    <row r="15" spans="1:37">
      <c r="A15" s="6">
        <v>11</v>
      </c>
      <c r="B15" s="71" t="s">
        <v>239</v>
      </c>
      <c r="C15" s="46" t="s">
        <v>125</v>
      </c>
      <c r="D15" s="325" t="s">
        <v>241</v>
      </c>
      <c r="E15" s="47">
        <v>32.700000000000003</v>
      </c>
      <c r="F15" s="5">
        <v>18.75</v>
      </c>
      <c r="G15" s="47">
        <f t="shared" si="0"/>
        <v>437.33927806069471</v>
      </c>
      <c r="H15" s="49"/>
      <c r="I15" s="30"/>
      <c r="R15" s="66" t="s">
        <v>233</v>
      </c>
      <c r="S15" s="114" t="s">
        <v>654</v>
      </c>
      <c r="T15" s="4">
        <v>1</v>
      </c>
      <c r="U15" s="49"/>
      <c r="Y15" s="338" t="s">
        <v>637</v>
      </c>
      <c r="Z15" s="338"/>
      <c r="AA15" s="338"/>
      <c r="AB15" s="338"/>
      <c r="AC15" s="1"/>
    </row>
    <row r="16" spans="1:37" ht="18">
      <c r="A16" s="6">
        <v>12</v>
      </c>
      <c r="B16" s="69" t="s">
        <v>230</v>
      </c>
      <c r="C16" s="46" t="s">
        <v>88</v>
      </c>
      <c r="D16" s="328" t="s">
        <v>232</v>
      </c>
      <c r="E16" s="47">
        <v>38.799999999999997</v>
      </c>
      <c r="F16" s="5">
        <v>9.1158536585365848</v>
      </c>
      <c r="G16" s="47">
        <f t="shared" si="0"/>
        <v>679.82455940998386</v>
      </c>
      <c r="H16" s="49"/>
      <c r="I16" s="30"/>
      <c r="R16" s="71" t="s">
        <v>655</v>
      </c>
      <c r="S16" s="114" t="s">
        <v>409</v>
      </c>
      <c r="T16" s="4">
        <v>1</v>
      </c>
      <c r="U16" s="49"/>
      <c r="Y16" s="338" t="s">
        <v>656</v>
      </c>
      <c r="Z16" s="338"/>
      <c r="AA16" s="338"/>
      <c r="AB16" s="338"/>
      <c r="AC16" s="1"/>
    </row>
    <row r="17" spans="1:29" ht="18">
      <c r="A17" s="6">
        <v>13</v>
      </c>
      <c r="B17" s="69" t="s">
        <v>230</v>
      </c>
      <c r="C17" s="46" t="s">
        <v>88</v>
      </c>
      <c r="D17" s="328" t="s">
        <v>232</v>
      </c>
      <c r="E17" s="47">
        <v>23.1</v>
      </c>
      <c r="F17" s="5">
        <v>21.036585365853661</v>
      </c>
      <c r="G17" s="47">
        <f t="shared" si="0"/>
        <v>178.46585038764093</v>
      </c>
      <c r="H17" s="49"/>
      <c r="I17" s="30"/>
      <c r="R17" s="71" t="s">
        <v>600</v>
      </c>
      <c r="S17" s="114" t="s">
        <v>180</v>
      </c>
      <c r="T17" s="4">
        <v>1</v>
      </c>
      <c r="U17" s="49"/>
      <c r="Y17" s="338" t="s">
        <v>641</v>
      </c>
      <c r="Z17" s="338"/>
      <c r="AA17" s="338"/>
      <c r="AB17" s="338"/>
      <c r="AC17" s="1" t="s">
        <v>481</v>
      </c>
    </row>
    <row r="18" spans="1:29">
      <c r="A18" s="6">
        <v>14</v>
      </c>
      <c r="B18" s="66" t="s">
        <v>245</v>
      </c>
      <c r="C18" s="115" t="s">
        <v>657</v>
      </c>
      <c r="D18" s="328" t="s">
        <v>247</v>
      </c>
      <c r="E18" s="47">
        <v>31.3</v>
      </c>
      <c r="F18" s="5">
        <v>11.280487804878049</v>
      </c>
      <c r="G18" s="47">
        <f t="shared" si="0"/>
        <v>390.66875285580034</v>
      </c>
      <c r="H18" s="49"/>
      <c r="I18" s="30"/>
      <c r="R18" s="67" t="s">
        <v>282</v>
      </c>
      <c r="S18" s="114" t="s">
        <v>322</v>
      </c>
      <c r="T18" s="4">
        <v>1</v>
      </c>
      <c r="U18" s="49"/>
      <c r="Y18" s="338" t="s">
        <v>642</v>
      </c>
      <c r="Z18" s="338"/>
      <c r="AA18" s="338"/>
      <c r="AB18" s="338"/>
      <c r="AC18" s="1"/>
    </row>
    <row r="19" spans="1:29">
      <c r="A19" s="6">
        <v>15</v>
      </c>
      <c r="B19" s="66" t="s">
        <v>245</v>
      </c>
      <c r="C19" s="115" t="s">
        <v>657</v>
      </c>
      <c r="D19" s="328" t="s">
        <v>247</v>
      </c>
      <c r="E19" s="47">
        <v>38.200000000000003</v>
      </c>
      <c r="F19" s="5">
        <v>20.426829268292686</v>
      </c>
      <c r="G19" s="47">
        <f t="shared" si="0"/>
        <v>653.04219394339464</v>
      </c>
      <c r="H19" s="49"/>
      <c r="I19" s="30"/>
      <c r="R19" s="69" t="s">
        <v>253</v>
      </c>
      <c r="S19" s="114" t="s">
        <v>410</v>
      </c>
      <c r="T19" s="4">
        <v>1</v>
      </c>
      <c r="U19" s="49"/>
      <c r="Y19" s="338" t="s">
        <v>644</v>
      </c>
      <c r="Z19" s="338"/>
      <c r="AA19" s="338"/>
      <c r="AB19" s="338"/>
      <c r="AC19" s="1"/>
    </row>
    <row r="20" spans="1:29">
      <c r="A20" s="6">
        <v>16</v>
      </c>
      <c r="B20" s="66" t="s">
        <v>245</v>
      </c>
      <c r="C20" s="115" t="s">
        <v>657</v>
      </c>
      <c r="D20" s="328" t="s">
        <v>247</v>
      </c>
      <c r="E20" s="47">
        <v>20</v>
      </c>
      <c r="F20" s="5">
        <v>11.615853658536587</v>
      </c>
      <c r="G20" s="47">
        <f t="shared" si="0"/>
        <v>123.07113006706489</v>
      </c>
      <c r="H20" s="49"/>
      <c r="I20" s="30"/>
      <c r="R20" s="24" t="s">
        <v>451</v>
      </c>
      <c r="Y20" s="338" t="s">
        <v>645</v>
      </c>
      <c r="Z20" s="338"/>
      <c r="AA20" s="338"/>
      <c r="AB20" s="338"/>
      <c r="AC20" s="1"/>
    </row>
    <row r="21" spans="1:29">
      <c r="A21" s="6">
        <v>17</v>
      </c>
      <c r="B21" s="66" t="s">
        <v>245</v>
      </c>
      <c r="C21" s="115" t="s">
        <v>657</v>
      </c>
      <c r="D21" s="328" t="s">
        <v>247</v>
      </c>
      <c r="E21" s="47">
        <v>34.299999999999997</v>
      </c>
      <c r="F21" s="5">
        <v>21.158536585365855</v>
      </c>
      <c r="G21" s="47">
        <f t="shared" si="0"/>
        <v>494.67887583761961</v>
      </c>
      <c r="H21" s="49"/>
      <c r="I21" s="30"/>
      <c r="R21" s="24" t="s">
        <v>452</v>
      </c>
      <c r="Y21" s="338" t="s">
        <v>646</v>
      </c>
      <c r="Z21" s="338"/>
      <c r="AA21" s="338"/>
      <c r="AB21" s="338"/>
      <c r="AC21" s="1"/>
    </row>
    <row r="22" spans="1:29">
      <c r="A22" s="6">
        <v>18</v>
      </c>
      <c r="B22" s="66" t="s">
        <v>245</v>
      </c>
      <c r="C22" s="115" t="s">
        <v>657</v>
      </c>
      <c r="D22" s="328" t="s">
        <v>247</v>
      </c>
      <c r="E22" s="47">
        <v>29.6</v>
      </c>
      <c r="F22" s="5">
        <v>18.689024390243901</v>
      </c>
      <c r="G22" s="47">
        <f t="shared" si="0"/>
        <v>338.26818439508878</v>
      </c>
      <c r="H22" s="49"/>
      <c r="I22" s="30"/>
      <c r="Y22" s="338" t="s">
        <v>647</v>
      </c>
      <c r="Z22" s="338"/>
      <c r="AA22" s="338"/>
      <c r="AB22" s="338"/>
      <c r="AC22" s="1"/>
    </row>
    <row r="23" spans="1:29">
      <c r="A23" s="6">
        <v>19</v>
      </c>
      <c r="B23" s="66" t="s">
        <v>245</v>
      </c>
      <c r="C23" s="115" t="s">
        <v>657</v>
      </c>
      <c r="D23" s="328" t="s">
        <v>247</v>
      </c>
      <c r="E23" s="47">
        <v>32.799999999999997</v>
      </c>
      <c r="F23" s="5">
        <v>19.329268292682926</v>
      </c>
      <c r="G23" s="47">
        <f t="shared" si="0"/>
        <v>440.79684005282326</v>
      </c>
      <c r="H23" s="49"/>
      <c r="I23" s="30"/>
    </row>
    <row r="24" spans="1:29">
      <c r="A24" s="6">
        <v>20</v>
      </c>
      <c r="B24" s="66" t="s">
        <v>245</v>
      </c>
      <c r="C24" s="115" t="s">
        <v>657</v>
      </c>
      <c r="D24" s="328" t="s">
        <v>247</v>
      </c>
      <c r="E24" s="47">
        <v>26.5</v>
      </c>
      <c r="F24" s="5">
        <v>17.682926829268293</v>
      </c>
      <c r="G24" s="47">
        <f t="shared" si="0"/>
        <v>254.30268082349696</v>
      </c>
      <c r="H24" s="49"/>
      <c r="I24" s="30"/>
    </row>
    <row r="25" spans="1:29">
      <c r="A25" s="6">
        <v>21</v>
      </c>
      <c r="B25" s="66" t="s">
        <v>245</v>
      </c>
      <c r="C25" s="115" t="s">
        <v>657</v>
      </c>
      <c r="D25" s="328" t="s">
        <v>247</v>
      </c>
      <c r="E25" s="47">
        <v>21.9</v>
      </c>
      <c r="F25" s="5">
        <v>14.329268292682928</v>
      </c>
      <c r="G25" s="47">
        <f t="shared" si="0"/>
        <v>155.52678760245834</v>
      </c>
      <c r="H25" s="49"/>
      <c r="I25" s="30"/>
    </row>
    <row r="26" spans="1:29">
      <c r="A26" s="6">
        <v>22</v>
      </c>
      <c r="B26" s="66" t="s">
        <v>245</v>
      </c>
      <c r="C26" s="115" t="s">
        <v>657</v>
      </c>
      <c r="D26" s="328" t="s">
        <v>247</v>
      </c>
      <c r="E26" s="47">
        <v>28.3</v>
      </c>
      <c r="F26" s="5">
        <v>22.31707317073171</v>
      </c>
      <c r="G26" s="47">
        <f t="shared" si="0"/>
        <v>301.27080424296003</v>
      </c>
      <c r="H26" s="49"/>
      <c r="I26" s="30"/>
    </row>
    <row r="27" spans="1:29">
      <c r="A27" s="6">
        <v>23</v>
      </c>
      <c r="B27" s="66" t="s">
        <v>245</v>
      </c>
      <c r="C27" s="115" t="s">
        <v>657</v>
      </c>
      <c r="D27" s="328" t="s">
        <v>247</v>
      </c>
      <c r="E27" s="47">
        <v>34.200000000000003</v>
      </c>
      <c r="F27" s="5">
        <v>7.3170731707317076</v>
      </c>
      <c r="G27" s="47">
        <f t="shared" si="0"/>
        <v>490.96796634708954</v>
      </c>
      <c r="H27" s="49"/>
      <c r="I27" s="30"/>
    </row>
    <row r="28" spans="1:29">
      <c r="A28" s="6">
        <v>24</v>
      </c>
      <c r="B28" s="66" t="s">
        <v>245</v>
      </c>
      <c r="C28" s="115" t="s">
        <v>657</v>
      </c>
      <c r="D28" s="328" t="s">
        <v>247</v>
      </c>
      <c r="E28" s="47">
        <v>22.1</v>
      </c>
      <c r="F28" s="5">
        <v>16.158536585365855</v>
      </c>
      <c r="G28" s="47">
        <f t="shared" si="0"/>
        <v>159.2162912807778</v>
      </c>
      <c r="H28" s="49"/>
      <c r="I28" s="30"/>
    </row>
    <row r="29" spans="1:29" ht="18">
      <c r="A29" s="6">
        <v>25</v>
      </c>
      <c r="B29" s="69" t="s">
        <v>230</v>
      </c>
      <c r="C29" s="46" t="s">
        <v>88</v>
      </c>
      <c r="D29" s="328" t="s">
        <v>232</v>
      </c>
      <c r="E29" s="47">
        <v>26.7</v>
      </c>
      <c r="F29" s="5">
        <v>23.475609756097562</v>
      </c>
      <c r="G29" s="47">
        <f t="shared" si="0"/>
        <v>259.28200276606975</v>
      </c>
      <c r="H29" s="49"/>
      <c r="I29" s="30"/>
    </row>
    <row r="30" spans="1:29" ht="18">
      <c r="A30" s="6">
        <v>26</v>
      </c>
      <c r="B30" s="69" t="s">
        <v>230</v>
      </c>
      <c r="C30" s="46" t="s">
        <v>88</v>
      </c>
      <c r="D30" s="328" t="s">
        <v>232</v>
      </c>
      <c r="E30" s="47">
        <v>35.5</v>
      </c>
      <c r="F30" s="5">
        <v>23.170731707317074</v>
      </c>
      <c r="G30" s="47">
        <f t="shared" si="0"/>
        <v>540.55358517972388</v>
      </c>
      <c r="H30" s="49"/>
      <c r="I30" s="30"/>
    </row>
    <row r="31" spans="1:29" ht="18">
      <c r="A31" s="6">
        <v>27</v>
      </c>
      <c r="B31" s="69" t="s">
        <v>230</v>
      </c>
      <c r="C31" s="46" t="s">
        <v>88</v>
      </c>
      <c r="D31" s="328" t="s">
        <v>232</v>
      </c>
      <c r="E31" s="47">
        <v>20.100000000000001</v>
      </c>
      <c r="F31" s="5">
        <v>20.731707317073173</v>
      </c>
      <c r="G31" s="47">
        <f t="shared" si="0"/>
        <v>124.66440302280226</v>
      </c>
      <c r="H31" s="49"/>
      <c r="I31" s="30"/>
    </row>
    <row r="32" spans="1:29" ht="18">
      <c r="A32" s="6">
        <v>28</v>
      </c>
      <c r="B32" s="69" t="s">
        <v>230</v>
      </c>
      <c r="C32" s="46" t="s">
        <v>88</v>
      </c>
      <c r="D32" s="328" t="s">
        <v>232</v>
      </c>
      <c r="E32" s="47">
        <v>26.9</v>
      </c>
      <c r="F32" s="5">
        <v>20.243902439024392</v>
      </c>
      <c r="G32" s="47">
        <f t="shared" si="0"/>
        <v>264.3205684965356</v>
      </c>
      <c r="H32" s="49"/>
      <c r="I32" s="30"/>
    </row>
    <row r="33" spans="1:9" ht="18">
      <c r="A33" s="6">
        <v>29</v>
      </c>
      <c r="B33" s="69" t="s">
        <v>230</v>
      </c>
      <c r="C33" s="46" t="s">
        <v>88</v>
      </c>
      <c r="D33" s="328" t="s">
        <v>232</v>
      </c>
      <c r="E33" s="4">
        <v>33.799999999999997</v>
      </c>
      <c r="F33" s="5">
        <v>24.756097560975611</v>
      </c>
      <c r="G33" s="47">
        <f t="shared" si="0"/>
        <v>476.29497495195835</v>
      </c>
      <c r="H33" s="49"/>
      <c r="I33" s="30"/>
    </row>
    <row r="34" spans="1:9">
      <c r="A34" s="340" t="s">
        <v>463</v>
      </c>
      <c r="B34" s="340"/>
      <c r="C34" s="340"/>
      <c r="D34" s="340"/>
      <c r="E34" s="340"/>
      <c r="F34" s="340"/>
      <c r="G34" s="289"/>
    </row>
    <row r="36" spans="1:9">
      <c r="C36" s="97" t="s">
        <v>781</v>
      </c>
      <c r="D36">
        <f>COUNTIF(D4:D33,D5)</f>
        <v>15</v>
      </c>
      <c r="E36" s="331">
        <v>0.51719999999999999</v>
      </c>
    </row>
  </sheetData>
  <autoFilter ref="A4:H34"/>
  <mergeCells count="15">
    <mergeCell ref="Y14:AB14"/>
    <mergeCell ref="A1:C1"/>
    <mergeCell ref="E1:H1"/>
    <mergeCell ref="J1:N1"/>
    <mergeCell ref="Z1:AB1"/>
    <mergeCell ref="E2:H2"/>
    <mergeCell ref="Y21:AB21"/>
    <mergeCell ref="Y22:AB22"/>
    <mergeCell ref="A34:F34"/>
    <mergeCell ref="Y15:AB15"/>
    <mergeCell ref="Y16:AB16"/>
    <mergeCell ref="Y17:AB17"/>
    <mergeCell ref="Y18:AB18"/>
    <mergeCell ref="Y19:AB19"/>
    <mergeCell ref="Y20:AB20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B30"/>
  <sheetViews>
    <sheetView workbookViewId="0">
      <selection activeCell="E5" sqref="E5:E28"/>
    </sheetView>
  </sheetViews>
  <sheetFormatPr defaultRowHeight="15"/>
  <cols>
    <col min="1" max="2" width="9.140625" style="1"/>
    <col min="3" max="3" width="20.5703125" style="1" bestFit="1" customWidth="1"/>
    <col min="4" max="4" width="20.5703125" style="1" customWidth="1"/>
    <col min="5" max="16384" width="9.140625" style="1"/>
  </cols>
  <sheetData>
    <row r="1" spans="1:28">
      <c r="A1" s="2" t="s">
        <v>658</v>
      </c>
      <c r="B1" s="2"/>
      <c r="C1" s="2"/>
      <c r="D1" s="2"/>
      <c r="E1" s="338" t="s">
        <v>659</v>
      </c>
      <c r="F1" s="338"/>
      <c r="G1" s="338"/>
      <c r="H1" s="338"/>
      <c r="J1" s="338" t="s">
        <v>593</v>
      </c>
      <c r="K1" s="338"/>
      <c r="L1" s="338"/>
      <c r="M1" s="338"/>
      <c r="N1" s="338"/>
      <c r="Q1" s="2" t="s">
        <v>594</v>
      </c>
      <c r="Y1" s="338" t="s">
        <v>438</v>
      </c>
      <c r="Z1" s="338"/>
      <c r="AA1" s="338"/>
    </row>
    <row r="2" spans="1:28">
      <c r="A2" s="2" t="s">
        <v>660</v>
      </c>
      <c r="B2" s="2"/>
      <c r="E2" s="338" t="s">
        <v>440</v>
      </c>
      <c r="F2" s="338"/>
      <c r="G2" s="338"/>
      <c r="H2" s="338"/>
    </row>
    <row r="3" spans="1:28">
      <c r="X3" s="1">
        <v>2</v>
      </c>
      <c r="AA3" s="1">
        <v>3</v>
      </c>
    </row>
    <row r="4" spans="1:28">
      <c r="A4" s="27" t="s">
        <v>441</v>
      </c>
      <c r="B4" s="27" t="s">
        <v>442</v>
      </c>
      <c r="C4" s="121" t="s">
        <v>224</v>
      </c>
      <c r="D4" s="121" t="s">
        <v>225</v>
      </c>
      <c r="E4" s="122" t="s">
        <v>443</v>
      </c>
      <c r="F4" s="27" t="s">
        <v>444</v>
      </c>
      <c r="G4" s="27" t="s">
        <v>651</v>
      </c>
      <c r="H4" s="27" t="s">
        <v>580</v>
      </c>
      <c r="I4" s="1" t="s">
        <v>770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26" t="s">
        <v>448</v>
      </c>
      <c r="Q4" s="3" t="s">
        <v>441</v>
      </c>
      <c r="R4" s="3" t="s">
        <v>442</v>
      </c>
      <c r="S4" s="26" t="s">
        <v>224</v>
      </c>
      <c r="T4" s="3" t="s">
        <v>443</v>
      </c>
      <c r="U4" s="3" t="s">
        <v>444</v>
      </c>
      <c r="V4" s="26" t="s">
        <v>448</v>
      </c>
      <c r="X4" s="9"/>
      <c r="Y4" s="10"/>
      <c r="Z4" s="10"/>
      <c r="AA4" s="11"/>
    </row>
    <row r="5" spans="1:28">
      <c r="A5" s="7">
        <v>1</v>
      </c>
      <c r="B5" s="117" t="s">
        <v>230</v>
      </c>
      <c r="C5" s="82" t="s">
        <v>88</v>
      </c>
      <c r="D5" s="299" t="s">
        <v>232</v>
      </c>
      <c r="E5" s="30">
        <v>41</v>
      </c>
      <c r="F5" s="120">
        <v>20</v>
      </c>
      <c r="G5" s="225">
        <f>0.0543*E5^2.579</f>
        <v>783.73527821042649</v>
      </c>
      <c r="H5" s="222">
        <f>SUM(G5:G28)/1000/0.025</f>
        <v>848.98127071333056</v>
      </c>
      <c r="I5" s="75">
        <f>AVERAGE(F5:F28)</f>
        <v>12.546747967479675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Q5" s="19">
        <v>0</v>
      </c>
      <c r="R5" s="19">
        <v>0</v>
      </c>
      <c r="S5" s="19">
        <v>0</v>
      </c>
      <c r="T5" s="19">
        <v>0</v>
      </c>
      <c r="U5" s="4">
        <v>0</v>
      </c>
      <c r="V5" s="4">
        <v>0</v>
      </c>
      <c r="X5" s="9"/>
      <c r="Y5" s="12"/>
      <c r="Z5" s="12"/>
      <c r="AA5" s="13"/>
    </row>
    <row r="6" spans="1:28">
      <c r="A6" s="7">
        <v>2</v>
      </c>
      <c r="B6" s="118" t="s">
        <v>286</v>
      </c>
      <c r="C6" s="123" t="s">
        <v>135</v>
      </c>
      <c r="D6" s="299" t="s">
        <v>731</v>
      </c>
      <c r="E6" s="30">
        <v>27.2</v>
      </c>
      <c r="F6" s="120">
        <f>E6/3.28</f>
        <v>8.2926829268292686</v>
      </c>
      <c r="G6" s="225">
        <f t="shared" ref="G6:G28" si="0">0.0543*E6^2.579</f>
        <v>271.99006016125969</v>
      </c>
      <c r="H6" s="33"/>
      <c r="J6" s="24" t="s">
        <v>459</v>
      </c>
      <c r="Q6" s="24" t="s">
        <v>449</v>
      </c>
      <c r="X6" s="9"/>
      <c r="Y6" s="12"/>
      <c r="Z6" s="12"/>
      <c r="AA6" s="14"/>
    </row>
    <row r="7" spans="1:28">
      <c r="A7" s="7">
        <v>3</v>
      </c>
      <c r="B7" s="119" t="s">
        <v>265</v>
      </c>
      <c r="C7" s="123" t="s">
        <v>137</v>
      </c>
      <c r="D7" s="299" t="s">
        <v>267</v>
      </c>
      <c r="E7" s="30">
        <v>33.299999999999997</v>
      </c>
      <c r="F7" s="120">
        <v>26</v>
      </c>
      <c r="G7" s="225">
        <f t="shared" si="0"/>
        <v>458.33551195868773</v>
      </c>
      <c r="H7" s="33"/>
      <c r="X7" s="9"/>
      <c r="Y7" s="12"/>
      <c r="Z7" s="15"/>
      <c r="AA7" s="16"/>
      <c r="AB7" s="18"/>
    </row>
    <row r="8" spans="1:28">
      <c r="A8" s="7">
        <v>4</v>
      </c>
      <c r="B8" s="119" t="s">
        <v>261</v>
      </c>
      <c r="C8" s="123" t="s">
        <v>661</v>
      </c>
      <c r="D8" s="299" t="s">
        <v>723</v>
      </c>
      <c r="E8" s="30">
        <v>20.5</v>
      </c>
      <c r="F8" s="120">
        <f t="shared" ref="F8:F28" si="1">E8/3.28</f>
        <v>6.25</v>
      </c>
      <c r="G8" s="225">
        <f t="shared" si="0"/>
        <v>131.16351216393647</v>
      </c>
      <c r="H8" s="33"/>
      <c r="Q8" s="27" t="s">
        <v>442</v>
      </c>
      <c r="R8" s="3" t="s">
        <v>224</v>
      </c>
      <c r="S8" s="27" t="s">
        <v>450</v>
      </c>
      <c r="T8" s="27" t="s">
        <v>448</v>
      </c>
      <c r="X8" s="9"/>
      <c r="Y8" s="12">
        <v>1</v>
      </c>
      <c r="Z8" s="9"/>
      <c r="AA8" s="14"/>
    </row>
    <row r="9" spans="1:28">
      <c r="A9" s="7">
        <v>5</v>
      </c>
      <c r="B9" s="119" t="s">
        <v>245</v>
      </c>
      <c r="C9" s="124" t="s">
        <v>657</v>
      </c>
      <c r="D9" s="299" t="s">
        <v>247</v>
      </c>
      <c r="E9" s="30">
        <v>31.8</v>
      </c>
      <c r="F9" s="120">
        <f t="shared" si="1"/>
        <v>9.6951219512195124</v>
      </c>
      <c r="G9" s="225">
        <f t="shared" si="0"/>
        <v>406.96716614102365</v>
      </c>
      <c r="H9" s="33"/>
      <c r="Q9" s="69" t="s">
        <v>230</v>
      </c>
      <c r="R9" s="46" t="s">
        <v>88</v>
      </c>
      <c r="S9" s="7">
        <v>1</v>
      </c>
      <c r="T9" s="7"/>
      <c r="X9" s="9"/>
      <c r="Y9" s="12"/>
      <c r="Z9" s="9"/>
      <c r="AA9" s="14"/>
    </row>
    <row r="10" spans="1:28">
      <c r="A10" s="7">
        <v>6</v>
      </c>
      <c r="B10" s="117" t="s">
        <v>276</v>
      </c>
      <c r="C10" s="123" t="s">
        <v>143</v>
      </c>
      <c r="D10" s="97" t="s">
        <v>255</v>
      </c>
      <c r="E10" s="30">
        <v>25.8</v>
      </c>
      <c r="F10" s="120">
        <f t="shared" si="1"/>
        <v>7.8658536585365857</v>
      </c>
      <c r="G10" s="225">
        <f t="shared" si="0"/>
        <v>237.33787591190813</v>
      </c>
      <c r="H10" s="33"/>
      <c r="Q10" s="66" t="s">
        <v>270</v>
      </c>
      <c r="R10" s="114" t="s">
        <v>662</v>
      </c>
      <c r="S10" s="7">
        <v>1</v>
      </c>
      <c r="T10" s="7"/>
      <c r="X10" s="9"/>
      <c r="Y10" s="12"/>
      <c r="Z10" s="9"/>
      <c r="AA10" s="14"/>
    </row>
    <row r="11" spans="1:28">
      <c r="A11" s="7">
        <v>7</v>
      </c>
      <c r="B11" s="118" t="s">
        <v>290</v>
      </c>
      <c r="C11" s="123" t="s">
        <v>663</v>
      </c>
      <c r="D11" s="299" t="s">
        <v>738</v>
      </c>
      <c r="E11" s="30">
        <v>25</v>
      </c>
      <c r="F11" s="120">
        <f t="shared" si="1"/>
        <v>7.6219512195121952</v>
      </c>
      <c r="G11" s="225">
        <f t="shared" si="0"/>
        <v>218.82004950676119</v>
      </c>
      <c r="H11" s="33"/>
      <c r="Q11" s="7"/>
      <c r="R11" s="4"/>
      <c r="S11" s="7"/>
      <c r="T11" s="7"/>
      <c r="X11" s="9">
        <v>4</v>
      </c>
      <c r="Y11" s="15"/>
      <c r="Z11" s="17"/>
      <c r="AA11" s="16"/>
      <c r="AB11" s="18">
        <v>5</v>
      </c>
    </row>
    <row r="12" spans="1:28">
      <c r="A12" s="7">
        <v>8</v>
      </c>
      <c r="B12" s="119" t="s">
        <v>245</v>
      </c>
      <c r="C12" s="124" t="s">
        <v>657</v>
      </c>
      <c r="D12" s="299" t="s">
        <v>247</v>
      </c>
      <c r="E12" s="30">
        <v>46.8</v>
      </c>
      <c r="F12" s="120">
        <f t="shared" si="1"/>
        <v>14.268292682926829</v>
      </c>
      <c r="G12" s="225">
        <f t="shared" si="0"/>
        <v>1102.4626490095443</v>
      </c>
      <c r="H12" s="33"/>
      <c r="Q12" s="7" t="s">
        <v>413</v>
      </c>
      <c r="R12" s="4"/>
      <c r="S12" s="7" t="s">
        <v>363</v>
      </c>
      <c r="T12" s="7" t="s">
        <v>414</v>
      </c>
    </row>
    <row r="13" spans="1:28">
      <c r="A13" s="7">
        <v>9</v>
      </c>
      <c r="B13" s="117" t="s">
        <v>293</v>
      </c>
      <c r="C13" s="123" t="s">
        <v>664</v>
      </c>
      <c r="D13" s="299" t="s">
        <v>721</v>
      </c>
      <c r="E13" s="30">
        <v>25.8</v>
      </c>
      <c r="F13" s="120">
        <f t="shared" si="1"/>
        <v>7.8658536585365857</v>
      </c>
      <c r="G13" s="225">
        <f t="shared" si="0"/>
        <v>237.33787591190813</v>
      </c>
      <c r="H13" s="33"/>
      <c r="Q13" s="24" t="s">
        <v>451</v>
      </c>
    </row>
    <row r="14" spans="1:28">
      <c r="A14" s="7">
        <v>10</v>
      </c>
      <c r="B14" s="118" t="s">
        <v>291</v>
      </c>
      <c r="C14" s="123" t="s">
        <v>150</v>
      </c>
      <c r="D14" s="299" t="s">
        <v>722</v>
      </c>
      <c r="E14" s="30">
        <v>46.8</v>
      </c>
      <c r="F14" s="120">
        <f t="shared" si="1"/>
        <v>14.268292682926829</v>
      </c>
      <c r="G14" s="225">
        <f t="shared" si="0"/>
        <v>1102.4626490095443</v>
      </c>
      <c r="H14" s="33"/>
      <c r="Q14" s="24" t="s">
        <v>452</v>
      </c>
      <c r="X14" s="338" t="s">
        <v>665</v>
      </c>
      <c r="Y14" s="338"/>
      <c r="Z14" s="338"/>
      <c r="AA14" s="338"/>
    </row>
    <row r="15" spans="1:28">
      <c r="A15" s="7">
        <v>11</v>
      </c>
      <c r="B15" s="119" t="s">
        <v>245</v>
      </c>
      <c r="C15" s="124" t="s">
        <v>657</v>
      </c>
      <c r="D15" s="299" t="s">
        <v>247</v>
      </c>
      <c r="E15" s="30">
        <v>65.3</v>
      </c>
      <c r="F15" s="120">
        <f t="shared" si="1"/>
        <v>19.908536585365855</v>
      </c>
      <c r="G15" s="225">
        <f t="shared" si="0"/>
        <v>2602.9206215161503</v>
      </c>
      <c r="H15" s="33"/>
      <c r="X15" s="338" t="s">
        <v>666</v>
      </c>
      <c r="Y15" s="338"/>
      <c r="Z15" s="338"/>
      <c r="AA15" s="338"/>
    </row>
    <row r="16" spans="1:28">
      <c r="A16" s="7">
        <v>12</v>
      </c>
      <c r="B16" s="117" t="s">
        <v>293</v>
      </c>
      <c r="C16" s="123" t="s">
        <v>664</v>
      </c>
      <c r="D16" s="299" t="s">
        <v>721</v>
      </c>
      <c r="E16" s="30">
        <v>30.8</v>
      </c>
      <c r="F16" s="120">
        <f t="shared" si="1"/>
        <v>9.3902439024390247</v>
      </c>
      <c r="G16" s="225">
        <f t="shared" si="0"/>
        <v>374.77630703630564</v>
      </c>
      <c r="H16" s="33"/>
      <c r="X16" s="338" t="s">
        <v>667</v>
      </c>
      <c r="Y16" s="338"/>
      <c r="Z16" s="338"/>
      <c r="AA16" s="338"/>
    </row>
    <row r="17" spans="1:28">
      <c r="A17" s="7">
        <v>13</v>
      </c>
      <c r="B17" s="119" t="s">
        <v>245</v>
      </c>
      <c r="C17" s="124" t="s">
        <v>657</v>
      </c>
      <c r="D17" s="299" t="s">
        <v>247</v>
      </c>
      <c r="E17" s="30">
        <v>25</v>
      </c>
      <c r="F17" s="120">
        <f t="shared" si="1"/>
        <v>7.6219512195121952</v>
      </c>
      <c r="G17" s="225">
        <f t="shared" si="0"/>
        <v>218.82004950676119</v>
      </c>
      <c r="H17" s="33"/>
      <c r="X17" s="338" t="s">
        <v>668</v>
      </c>
      <c r="Y17" s="338"/>
      <c r="Z17" s="338"/>
      <c r="AA17" s="338"/>
      <c r="AB17" s="1" t="s">
        <v>481</v>
      </c>
    </row>
    <row r="18" spans="1:28">
      <c r="A18" s="7">
        <v>14</v>
      </c>
      <c r="B18" s="117" t="s">
        <v>230</v>
      </c>
      <c r="C18" s="82" t="s">
        <v>88</v>
      </c>
      <c r="D18" s="299" t="s">
        <v>232</v>
      </c>
      <c r="E18" s="30">
        <v>20.8</v>
      </c>
      <c r="F18" s="120">
        <f t="shared" si="1"/>
        <v>6.3414634146341466</v>
      </c>
      <c r="G18" s="225">
        <f t="shared" si="0"/>
        <v>136.17117045962024</v>
      </c>
      <c r="H18" s="33"/>
      <c r="X18" s="338" t="s">
        <v>669</v>
      </c>
      <c r="Y18" s="338"/>
      <c r="Z18" s="338"/>
      <c r="AA18" s="338"/>
    </row>
    <row r="19" spans="1:28">
      <c r="A19" s="7">
        <v>15</v>
      </c>
      <c r="B19" s="117" t="s">
        <v>230</v>
      </c>
      <c r="C19" s="82" t="s">
        <v>88</v>
      </c>
      <c r="D19" s="299" t="s">
        <v>232</v>
      </c>
      <c r="E19" s="30">
        <v>49</v>
      </c>
      <c r="F19" s="120">
        <f t="shared" si="1"/>
        <v>14.939024390243903</v>
      </c>
      <c r="G19" s="225">
        <f t="shared" si="0"/>
        <v>1241.1249893651739</v>
      </c>
      <c r="H19" s="33"/>
      <c r="X19" s="338"/>
      <c r="Y19" s="338"/>
      <c r="Z19" s="338"/>
      <c r="AA19" s="338"/>
    </row>
    <row r="20" spans="1:28">
      <c r="A20" s="7">
        <v>16</v>
      </c>
      <c r="B20" s="119" t="s">
        <v>245</v>
      </c>
      <c r="C20" s="124" t="s">
        <v>657</v>
      </c>
      <c r="D20" s="299" t="s">
        <v>247</v>
      </c>
      <c r="E20" s="30">
        <v>53</v>
      </c>
      <c r="F20" s="120">
        <f t="shared" si="1"/>
        <v>16.158536585365855</v>
      </c>
      <c r="G20" s="225">
        <f t="shared" si="0"/>
        <v>1519.5230671755387</v>
      </c>
      <c r="H20" s="33"/>
      <c r="X20" s="338"/>
      <c r="Y20" s="338"/>
      <c r="Z20" s="338"/>
      <c r="AA20" s="338"/>
    </row>
    <row r="21" spans="1:28">
      <c r="A21" s="7">
        <v>17</v>
      </c>
      <c r="B21" s="119" t="s">
        <v>265</v>
      </c>
      <c r="C21" s="123" t="s">
        <v>137</v>
      </c>
      <c r="D21" s="299" t="s">
        <v>267</v>
      </c>
      <c r="E21" s="30">
        <v>40.299999999999997</v>
      </c>
      <c r="F21" s="120">
        <f t="shared" si="1"/>
        <v>12.286585365853659</v>
      </c>
      <c r="G21" s="225">
        <f t="shared" si="0"/>
        <v>749.68969910099622</v>
      </c>
      <c r="H21" s="33"/>
      <c r="X21" s="338"/>
      <c r="Y21" s="338"/>
      <c r="Z21" s="338"/>
      <c r="AA21" s="338"/>
    </row>
    <row r="22" spans="1:28">
      <c r="A22" s="7">
        <v>18</v>
      </c>
      <c r="B22" s="119" t="s">
        <v>245</v>
      </c>
      <c r="C22" s="124" t="s">
        <v>657</v>
      </c>
      <c r="D22" s="299" t="s">
        <v>247</v>
      </c>
      <c r="E22" s="30">
        <v>31.5</v>
      </c>
      <c r="F22" s="120">
        <f t="shared" si="1"/>
        <v>9.6036585365853657</v>
      </c>
      <c r="G22" s="225">
        <f t="shared" si="0"/>
        <v>397.13919193948004</v>
      </c>
      <c r="H22" s="33"/>
      <c r="X22" s="338"/>
      <c r="Y22" s="338"/>
      <c r="Z22" s="338"/>
      <c r="AA22" s="338"/>
    </row>
    <row r="23" spans="1:28">
      <c r="A23" s="7">
        <v>19</v>
      </c>
      <c r="B23" s="119" t="s">
        <v>245</v>
      </c>
      <c r="C23" s="124" t="s">
        <v>657</v>
      </c>
      <c r="D23" s="299" t="s">
        <v>247</v>
      </c>
      <c r="E23" s="30">
        <v>25.8</v>
      </c>
      <c r="F23" s="120">
        <f t="shared" si="1"/>
        <v>7.8658536585365857</v>
      </c>
      <c r="G23" s="225">
        <f t="shared" si="0"/>
        <v>237.33787591190813</v>
      </c>
      <c r="H23" s="33"/>
    </row>
    <row r="24" spans="1:28">
      <c r="A24" s="7">
        <v>20</v>
      </c>
      <c r="B24" s="118" t="s">
        <v>288</v>
      </c>
      <c r="C24" s="124" t="s">
        <v>670</v>
      </c>
      <c r="D24" s="299" t="s">
        <v>737</v>
      </c>
      <c r="E24" s="30">
        <v>25.3</v>
      </c>
      <c r="F24" s="120">
        <f t="shared" si="1"/>
        <v>7.7134146341463419</v>
      </c>
      <c r="G24" s="225">
        <f t="shared" si="0"/>
        <v>225.65639913692584</v>
      </c>
      <c r="H24" s="33"/>
    </row>
    <row r="25" spans="1:28">
      <c r="A25" s="7">
        <v>21</v>
      </c>
      <c r="B25" s="118" t="s">
        <v>291</v>
      </c>
      <c r="C25" s="123" t="s">
        <v>150</v>
      </c>
      <c r="D25" s="299" t="s">
        <v>722</v>
      </c>
      <c r="E25" s="30">
        <v>82.8</v>
      </c>
      <c r="F25" s="120">
        <f t="shared" si="1"/>
        <v>25.243902439024392</v>
      </c>
      <c r="G25" s="225">
        <f t="shared" si="0"/>
        <v>4801.7557837148752</v>
      </c>
      <c r="H25" s="33"/>
    </row>
    <row r="26" spans="1:28">
      <c r="A26" s="7">
        <v>22</v>
      </c>
      <c r="B26" s="119" t="s">
        <v>265</v>
      </c>
      <c r="C26" s="123" t="s">
        <v>137</v>
      </c>
      <c r="D26" s="299" t="s">
        <v>267</v>
      </c>
      <c r="E26" s="30">
        <v>54.5</v>
      </c>
      <c r="F26" s="120">
        <f t="shared" si="1"/>
        <v>16.615853658536587</v>
      </c>
      <c r="G26" s="225">
        <f t="shared" si="0"/>
        <v>1632.9256423719487</v>
      </c>
      <c r="H26" s="33"/>
    </row>
    <row r="27" spans="1:28">
      <c r="A27" s="7">
        <v>23</v>
      </c>
      <c r="B27" s="117" t="s">
        <v>276</v>
      </c>
      <c r="C27" s="124" t="s">
        <v>671</v>
      </c>
      <c r="D27" s="97" t="s">
        <v>255</v>
      </c>
      <c r="E27" s="30">
        <v>25</v>
      </c>
      <c r="F27" s="120">
        <f t="shared" si="1"/>
        <v>7.6219512195121952</v>
      </c>
      <c r="G27" s="225">
        <f t="shared" si="0"/>
        <v>218.82004950676119</v>
      </c>
      <c r="H27" s="33"/>
    </row>
    <row r="28" spans="1:28">
      <c r="A28" s="7">
        <v>24</v>
      </c>
      <c r="B28" s="119" t="s">
        <v>261</v>
      </c>
      <c r="C28" s="123" t="s">
        <v>95</v>
      </c>
      <c r="D28" s="299" t="s">
        <v>723</v>
      </c>
      <c r="E28" s="30">
        <v>58</v>
      </c>
      <c r="F28" s="120">
        <f t="shared" si="1"/>
        <v>17.682926829268293</v>
      </c>
      <c r="G28" s="225">
        <f t="shared" si="0"/>
        <v>1917.2582931058187</v>
      </c>
      <c r="H28" s="33"/>
    </row>
    <row r="29" spans="1:28">
      <c r="A29" s="340" t="s">
        <v>463</v>
      </c>
      <c r="B29" s="340"/>
      <c r="C29" s="343"/>
      <c r="D29" s="343"/>
      <c r="E29" s="343"/>
      <c r="F29" s="340"/>
      <c r="G29" s="289"/>
    </row>
    <row r="30" spans="1:28">
      <c r="D30" s="1" t="s">
        <v>781</v>
      </c>
      <c r="E30" s="1">
        <f>COUNTIF(D4:D28,D18)</f>
        <v>3</v>
      </c>
      <c r="F30" s="329">
        <v>0.125</v>
      </c>
    </row>
  </sheetData>
  <autoFilter ref="A4:H29"/>
  <mergeCells count="14">
    <mergeCell ref="X21:AA21"/>
    <mergeCell ref="X22:AA22"/>
    <mergeCell ref="A29:F29"/>
    <mergeCell ref="E1:H1"/>
    <mergeCell ref="J1:N1"/>
    <mergeCell ref="Y1:AA1"/>
    <mergeCell ref="E2:H2"/>
    <mergeCell ref="X14:AA14"/>
    <mergeCell ref="X15:AA15"/>
    <mergeCell ref="X16:AA16"/>
    <mergeCell ref="X17:AA17"/>
    <mergeCell ref="X18:AA18"/>
    <mergeCell ref="X19:AA19"/>
    <mergeCell ref="X20:AA20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J33"/>
  <sheetViews>
    <sheetView workbookViewId="0">
      <selection activeCell="P6" sqref="P6"/>
    </sheetView>
  </sheetViews>
  <sheetFormatPr defaultRowHeight="15"/>
  <cols>
    <col min="1" max="2" width="9.140625" style="1"/>
    <col min="3" max="3" width="25.85546875" style="1" bestFit="1" customWidth="1"/>
    <col min="4" max="10" width="9.140625" style="1"/>
    <col min="11" max="11" width="9.42578125" style="1" customWidth="1"/>
    <col min="12" max="16384" width="9.140625" style="1"/>
  </cols>
  <sheetData>
    <row r="1" spans="1:36">
      <c r="A1" s="2" t="s">
        <v>610</v>
      </c>
      <c r="B1" s="2"/>
      <c r="C1" s="2"/>
      <c r="D1" s="2"/>
      <c r="E1" s="338" t="s">
        <v>672</v>
      </c>
      <c r="F1" s="338"/>
      <c r="G1" s="338"/>
      <c r="H1" s="338"/>
      <c r="J1" s="338" t="s">
        <v>611</v>
      </c>
      <c r="K1" s="338"/>
      <c r="L1" s="338"/>
      <c r="M1" s="338"/>
      <c r="N1" s="338"/>
      <c r="O1" s="286"/>
      <c r="R1" s="2" t="s">
        <v>612</v>
      </c>
      <c r="Z1" s="338" t="s">
        <v>438</v>
      </c>
      <c r="AA1" s="338"/>
      <c r="AB1" s="338"/>
    </row>
    <row r="2" spans="1:36">
      <c r="A2" s="2" t="s">
        <v>673</v>
      </c>
      <c r="B2" s="2"/>
      <c r="E2" s="338" t="s">
        <v>440</v>
      </c>
      <c r="F2" s="338"/>
      <c r="G2" s="338"/>
      <c r="H2" s="338"/>
    </row>
    <row r="3" spans="1:36">
      <c r="Y3" s="1">
        <v>2</v>
      </c>
      <c r="AB3" s="1">
        <v>3</v>
      </c>
    </row>
    <row r="4" spans="1:36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651</v>
      </c>
      <c r="H4" s="27" t="s">
        <v>580</v>
      </c>
      <c r="I4" s="1" t="s">
        <v>770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3" t="s">
        <v>651</v>
      </c>
      <c r="P4" s="26" t="s">
        <v>580</v>
      </c>
      <c r="R4" s="3" t="s">
        <v>441</v>
      </c>
      <c r="S4" s="3" t="s">
        <v>442</v>
      </c>
      <c r="T4" s="26" t="s">
        <v>224</v>
      </c>
      <c r="U4" s="3" t="s">
        <v>443</v>
      </c>
      <c r="V4" s="3" t="s">
        <v>444</v>
      </c>
      <c r="W4" s="26" t="s">
        <v>448</v>
      </c>
      <c r="Y4" s="9"/>
      <c r="Z4" s="10"/>
      <c r="AA4" s="10"/>
      <c r="AB4" s="11"/>
    </row>
    <row r="5" spans="1:36">
      <c r="A5" s="4">
        <v>1</v>
      </c>
      <c r="B5" s="66" t="s">
        <v>236</v>
      </c>
      <c r="C5" s="114" t="s">
        <v>90</v>
      </c>
      <c r="D5" s="299" t="s">
        <v>238</v>
      </c>
      <c r="E5" s="4">
        <v>20</v>
      </c>
      <c r="F5" s="4">
        <v>12.195121951219512</v>
      </c>
      <c r="G5" s="47">
        <f>0.0543*E5^2.579</f>
        <v>123.07113006706489</v>
      </c>
      <c r="H5" s="4">
        <f>SUM(G5:G30)/1000/0.025</f>
        <v>631.70839193896052</v>
      </c>
      <c r="I5" s="75">
        <f>AVERAGE(F5:F30)</f>
        <v>14.598968105065664</v>
      </c>
      <c r="J5" s="4">
        <v>27</v>
      </c>
      <c r="K5" s="69" t="s">
        <v>230</v>
      </c>
      <c r="L5" s="46" t="s">
        <v>88</v>
      </c>
      <c r="M5" s="4">
        <v>13</v>
      </c>
      <c r="N5" s="4">
        <v>9.1463414634146343</v>
      </c>
      <c r="O5" s="47">
        <f>0.0543*M5^2.579</f>
        <v>40.51909485289751</v>
      </c>
      <c r="P5" s="47">
        <f>SUM(O5:O14)/1000/0.0625</f>
        <v>10.761666146242055</v>
      </c>
      <c r="R5" s="4">
        <v>37</v>
      </c>
      <c r="S5" s="69" t="s">
        <v>253</v>
      </c>
      <c r="T5" s="114" t="s">
        <v>410</v>
      </c>
      <c r="U5" s="4">
        <v>8</v>
      </c>
      <c r="V5" s="4">
        <v>6.0975609756097562</v>
      </c>
      <c r="W5" s="4"/>
      <c r="Y5" s="9"/>
      <c r="Z5" s="12"/>
      <c r="AA5" s="12"/>
      <c r="AB5" s="13"/>
      <c r="AF5" s="30"/>
      <c r="AG5" s="30"/>
      <c r="AH5" s="30"/>
      <c r="AI5" s="30"/>
      <c r="AJ5" s="30"/>
    </row>
    <row r="6" spans="1:36" ht="16.5">
      <c r="A6" s="4">
        <v>2</v>
      </c>
      <c r="B6" s="76" t="s">
        <v>256</v>
      </c>
      <c r="C6" s="4" t="s">
        <v>155</v>
      </c>
      <c r="D6" s="299" t="s">
        <v>734</v>
      </c>
      <c r="E6" s="4">
        <v>24.2</v>
      </c>
      <c r="F6" s="4">
        <v>16.158536585365855</v>
      </c>
      <c r="G6" s="47">
        <f t="shared" ref="G6:G30" si="0">0.0543*E6^2.579</f>
        <v>201.21467820790031</v>
      </c>
      <c r="H6" s="4"/>
      <c r="J6" s="4">
        <v>28</v>
      </c>
      <c r="K6" s="66" t="s">
        <v>236</v>
      </c>
      <c r="L6" s="114" t="s">
        <v>90</v>
      </c>
      <c r="M6" s="4">
        <v>15</v>
      </c>
      <c r="N6" s="4">
        <v>7.9268292682926838</v>
      </c>
      <c r="O6" s="47">
        <f t="shared" ref="O6:O14" si="1">0.0543*M6^2.579</f>
        <v>58.60560946148339</v>
      </c>
      <c r="P6" s="4"/>
      <c r="R6" s="4">
        <v>38</v>
      </c>
      <c r="S6" s="69" t="s">
        <v>253</v>
      </c>
      <c r="T6" s="114" t="s">
        <v>410</v>
      </c>
      <c r="U6" s="4">
        <v>7</v>
      </c>
      <c r="V6" s="4">
        <v>6.0975609756097562</v>
      </c>
      <c r="W6" s="4"/>
      <c r="Y6" s="9"/>
      <c r="Z6" s="12"/>
      <c r="AA6" s="12"/>
      <c r="AB6" s="14"/>
      <c r="AF6" s="344"/>
      <c r="AG6" s="344"/>
      <c r="AH6" s="290"/>
      <c r="AI6" s="30"/>
      <c r="AJ6" s="290"/>
    </row>
    <row r="7" spans="1:36">
      <c r="A7" s="4">
        <v>3</v>
      </c>
      <c r="B7" s="76" t="s">
        <v>298</v>
      </c>
      <c r="C7" s="4" t="s">
        <v>155</v>
      </c>
      <c r="D7" s="299" t="s">
        <v>734</v>
      </c>
      <c r="E7" s="4">
        <v>22.3</v>
      </c>
      <c r="F7" s="4">
        <v>15.853658536585368</v>
      </c>
      <c r="G7" s="47">
        <f t="shared" si="0"/>
        <v>162.95889510287594</v>
      </c>
      <c r="H7" s="4"/>
      <c r="J7" s="4">
        <v>29</v>
      </c>
      <c r="K7" s="73" t="s">
        <v>339</v>
      </c>
      <c r="L7" s="114" t="s">
        <v>674</v>
      </c>
      <c r="M7" s="4">
        <v>13</v>
      </c>
      <c r="N7" s="4">
        <v>8.2317073170731714</v>
      </c>
      <c r="O7" s="47">
        <f t="shared" si="1"/>
        <v>40.51909485289751</v>
      </c>
      <c r="P7" s="4"/>
      <c r="R7" s="4">
        <v>39</v>
      </c>
      <c r="S7" s="69" t="s">
        <v>253</v>
      </c>
      <c r="T7" s="114" t="s">
        <v>410</v>
      </c>
      <c r="U7" s="4">
        <v>5</v>
      </c>
      <c r="V7" s="4">
        <v>5.4878048780487809</v>
      </c>
      <c r="W7" s="4"/>
      <c r="Y7" s="9"/>
      <c r="Z7" s="12"/>
      <c r="AA7" s="15"/>
      <c r="AB7" s="16"/>
      <c r="AC7" s="18"/>
      <c r="AF7" s="344"/>
      <c r="AG7" s="344"/>
      <c r="AH7" s="30"/>
      <c r="AI7" s="30"/>
      <c r="AJ7" s="290"/>
    </row>
    <row r="8" spans="1:36">
      <c r="A8" s="4">
        <v>4</v>
      </c>
      <c r="B8" s="69" t="s">
        <v>230</v>
      </c>
      <c r="C8" s="46" t="s">
        <v>88</v>
      </c>
      <c r="D8" s="299" t="s">
        <v>232</v>
      </c>
      <c r="E8" s="4">
        <v>27</v>
      </c>
      <c r="F8" s="4">
        <v>15.24390243902439</v>
      </c>
      <c r="G8" s="47">
        <f t="shared" si="0"/>
        <v>266.86214798310266</v>
      </c>
      <c r="H8" s="4"/>
      <c r="J8" s="4">
        <v>30</v>
      </c>
      <c r="K8" s="69" t="s">
        <v>230</v>
      </c>
      <c r="L8" s="46" t="s">
        <v>88</v>
      </c>
      <c r="M8" s="4">
        <v>19</v>
      </c>
      <c r="N8" s="4">
        <v>10.060975609756099</v>
      </c>
      <c r="O8" s="47">
        <f t="shared" si="1"/>
        <v>107.82149926957081</v>
      </c>
      <c r="P8" s="4"/>
      <c r="R8" s="24" t="s">
        <v>449</v>
      </c>
      <c r="Y8" s="9"/>
      <c r="Z8" s="12">
        <v>1</v>
      </c>
      <c r="AA8" s="9"/>
      <c r="AB8" s="14"/>
      <c r="AF8" s="30"/>
      <c r="AG8" s="30"/>
      <c r="AH8" s="30"/>
      <c r="AI8" s="30"/>
      <c r="AJ8" s="30"/>
    </row>
    <row r="9" spans="1:36">
      <c r="A9" s="4">
        <v>5</v>
      </c>
      <c r="B9" s="73" t="s">
        <v>283</v>
      </c>
      <c r="C9" s="4" t="s">
        <v>157</v>
      </c>
      <c r="D9" s="299" t="s">
        <v>721</v>
      </c>
      <c r="E9" s="4">
        <v>31</v>
      </c>
      <c r="F9" s="4">
        <v>14.634146341463415</v>
      </c>
      <c r="G9" s="47">
        <f t="shared" si="0"/>
        <v>381.08480982637832</v>
      </c>
      <c r="H9" s="4"/>
      <c r="J9" s="4">
        <v>31</v>
      </c>
      <c r="K9" s="76" t="s">
        <v>298</v>
      </c>
      <c r="L9" s="4" t="s">
        <v>155</v>
      </c>
      <c r="M9" s="4">
        <v>18</v>
      </c>
      <c r="N9" s="4">
        <v>10.975609756097562</v>
      </c>
      <c r="O9" s="47">
        <f t="shared" si="1"/>
        <v>93.788074609647225</v>
      </c>
      <c r="P9" s="4"/>
      <c r="Y9" s="9"/>
      <c r="Z9" s="12"/>
      <c r="AA9" s="9"/>
      <c r="AB9" s="14"/>
      <c r="AF9" s="30"/>
      <c r="AG9" s="30"/>
      <c r="AH9" s="30"/>
      <c r="AI9" s="30"/>
      <c r="AJ9" s="30"/>
    </row>
    <row r="10" spans="1:36">
      <c r="A10" s="4">
        <v>6</v>
      </c>
      <c r="B10" s="73" t="s">
        <v>284</v>
      </c>
      <c r="C10" s="114" t="s">
        <v>675</v>
      </c>
      <c r="D10" s="301" t="s">
        <v>732</v>
      </c>
      <c r="E10" s="4">
        <v>29.5</v>
      </c>
      <c r="F10" s="4">
        <v>14.329268292682928</v>
      </c>
      <c r="G10" s="47">
        <f t="shared" si="0"/>
        <v>335.32876449303853</v>
      </c>
      <c r="H10" s="4"/>
      <c r="J10" s="4">
        <v>32</v>
      </c>
      <c r="K10" s="66" t="s">
        <v>233</v>
      </c>
      <c r="L10" s="114" t="s">
        <v>124</v>
      </c>
      <c r="M10" s="4">
        <v>13</v>
      </c>
      <c r="N10" s="4">
        <v>9.4512195121951219</v>
      </c>
      <c r="O10" s="47">
        <f t="shared" si="1"/>
        <v>40.51909485289751</v>
      </c>
      <c r="P10" s="4"/>
      <c r="R10" s="27" t="s">
        <v>442</v>
      </c>
      <c r="S10" s="3" t="s">
        <v>224</v>
      </c>
      <c r="T10" s="27" t="s">
        <v>450</v>
      </c>
      <c r="U10" s="27" t="s">
        <v>448</v>
      </c>
      <c r="Y10" s="9"/>
      <c r="Z10" s="12"/>
      <c r="AA10" s="9"/>
      <c r="AB10" s="14"/>
      <c r="AF10" s="30"/>
      <c r="AG10" s="30"/>
      <c r="AH10" s="30"/>
      <c r="AI10" s="30"/>
      <c r="AJ10" s="30"/>
    </row>
    <row r="11" spans="1:36">
      <c r="A11" s="4">
        <v>7</v>
      </c>
      <c r="B11" s="66" t="s">
        <v>236</v>
      </c>
      <c r="C11" s="114" t="s">
        <v>90</v>
      </c>
      <c r="D11" s="299" t="s">
        <v>238</v>
      </c>
      <c r="E11" s="4">
        <v>45</v>
      </c>
      <c r="F11" s="4">
        <v>16.76829268292683</v>
      </c>
      <c r="G11" s="47">
        <f t="shared" si="0"/>
        <v>996.4027158786098</v>
      </c>
      <c r="H11" s="4"/>
      <c r="J11" s="4">
        <v>33</v>
      </c>
      <c r="K11" s="73" t="s">
        <v>284</v>
      </c>
      <c r="L11" s="114" t="s">
        <v>197</v>
      </c>
      <c r="M11" s="4">
        <v>15</v>
      </c>
      <c r="N11" s="4">
        <v>7.9268292682926838</v>
      </c>
      <c r="O11" s="47">
        <f t="shared" si="1"/>
        <v>58.60560946148339</v>
      </c>
      <c r="P11" s="4"/>
      <c r="R11" s="69" t="s">
        <v>253</v>
      </c>
      <c r="S11" s="114" t="s">
        <v>410</v>
      </c>
      <c r="T11" s="4">
        <v>7</v>
      </c>
      <c r="U11" s="4"/>
      <c r="Y11" s="9">
        <v>4</v>
      </c>
      <c r="Z11" s="15"/>
      <c r="AA11" s="17"/>
      <c r="AB11" s="16"/>
      <c r="AC11" s="18">
        <v>5</v>
      </c>
      <c r="AF11" s="30"/>
      <c r="AG11" s="30"/>
      <c r="AH11" s="30"/>
      <c r="AI11" s="30"/>
      <c r="AJ11" s="30"/>
    </row>
    <row r="12" spans="1:36">
      <c r="A12" s="4">
        <v>8</v>
      </c>
      <c r="B12" s="66" t="s">
        <v>236</v>
      </c>
      <c r="C12" s="114" t="s">
        <v>90</v>
      </c>
      <c r="D12" s="299" t="s">
        <v>238</v>
      </c>
      <c r="E12" s="4">
        <v>48</v>
      </c>
      <c r="F12" s="4">
        <v>15.24390243902439</v>
      </c>
      <c r="G12" s="47">
        <f t="shared" si="0"/>
        <v>1176.8496452989223</v>
      </c>
      <c r="H12" s="4"/>
      <c r="J12" s="4">
        <v>34</v>
      </c>
      <c r="K12" s="66" t="s">
        <v>236</v>
      </c>
      <c r="L12" s="114" t="s">
        <v>90</v>
      </c>
      <c r="M12" s="4">
        <v>18</v>
      </c>
      <c r="N12" s="4">
        <v>15.24390243902439</v>
      </c>
      <c r="O12" s="47">
        <f t="shared" si="1"/>
        <v>93.788074609647225</v>
      </c>
      <c r="P12" s="4"/>
      <c r="R12" s="66" t="s">
        <v>278</v>
      </c>
      <c r="S12" s="114" t="s">
        <v>156</v>
      </c>
      <c r="T12" s="4">
        <v>1</v>
      </c>
      <c r="U12" s="4"/>
      <c r="AF12" s="30"/>
      <c r="AG12" s="30"/>
      <c r="AH12" s="30"/>
      <c r="AI12" s="30"/>
      <c r="AJ12" s="30"/>
    </row>
    <row r="13" spans="1:36">
      <c r="A13" s="4">
        <v>9</v>
      </c>
      <c r="B13" s="73" t="s">
        <v>284</v>
      </c>
      <c r="C13" s="114" t="s">
        <v>675</v>
      </c>
      <c r="D13" s="301" t="s">
        <v>732</v>
      </c>
      <c r="E13" s="4">
        <v>20</v>
      </c>
      <c r="F13" s="4">
        <v>12.195121951219512</v>
      </c>
      <c r="G13" s="47">
        <f t="shared" si="0"/>
        <v>123.07113006706489</v>
      </c>
      <c r="H13" s="4"/>
      <c r="J13" s="4">
        <v>35</v>
      </c>
      <c r="K13" s="67" t="s">
        <v>282</v>
      </c>
      <c r="L13" s="114" t="s">
        <v>322</v>
      </c>
      <c r="M13" s="4">
        <v>16</v>
      </c>
      <c r="N13" s="4">
        <v>7.6219512195121952</v>
      </c>
      <c r="O13" s="47">
        <f t="shared" si="1"/>
        <v>69.2189910848019</v>
      </c>
      <c r="P13" s="4"/>
      <c r="R13" s="73" t="s">
        <v>284</v>
      </c>
      <c r="S13" s="114" t="s">
        <v>675</v>
      </c>
      <c r="T13" s="4">
        <v>2</v>
      </c>
      <c r="U13" s="4"/>
      <c r="AF13" s="30"/>
      <c r="AG13" s="30"/>
      <c r="AH13" s="30"/>
      <c r="AI13" s="30"/>
      <c r="AJ13" s="290"/>
    </row>
    <row r="14" spans="1:36">
      <c r="A14" s="4">
        <v>10</v>
      </c>
      <c r="B14" s="76" t="s">
        <v>298</v>
      </c>
      <c r="C14" s="4" t="s">
        <v>155</v>
      </c>
      <c r="D14" s="299" t="s">
        <v>734</v>
      </c>
      <c r="E14" s="4">
        <v>33</v>
      </c>
      <c r="F14" s="4">
        <v>13.719512195121952</v>
      </c>
      <c r="G14" s="47">
        <f t="shared" si="0"/>
        <v>447.76204823655206</v>
      </c>
      <c r="H14" s="4"/>
      <c r="J14" s="4">
        <v>36</v>
      </c>
      <c r="K14" s="73" t="s">
        <v>337</v>
      </c>
      <c r="L14" s="114" t="s">
        <v>323</v>
      </c>
      <c r="M14" s="4">
        <v>16</v>
      </c>
      <c r="N14" s="4">
        <v>16.158536585365855</v>
      </c>
      <c r="O14" s="47">
        <f t="shared" si="1"/>
        <v>69.2189910848019</v>
      </c>
      <c r="P14" s="4"/>
      <c r="R14" s="4" t="s">
        <v>417</v>
      </c>
      <c r="S14" s="4"/>
      <c r="T14" s="4">
        <v>4</v>
      </c>
      <c r="U14" s="4"/>
      <c r="Y14" s="338" t="s">
        <v>676</v>
      </c>
      <c r="Z14" s="338"/>
      <c r="AA14" s="338"/>
      <c r="AB14" s="338"/>
      <c r="AF14" s="30"/>
      <c r="AG14" s="290"/>
      <c r="AH14" s="30"/>
      <c r="AI14" s="30"/>
      <c r="AJ14" s="290"/>
    </row>
    <row r="15" spans="1:36">
      <c r="A15" s="4">
        <v>11</v>
      </c>
      <c r="B15" s="66" t="s">
        <v>236</v>
      </c>
      <c r="C15" s="114" t="s">
        <v>90</v>
      </c>
      <c r="D15" s="299" t="s">
        <v>238</v>
      </c>
      <c r="E15" s="4">
        <v>34</v>
      </c>
      <c r="F15" s="4">
        <v>16.158536585365855</v>
      </c>
      <c r="G15" s="47">
        <f t="shared" si="0"/>
        <v>483.5973993039749</v>
      </c>
      <c r="H15" s="4"/>
      <c r="J15" s="24" t="s">
        <v>459</v>
      </c>
      <c r="R15" s="24" t="s">
        <v>451</v>
      </c>
      <c r="Y15" s="338" t="s">
        <v>677</v>
      </c>
      <c r="Z15" s="338"/>
      <c r="AA15" s="338"/>
      <c r="AB15" s="338"/>
      <c r="AG15" s="286"/>
    </row>
    <row r="16" spans="1:36">
      <c r="A16" s="4">
        <v>12</v>
      </c>
      <c r="B16" s="66" t="s">
        <v>270</v>
      </c>
      <c r="C16" s="114" t="s">
        <v>162</v>
      </c>
      <c r="D16" s="299" t="s">
        <v>271</v>
      </c>
      <c r="E16" s="4">
        <v>46.8</v>
      </c>
      <c r="F16" s="4">
        <v>17.073170731707318</v>
      </c>
      <c r="G16" s="47">
        <f t="shared" si="0"/>
        <v>1102.4626490095443</v>
      </c>
      <c r="H16" s="4"/>
      <c r="R16" s="24" t="s">
        <v>452</v>
      </c>
      <c r="Y16" s="338" t="s">
        <v>678</v>
      </c>
      <c r="Z16" s="338"/>
      <c r="AA16" s="338"/>
      <c r="AB16" s="338"/>
    </row>
    <row r="17" spans="1:29">
      <c r="A17" s="4">
        <v>13</v>
      </c>
      <c r="B17" s="66" t="s">
        <v>233</v>
      </c>
      <c r="C17" s="114" t="s">
        <v>124</v>
      </c>
      <c r="D17" s="299" t="s">
        <v>235</v>
      </c>
      <c r="E17" s="4">
        <v>40</v>
      </c>
      <c r="F17" s="4">
        <v>15.24390243902439</v>
      </c>
      <c r="G17" s="47">
        <f t="shared" si="0"/>
        <v>735.38124110481999</v>
      </c>
      <c r="H17" s="4"/>
      <c r="Y17" s="338" t="s">
        <v>679</v>
      </c>
      <c r="Z17" s="338"/>
      <c r="AA17" s="338"/>
      <c r="AB17" s="338"/>
      <c r="AC17" s="1" t="s">
        <v>481</v>
      </c>
    </row>
    <row r="18" spans="1:29">
      <c r="A18" s="4">
        <v>14</v>
      </c>
      <c r="B18" s="66" t="s">
        <v>236</v>
      </c>
      <c r="C18" s="114" t="s">
        <v>90</v>
      </c>
      <c r="D18" s="299" t="s">
        <v>238</v>
      </c>
      <c r="E18" s="4">
        <v>49</v>
      </c>
      <c r="F18" s="4">
        <v>18.902439024390244</v>
      </c>
      <c r="G18" s="47">
        <f t="shared" si="0"/>
        <v>1241.1249893651739</v>
      </c>
      <c r="H18" s="4"/>
      <c r="Y18" s="338" t="s">
        <v>680</v>
      </c>
      <c r="Z18" s="338"/>
      <c r="AA18" s="338"/>
      <c r="AB18" s="338"/>
    </row>
    <row r="19" spans="1:29">
      <c r="A19" s="4">
        <v>15</v>
      </c>
      <c r="B19" s="66" t="s">
        <v>233</v>
      </c>
      <c r="C19" s="114" t="s">
        <v>124</v>
      </c>
      <c r="D19" s="299" t="s">
        <v>235</v>
      </c>
      <c r="E19" s="4">
        <v>29</v>
      </c>
      <c r="F19" s="4">
        <v>14.634146341463415</v>
      </c>
      <c r="G19" s="47">
        <f t="shared" si="0"/>
        <v>320.86641808877988</v>
      </c>
      <c r="H19" s="4"/>
      <c r="Y19" s="338"/>
      <c r="Z19" s="338"/>
      <c r="AA19" s="338"/>
      <c r="AB19" s="338"/>
    </row>
    <row r="20" spans="1:29">
      <c r="A20" s="4">
        <v>16</v>
      </c>
      <c r="B20" s="66" t="s">
        <v>233</v>
      </c>
      <c r="C20" s="114" t="s">
        <v>124</v>
      </c>
      <c r="D20" s="299" t="s">
        <v>235</v>
      </c>
      <c r="E20" s="4">
        <v>28</v>
      </c>
      <c r="F20" s="4">
        <v>9.7560975609756095</v>
      </c>
      <c r="G20" s="47">
        <f t="shared" si="0"/>
        <v>293.10308694040185</v>
      </c>
      <c r="H20" s="4"/>
    </row>
    <row r="21" spans="1:29" ht="15.75" thickBot="1">
      <c r="A21" s="4">
        <v>17</v>
      </c>
      <c r="B21" s="66" t="s">
        <v>265</v>
      </c>
      <c r="C21" s="114" t="s">
        <v>137</v>
      </c>
      <c r="D21" s="299" t="s">
        <v>267</v>
      </c>
      <c r="E21" s="4">
        <v>46</v>
      </c>
      <c r="F21" s="4">
        <v>17.073170731707318</v>
      </c>
      <c r="G21" s="47">
        <f t="shared" si="0"/>
        <v>1054.5138241472591</v>
      </c>
      <c r="H21" s="4"/>
      <c r="U21" s="57"/>
      <c r="V21" s="29"/>
      <c r="W21" s="58"/>
    </row>
    <row r="22" spans="1:29" ht="15.75" thickTop="1">
      <c r="A22" s="4">
        <v>18</v>
      </c>
      <c r="B22" s="76" t="s">
        <v>299</v>
      </c>
      <c r="C22" s="4" t="s">
        <v>165</v>
      </c>
      <c r="D22" s="299" t="s">
        <v>728</v>
      </c>
      <c r="E22" s="4">
        <v>26</v>
      </c>
      <c r="F22" s="4">
        <v>11.280487804878049</v>
      </c>
      <c r="G22" s="47">
        <f t="shared" si="0"/>
        <v>242.11187664507929</v>
      </c>
      <c r="H22" s="4"/>
      <c r="U22" s="36"/>
      <c r="V22" s="36"/>
      <c r="W22" s="36"/>
    </row>
    <row r="23" spans="1:29">
      <c r="A23" s="4">
        <v>19</v>
      </c>
      <c r="B23" s="66" t="s">
        <v>261</v>
      </c>
      <c r="C23" s="114" t="s">
        <v>661</v>
      </c>
      <c r="D23" s="299" t="s">
        <v>723</v>
      </c>
      <c r="E23" s="4">
        <v>35</v>
      </c>
      <c r="F23" s="4">
        <v>14.329268292682928</v>
      </c>
      <c r="G23" s="47">
        <f t="shared" si="0"/>
        <v>521.13628890815676</v>
      </c>
      <c r="H23" s="4"/>
      <c r="U23" s="36"/>
      <c r="V23" s="36"/>
      <c r="W23" s="36"/>
    </row>
    <row r="24" spans="1:29">
      <c r="A24" s="4">
        <v>20</v>
      </c>
      <c r="B24" s="66" t="s">
        <v>233</v>
      </c>
      <c r="C24" s="114" t="s">
        <v>124</v>
      </c>
      <c r="D24" s="299" t="s">
        <v>235</v>
      </c>
      <c r="E24" s="4">
        <v>49</v>
      </c>
      <c r="F24" s="4">
        <v>16.463414634146343</v>
      </c>
      <c r="G24" s="47">
        <f t="shared" si="0"/>
        <v>1241.1249893651739</v>
      </c>
      <c r="H24" s="4"/>
      <c r="U24" s="36"/>
      <c r="V24" s="36"/>
      <c r="W24" s="36"/>
    </row>
    <row r="25" spans="1:29">
      <c r="A25" s="4">
        <v>21</v>
      </c>
      <c r="B25" s="69" t="s">
        <v>230</v>
      </c>
      <c r="C25" s="46" t="s">
        <v>88</v>
      </c>
      <c r="D25" s="299" t="s">
        <v>232</v>
      </c>
      <c r="E25" s="4">
        <v>47</v>
      </c>
      <c r="F25" s="4">
        <v>17.073170731707318</v>
      </c>
      <c r="G25" s="47">
        <f t="shared" si="0"/>
        <v>1114.654324289058</v>
      </c>
      <c r="H25" s="4"/>
      <c r="U25" s="36"/>
      <c r="V25" s="36"/>
      <c r="W25" s="36"/>
    </row>
    <row r="26" spans="1:29">
      <c r="A26" s="4">
        <v>22</v>
      </c>
      <c r="B26" s="66" t="s">
        <v>260</v>
      </c>
      <c r="C26" s="114" t="s">
        <v>120</v>
      </c>
      <c r="D26" s="299" t="s">
        <v>722</v>
      </c>
      <c r="E26" s="4">
        <v>35</v>
      </c>
      <c r="F26" s="4">
        <v>14.02439024390244</v>
      </c>
      <c r="G26" s="47">
        <f t="shared" si="0"/>
        <v>521.13628890815676</v>
      </c>
      <c r="H26" s="4"/>
    </row>
    <row r="27" spans="1:29">
      <c r="A27" s="4">
        <v>23</v>
      </c>
      <c r="B27" s="66" t="s">
        <v>236</v>
      </c>
      <c r="C27" s="114" t="s">
        <v>90</v>
      </c>
      <c r="D27" s="299" t="s">
        <v>238</v>
      </c>
      <c r="E27" s="4">
        <v>50</v>
      </c>
      <c r="F27" s="4">
        <v>16.158536585365855</v>
      </c>
      <c r="G27" s="47">
        <f t="shared" si="0"/>
        <v>1307.5053385567558</v>
      </c>
      <c r="H27" s="4"/>
    </row>
    <row r="28" spans="1:29">
      <c r="A28" s="4">
        <v>24</v>
      </c>
      <c r="B28" s="69" t="s">
        <v>230</v>
      </c>
      <c r="C28" s="46" t="s">
        <v>88</v>
      </c>
      <c r="D28" s="299" t="s">
        <v>232</v>
      </c>
      <c r="E28" s="4">
        <v>33</v>
      </c>
      <c r="F28" s="4">
        <v>10.670731707317074</v>
      </c>
      <c r="G28" s="47">
        <f t="shared" si="0"/>
        <v>447.76204823655206</v>
      </c>
      <c r="H28" s="4"/>
    </row>
    <row r="29" spans="1:29">
      <c r="A29" s="4">
        <v>25</v>
      </c>
      <c r="B29" s="66" t="s">
        <v>233</v>
      </c>
      <c r="C29" s="114" t="s">
        <v>124</v>
      </c>
      <c r="D29" s="299" t="s">
        <v>235</v>
      </c>
      <c r="E29" s="4">
        <v>37</v>
      </c>
      <c r="F29" s="4">
        <v>12.195121951219512</v>
      </c>
      <c r="G29" s="47">
        <f t="shared" si="0"/>
        <v>601.4396781402761</v>
      </c>
      <c r="H29" s="4"/>
    </row>
    <row r="30" spans="1:29">
      <c r="A30" s="4">
        <v>26</v>
      </c>
      <c r="B30" s="66" t="s">
        <v>229</v>
      </c>
      <c r="C30" s="114" t="s">
        <v>681</v>
      </c>
      <c r="D30" s="97" t="s">
        <v>720</v>
      </c>
      <c r="E30" s="4">
        <v>30</v>
      </c>
      <c r="F30" s="4">
        <v>12.195121951219512</v>
      </c>
      <c r="G30" s="47">
        <f t="shared" si="0"/>
        <v>350.18339230333765</v>
      </c>
      <c r="H30" s="4"/>
    </row>
    <row r="31" spans="1:29">
      <c r="A31" s="340" t="s">
        <v>463</v>
      </c>
      <c r="B31" s="340"/>
      <c r="C31" s="340"/>
      <c r="D31" s="340"/>
      <c r="E31" s="340"/>
      <c r="F31" s="340"/>
      <c r="G31" s="289"/>
    </row>
    <row r="33" spans="4:6">
      <c r="D33" s="1" t="s">
        <v>781</v>
      </c>
      <c r="E33" s="1">
        <f>COUNTIF(D4:D30,D28)</f>
        <v>3</v>
      </c>
      <c r="F33" s="329">
        <v>0.1154</v>
      </c>
    </row>
  </sheetData>
  <autoFilter ref="A4:H31"/>
  <mergeCells count="13">
    <mergeCell ref="AF7:AG7"/>
    <mergeCell ref="E1:H1"/>
    <mergeCell ref="J1:N1"/>
    <mergeCell ref="Z1:AB1"/>
    <mergeCell ref="E2:H2"/>
    <mergeCell ref="AF6:AG6"/>
    <mergeCell ref="A31:F31"/>
    <mergeCell ref="Y14:AB14"/>
    <mergeCell ref="Y15:AB15"/>
    <mergeCell ref="Y16:AB16"/>
    <mergeCell ref="Y17:AB17"/>
    <mergeCell ref="Y18:AB18"/>
    <mergeCell ref="Y19:AB19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40"/>
  <sheetViews>
    <sheetView workbookViewId="0">
      <selection activeCell="P6" sqref="P6"/>
    </sheetView>
  </sheetViews>
  <sheetFormatPr defaultRowHeight="15"/>
  <cols>
    <col min="1" max="2" width="9.140625" style="1"/>
    <col min="3" max="3" width="20.42578125" style="1" bestFit="1" customWidth="1"/>
    <col min="4" max="4" width="13.85546875" style="1" bestFit="1" customWidth="1"/>
    <col min="5" max="16384" width="9.140625" style="1"/>
  </cols>
  <sheetData>
    <row r="1" spans="1:29">
      <c r="A1" s="2" t="s">
        <v>627</v>
      </c>
      <c r="B1" s="2"/>
      <c r="C1" s="2"/>
      <c r="D1" s="2"/>
      <c r="E1" s="338" t="s">
        <v>672</v>
      </c>
      <c r="F1" s="338"/>
      <c r="G1" s="338"/>
      <c r="H1" s="338"/>
      <c r="J1" s="338" t="s">
        <v>629</v>
      </c>
      <c r="K1" s="338"/>
      <c r="L1" s="338"/>
      <c r="M1" s="338"/>
      <c r="N1" s="338"/>
      <c r="O1" s="286"/>
      <c r="R1" s="2" t="s">
        <v>630</v>
      </c>
      <c r="Z1" s="338" t="s">
        <v>438</v>
      </c>
      <c r="AA1" s="338"/>
      <c r="AB1" s="338"/>
    </row>
    <row r="2" spans="1:29">
      <c r="A2" s="2" t="s">
        <v>682</v>
      </c>
      <c r="B2" s="2"/>
      <c r="E2" s="338" t="s">
        <v>440</v>
      </c>
      <c r="F2" s="338"/>
      <c r="G2" s="338"/>
      <c r="H2" s="338"/>
    </row>
    <row r="3" spans="1:29">
      <c r="I3" s="1" t="s">
        <v>770</v>
      </c>
      <c r="Y3" s="1">
        <v>2</v>
      </c>
      <c r="AB3" s="1">
        <v>3</v>
      </c>
    </row>
    <row r="4" spans="1:29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683</v>
      </c>
      <c r="H4" s="27" t="s">
        <v>580</v>
      </c>
      <c r="I4" s="75">
        <f>AVERAGE(F5:F37)</f>
        <v>23.808203991130821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3" t="s">
        <v>683</v>
      </c>
      <c r="P4" s="26" t="s">
        <v>580</v>
      </c>
      <c r="R4" s="45" t="s">
        <v>441</v>
      </c>
      <c r="S4" s="45" t="s">
        <v>442</v>
      </c>
      <c r="T4" s="55" t="s">
        <v>224</v>
      </c>
      <c r="U4" s="45" t="s">
        <v>443</v>
      </c>
      <c r="V4" s="45" t="s">
        <v>444</v>
      </c>
      <c r="W4" s="55" t="s">
        <v>448</v>
      </c>
      <c r="Y4" s="9"/>
      <c r="Z4" s="10"/>
      <c r="AA4" s="10"/>
      <c r="AB4" s="11"/>
    </row>
    <row r="5" spans="1:29">
      <c r="A5" s="4">
        <v>1</v>
      </c>
      <c r="B5" s="66" t="s">
        <v>233</v>
      </c>
      <c r="C5" s="114" t="s">
        <v>124</v>
      </c>
      <c r="D5" s="299" t="s">
        <v>235</v>
      </c>
      <c r="E5" s="4">
        <v>49.6</v>
      </c>
      <c r="F5" s="4">
        <v>23.780487804878049</v>
      </c>
      <c r="G5" s="47">
        <f>0.0543*E5^2.579</f>
        <v>1280.6990083770058</v>
      </c>
      <c r="H5" s="4">
        <f>SUM(G5:G37)/1000/0.025</f>
        <v>1169.8371644498509</v>
      </c>
      <c r="J5" s="4">
        <v>34</v>
      </c>
      <c r="K5" s="73" t="s">
        <v>338</v>
      </c>
      <c r="L5" s="114" t="s">
        <v>684</v>
      </c>
      <c r="M5" s="4">
        <v>12.3</v>
      </c>
      <c r="N5" s="5">
        <f>34/3.28</f>
        <v>10.365853658536587</v>
      </c>
      <c r="O5" s="5">
        <f>0.0543*M5^2.579</f>
        <v>35.128945390530468</v>
      </c>
      <c r="P5" s="47">
        <f>O5/1000/0.0625</f>
        <v>0.56206312624848753</v>
      </c>
      <c r="R5" s="7">
        <v>35</v>
      </c>
      <c r="S5" s="66" t="s">
        <v>245</v>
      </c>
      <c r="T5" s="115" t="s">
        <v>657</v>
      </c>
      <c r="U5" s="7">
        <v>8</v>
      </c>
      <c r="V5" s="32">
        <f t="shared" ref="V5" si="0">35/3.28</f>
        <v>10.670731707317074</v>
      </c>
      <c r="W5" s="7"/>
      <c r="Y5" s="9"/>
      <c r="Z5" s="12"/>
      <c r="AA5" s="12"/>
      <c r="AB5" s="13"/>
    </row>
    <row r="6" spans="1:29">
      <c r="A6" s="4">
        <v>2</v>
      </c>
      <c r="B6" s="69" t="s">
        <v>230</v>
      </c>
      <c r="C6" s="46" t="s">
        <v>88</v>
      </c>
      <c r="D6" s="299" t="s">
        <v>232</v>
      </c>
      <c r="E6" s="4">
        <v>30</v>
      </c>
      <c r="F6" s="4">
        <v>22.865853658536587</v>
      </c>
      <c r="G6" s="47">
        <f t="shared" ref="G6:G37" si="1">0.0543*E6^2.579</f>
        <v>350.18339230333765</v>
      </c>
      <c r="H6" s="4"/>
      <c r="J6" s="24" t="s">
        <v>459</v>
      </c>
      <c r="R6" s="24" t="s">
        <v>449</v>
      </c>
      <c r="Y6" s="9"/>
      <c r="Z6" s="12"/>
      <c r="AA6" s="12"/>
      <c r="AB6" s="14"/>
    </row>
    <row r="7" spans="1:29">
      <c r="A7" s="4">
        <v>3</v>
      </c>
      <c r="B7" s="66" t="s">
        <v>233</v>
      </c>
      <c r="C7" s="114" t="s">
        <v>124</v>
      </c>
      <c r="D7" s="299" t="s">
        <v>235</v>
      </c>
      <c r="E7" s="4">
        <v>41.5</v>
      </c>
      <c r="F7" s="4">
        <v>19.512195121951219</v>
      </c>
      <c r="G7" s="47">
        <f t="shared" si="1"/>
        <v>808.62259227164782</v>
      </c>
      <c r="H7" s="4"/>
      <c r="Y7" s="9"/>
      <c r="Z7" s="12"/>
      <c r="AA7" s="15"/>
      <c r="AB7" s="16"/>
      <c r="AC7" s="18"/>
    </row>
    <row r="8" spans="1:29">
      <c r="A8" s="4">
        <v>4</v>
      </c>
      <c r="B8" s="69" t="s">
        <v>230</v>
      </c>
      <c r="C8" s="46" t="s">
        <v>88</v>
      </c>
      <c r="D8" s="299" t="s">
        <v>232</v>
      </c>
      <c r="E8" s="4">
        <v>44</v>
      </c>
      <c r="F8" s="4">
        <v>24.390243902439025</v>
      </c>
      <c r="G8" s="47">
        <f t="shared" si="1"/>
        <v>940.29533664065059</v>
      </c>
      <c r="H8" s="4"/>
      <c r="R8" s="27" t="s">
        <v>442</v>
      </c>
      <c r="S8" s="3" t="s">
        <v>224</v>
      </c>
      <c r="T8" s="27" t="s">
        <v>450</v>
      </c>
      <c r="U8" s="27" t="s">
        <v>448</v>
      </c>
      <c r="Y8" s="9"/>
      <c r="Z8" s="12">
        <v>1</v>
      </c>
      <c r="AA8" s="9"/>
      <c r="AB8" s="14"/>
    </row>
    <row r="9" spans="1:29">
      <c r="A9" s="4">
        <v>5</v>
      </c>
      <c r="B9" s="66" t="s">
        <v>275</v>
      </c>
      <c r="C9" s="114" t="s">
        <v>685</v>
      </c>
      <c r="D9" s="299" t="s">
        <v>241</v>
      </c>
      <c r="E9" s="4">
        <v>56.5</v>
      </c>
      <c r="F9" s="4">
        <v>25</v>
      </c>
      <c r="G9" s="47">
        <f t="shared" si="1"/>
        <v>1791.9784248403666</v>
      </c>
      <c r="H9" s="4"/>
      <c r="R9" s="69" t="s">
        <v>230</v>
      </c>
      <c r="S9" s="46" t="s">
        <v>88</v>
      </c>
      <c r="T9" s="7">
        <v>2</v>
      </c>
      <c r="U9" s="7"/>
      <c r="Y9" s="9"/>
      <c r="Z9" s="12"/>
      <c r="AA9" s="9"/>
      <c r="AB9" s="14"/>
    </row>
    <row r="10" spans="1:29">
      <c r="A10" s="4">
        <v>6</v>
      </c>
      <c r="B10" s="69" t="s">
        <v>230</v>
      </c>
      <c r="C10" s="46" t="s">
        <v>88</v>
      </c>
      <c r="D10" s="299" t="s">
        <v>232</v>
      </c>
      <c r="E10" s="4">
        <v>62.5</v>
      </c>
      <c r="F10" s="4">
        <v>26.524390243902442</v>
      </c>
      <c r="G10" s="47">
        <f t="shared" si="1"/>
        <v>2324.7400325115682</v>
      </c>
      <c r="H10" s="4"/>
      <c r="R10" s="7"/>
      <c r="S10" s="7"/>
      <c r="T10" s="7"/>
      <c r="U10" s="7"/>
      <c r="Y10" s="9"/>
      <c r="Z10" s="12"/>
      <c r="AA10" s="9"/>
      <c r="AB10" s="14"/>
    </row>
    <row r="11" spans="1:29" ht="15.75" thickBot="1">
      <c r="A11" s="4">
        <v>7</v>
      </c>
      <c r="B11" s="66" t="s">
        <v>233</v>
      </c>
      <c r="C11" s="114" t="s">
        <v>124</v>
      </c>
      <c r="D11" s="299" t="s">
        <v>235</v>
      </c>
      <c r="E11" s="4">
        <v>51.5</v>
      </c>
      <c r="F11" s="4">
        <v>21.036585365853661</v>
      </c>
      <c r="G11" s="47">
        <f t="shared" si="1"/>
        <v>1411.0768706718989</v>
      </c>
      <c r="H11" s="4"/>
      <c r="L11" s="57"/>
      <c r="M11" s="57"/>
      <c r="N11" s="57"/>
      <c r="O11" s="57"/>
      <c r="P11" s="57"/>
      <c r="Q11" s="58"/>
      <c r="R11" s="7" t="s">
        <v>413</v>
      </c>
      <c r="S11" s="7"/>
      <c r="T11" s="7" t="s">
        <v>420</v>
      </c>
      <c r="U11" s="7" t="s">
        <v>421</v>
      </c>
      <c r="Y11" s="9">
        <v>4</v>
      </c>
      <c r="Z11" s="15"/>
      <c r="AA11" s="17"/>
      <c r="AB11" s="16"/>
      <c r="AC11" s="18">
        <v>5</v>
      </c>
    </row>
    <row r="12" spans="1:29" ht="15.75" thickTop="1">
      <c r="A12" s="4">
        <v>8</v>
      </c>
      <c r="B12" s="69" t="s">
        <v>230</v>
      </c>
      <c r="C12" s="46" t="s">
        <v>88</v>
      </c>
      <c r="D12" s="299" t="s">
        <v>232</v>
      </c>
      <c r="E12" s="4">
        <v>22.5</v>
      </c>
      <c r="F12" s="4">
        <v>21.646341463414636</v>
      </c>
      <c r="G12" s="47">
        <f t="shared" si="1"/>
        <v>166.75487677770917</v>
      </c>
      <c r="H12" s="4"/>
      <c r="L12" s="59"/>
      <c r="M12" s="59"/>
      <c r="N12" s="59"/>
      <c r="O12" s="59"/>
      <c r="P12" s="60"/>
      <c r="Q12" s="59"/>
      <c r="R12" s="24" t="s">
        <v>451</v>
      </c>
    </row>
    <row r="13" spans="1:29">
      <c r="A13" s="4">
        <v>9</v>
      </c>
      <c r="B13" s="66" t="s">
        <v>233</v>
      </c>
      <c r="C13" s="114" t="s">
        <v>124</v>
      </c>
      <c r="D13" s="299" t="s">
        <v>235</v>
      </c>
      <c r="E13" s="4">
        <v>49.7</v>
      </c>
      <c r="F13" s="4">
        <v>23.475609756097562</v>
      </c>
      <c r="G13" s="47">
        <f t="shared" si="1"/>
        <v>1287.3687304775804</v>
      </c>
      <c r="H13" s="4"/>
      <c r="R13" s="24" t="s">
        <v>452</v>
      </c>
    </row>
    <row r="14" spans="1:29">
      <c r="A14" s="4">
        <v>10</v>
      </c>
      <c r="B14" s="66" t="s">
        <v>233</v>
      </c>
      <c r="C14" s="114" t="s">
        <v>124</v>
      </c>
      <c r="D14" s="299" t="s">
        <v>235</v>
      </c>
      <c r="E14" s="4">
        <v>69</v>
      </c>
      <c r="F14" s="4">
        <v>25.304878048780488</v>
      </c>
      <c r="G14" s="47">
        <f t="shared" si="1"/>
        <v>3000.4862063867017</v>
      </c>
      <c r="H14" s="4"/>
      <c r="Y14" s="338" t="s">
        <v>686</v>
      </c>
      <c r="Z14" s="338"/>
      <c r="AA14" s="338"/>
      <c r="AB14" s="338"/>
    </row>
    <row r="15" spans="1:29">
      <c r="A15" s="4">
        <v>11</v>
      </c>
      <c r="B15" s="66" t="s">
        <v>265</v>
      </c>
      <c r="C15" s="114" t="s">
        <v>137</v>
      </c>
      <c r="D15" s="299" t="s">
        <v>267</v>
      </c>
      <c r="E15" s="4">
        <v>48</v>
      </c>
      <c r="F15" s="4">
        <v>28.658536585365855</v>
      </c>
      <c r="G15" s="47">
        <f t="shared" si="1"/>
        <v>1176.8496452989223</v>
      </c>
      <c r="H15" s="4"/>
      <c r="R15" s="61"/>
      <c r="S15" s="62"/>
      <c r="T15" s="63"/>
      <c r="Y15" s="338" t="s">
        <v>687</v>
      </c>
      <c r="Z15" s="338"/>
      <c r="AA15" s="338"/>
      <c r="AB15" s="338"/>
    </row>
    <row r="16" spans="1:29">
      <c r="A16" s="4">
        <v>12</v>
      </c>
      <c r="B16" s="66" t="s">
        <v>265</v>
      </c>
      <c r="C16" s="114" t="s">
        <v>137</v>
      </c>
      <c r="D16" s="299" t="s">
        <v>267</v>
      </c>
      <c r="E16" s="4">
        <v>42.6</v>
      </c>
      <c r="F16" s="4">
        <v>29.26829268292683</v>
      </c>
      <c r="G16" s="47">
        <f t="shared" si="1"/>
        <v>865.06190180766805</v>
      </c>
      <c r="H16" s="4"/>
      <c r="R16" s="64"/>
      <c r="S16" s="59"/>
      <c r="T16" s="65"/>
      <c r="Y16" s="338" t="s">
        <v>688</v>
      </c>
      <c r="Z16" s="338"/>
      <c r="AA16" s="338"/>
      <c r="AB16" s="338"/>
    </row>
    <row r="17" spans="1:29">
      <c r="A17" s="4">
        <v>13</v>
      </c>
      <c r="B17" s="69" t="s">
        <v>230</v>
      </c>
      <c r="C17" s="46" t="s">
        <v>88</v>
      </c>
      <c r="D17" s="299" t="s">
        <v>232</v>
      </c>
      <c r="E17" s="4">
        <v>39.700000000000003</v>
      </c>
      <c r="F17" s="4">
        <v>14.939024390243903</v>
      </c>
      <c r="G17" s="47">
        <f t="shared" si="1"/>
        <v>721.24123195845789</v>
      </c>
      <c r="H17" s="4"/>
      <c r="Y17" s="338" t="s">
        <v>689</v>
      </c>
      <c r="Z17" s="338"/>
      <c r="AA17" s="338"/>
      <c r="AB17" s="338"/>
      <c r="AC17" s="1" t="s">
        <v>481</v>
      </c>
    </row>
    <row r="18" spans="1:29">
      <c r="A18" s="4">
        <v>14</v>
      </c>
      <c r="B18" s="66" t="s">
        <v>276</v>
      </c>
      <c r="C18" s="114" t="s">
        <v>681</v>
      </c>
      <c r="D18" s="97" t="s">
        <v>255</v>
      </c>
      <c r="E18" s="4">
        <v>22.1</v>
      </c>
      <c r="F18" s="4">
        <v>14.329268292682928</v>
      </c>
      <c r="G18" s="47">
        <f t="shared" si="1"/>
        <v>159.2162912807778</v>
      </c>
      <c r="H18" s="4"/>
      <c r="Y18" s="338" t="s">
        <v>690</v>
      </c>
      <c r="Z18" s="338"/>
      <c r="AA18" s="338"/>
      <c r="AB18" s="338"/>
    </row>
    <row r="19" spans="1:29">
      <c r="A19" s="4">
        <v>15</v>
      </c>
      <c r="B19" s="69" t="s">
        <v>230</v>
      </c>
      <c r="C19" s="46" t="s">
        <v>88</v>
      </c>
      <c r="D19" s="299" t="s">
        <v>232</v>
      </c>
      <c r="E19" s="4">
        <v>58.7</v>
      </c>
      <c r="F19" s="4">
        <v>33.231707317073173</v>
      </c>
      <c r="G19" s="47">
        <f t="shared" si="1"/>
        <v>1977.5045558111988</v>
      </c>
      <c r="H19" s="4"/>
    </row>
    <row r="20" spans="1:29">
      <c r="A20" s="4">
        <v>16</v>
      </c>
      <c r="B20" s="69" t="s">
        <v>293</v>
      </c>
      <c r="C20" s="114" t="s">
        <v>168</v>
      </c>
      <c r="D20" s="299" t="s">
        <v>721</v>
      </c>
      <c r="E20" s="4">
        <v>26.6</v>
      </c>
      <c r="F20" s="4">
        <v>15.853658536585368</v>
      </c>
      <c r="G20" s="47">
        <f t="shared" si="1"/>
        <v>256.7849523867398</v>
      </c>
      <c r="H20" s="4"/>
    </row>
    <row r="21" spans="1:29">
      <c r="A21" s="4">
        <v>17</v>
      </c>
      <c r="B21" s="69" t="s">
        <v>230</v>
      </c>
      <c r="C21" s="46" t="s">
        <v>88</v>
      </c>
      <c r="D21" s="299" t="s">
        <v>232</v>
      </c>
      <c r="E21" s="4">
        <v>54</v>
      </c>
      <c r="F21" s="4">
        <v>29.26829268292683</v>
      </c>
      <c r="G21" s="47">
        <f t="shared" si="1"/>
        <v>1594.5690714042569</v>
      </c>
      <c r="H21" s="4"/>
    </row>
    <row r="22" spans="1:29">
      <c r="A22" s="4">
        <v>18</v>
      </c>
      <c r="B22" s="66" t="s">
        <v>233</v>
      </c>
      <c r="C22" s="114" t="s">
        <v>124</v>
      </c>
      <c r="D22" s="299" t="s">
        <v>235</v>
      </c>
      <c r="E22" s="4">
        <v>55.3</v>
      </c>
      <c r="F22" s="4">
        <v>34.146341463414636</v>
      </c>
      <c r="G22" s="47">
        <f t="shared" si="1"/>
        <v>1695.4615422345521</v>
      </c>
      <c r="H22" s="4"/>
    </row>
    <row r="23" spans="1:29">
      <c r="A23" s="4">
        <v>19</v>
      </c>
      <c r="B23" s="69" t="s">
        <v>295</v>
      </c>
      <c r="C23" s="114" t="s">
        <v>691</v>
      </c>
      <c r="D23" s="299" t="s">
        <v>241</v>
      </c>
      <c r="E23" s="4">
        <v>22.5</v>
      </c>
      <c r="F23" s="4">
        <v>27.134146341463417</v>
      </c>
      <c r="G23" s="47">
        <f t="shared" si="1"/>
        <v>166.75487677770917</v>
      </c>
      <c r="H23" s="4"/>
    </row>
    <row r="24" spans="1:29">
      <c r="A24" s="4">
        <v>20</v>
      </c>
      <c r="B24" s="69" t="s">
        <v>230</v>
      </c>
      <c r="C24" s="46" t="s">
        <v>88</v>
      </c>
      <c r="D24" s="299" t="s">
        <v>232</v>
      </c>
      <c r="E24" s="4">
        <v>30.8</v>
      </c>
      <c r="F24" s="4">
        <v>20.121951219512198</v>
      </c>
      <c r="G24" s="47">
        <f t="shared" si="1"/>
        <v>374.77630703630564</v>
      </c>
      <c r="H24" s="4"/>
    </row>
    <row r="25" spans="1:29">
      <c r="A25" s="4">
        <v>21</v>
      </c>
      <c r="B25" s="69" t="s">
        <v>230</v>
      </c>
      <c r="C25" s="46" t="s">
        <v>88</v>
      </c>
      <c r="D25" s="299" t="s">
        <v>232</v>
      </c>
      <c r="E25" s="4">
        <v>38.4</v>
      </c>
      <c r="F25" s="4">
        <v>29.878048780487806</v>
      </c>
      <c r="G25" s="47">
        <f t="shared" si="1"/>
        <v>661.8964582653</v>
      </c>
      <c r="H25" s="4"/>
    </row>
    <row r="26" spans="1:29">
      <c r="A26" s="4">
        <v>22</v>
      </c>
      <c r="B26" s="66" t="s">
        <v>233</v>
      </c>
      <c r="C26" s="114" t="s">
        <v>124</v>
      </c>
      <c r="D26" s="299" t="s">
        <v>235</v>
      </c>
      <c r="E26" s="4">
        <v>46.5</v>
      </c>
      <c r="F26" s="4">
        <v>28.963414634146343</v>
      </c>
      <c r="G26" s="47">
        <f t="shared" si="1"/>
        <v>1084.328805525332</v>
      </c>
      <c r="H26" s="4"/>
    </row>
    <row r="27" spans="1:29">
      <c r="A27" s="4">
        <v>23</v>
      </c>
      <c r="B27" s="69" t="s">
        <v>230</v>
      </c>
      <c r="C27" s="46" t="s">
        <v>88</v>
      </c>
      <c r="D27" s="299" t="s">
        <v>232</v>
      </c>
      <c r="E27" s="4">
        <v>33</v>
      </c>
      <c r="F27" s="4">
        <v>28.353658536585368</v>
      </c>
      <c r="G27" s="47">
        <f t="shared" si="1"/>
        <v>447.76204823655206</v>
      </c>
      <c r="H27" s="4"/>
    </row>
    <row r="28" spans="1:29">
      <c r="A28" s="4">
        <v>24</v>
      </c>
      <c r="B28" s="73" t="s">
        <v>286</v>
      </c>
      <c r="C28" s="4" t="s">
        <v>173</v>
      </c>
      <c r="D28" s="299" t="s">
        <v>731</v>
      </c>
      <c r="E28" s="4">
        <v>30</v>
      </c>
      <c r="F28" s="4">
        <v>34.146341463414636</v>
      </c>
      <c r="G28" s="47">
        <f t="shared" si="1"/>
        <v>350.18339230333765</v>
      </c>
      <c r="H28" s="4"/>
    </row>
    <row r="29" spans="1:29">
      <c r="A29" s="4">
        <v>25</v>
      </c>
      <c r="B29" s="69" t="s">
        <v>230</v>
      </c>
      <c r="C29" s="46" t="s">
        <v>88</v>
      </c>
      <c r="D29" s="299" t="s">
        <v>232</v>
      </c>
      <c r="E29" s="4">
        <v>30</v>
      </c>
      <c r="F29" s="4">
        <v>30.182926829268293</v>
      </c>
      <c r="G29" s="47">
        <f t="shared" si="1"/>
        <v>350.18339230333765</v>
      </c>
      <c r="H29" s="4"/>
    </row>
    <row r="30" spans="1:29">
      <c r="A30" s="4">
        <v>26</v>
      </c>
      <c r="B30" s="73" t="s">
        <v>292</v>
      </c>
      <c r="C30" s="4" t="s">
        <v>174</v>
      </c>
      <c r="D30" s="299" t="s">
        <v>241</v>
      </c>
      <c r="E30" s="4">
        <v>20</v>
      </c>
      <c r="F30" s="4">
        <v>13.109756097560977</v>
      </c>
      <c r="G30" s="47">
        <f t="shared" si="1"/>
        <v>123.07113006706489</v>
      </c>
      <c r="H30" s="4"/>
    </row>
    <row r="31" spans="1:29">
      <c r="A31" s="4">
        <v>27</v>
      </c>
      <c r="B31" s="73" t="s">
        <v>292</v>
      </c>
      <c r="C31" s="4" t="s">
        <v>174</v>
      </c>
      <c r="D31" s="299" t="s">
        <v>241</v>
      </c>
      <c r="E31" s="4">
        <v>51.5</v>
      </c>
      <c r="F31" s="4">
        <v>32.621951219512198</v>
      </c>
      <c r="G31" s="47">
        <f t="shared" si="1"/>
        <v>1411.0768706718989</v>
      </c>
      <c r="H31" s="4"/>
    </row>
    <row r="32" spans="1:29">
      <c r="A32" s="4">
        <v>28</v>
      </c>
      <c r="B32" s="67" t="s">
        <v>282</v>
      </c>
      <c r="C32" s="114" t="s">
        <v>692</v>
      </c>
      <c r="D32" s="299" t="s">
        <v>255</v>
      </c>
      <c r="E32" s="4">
        <v>24</v>
      </c>
      <c r="F32" s="4">
        <v>10.365853658536587</v>
      </c>
      <c r="G32" s="47">
        <f t="shared" si="1"/>
        <v>196.95391678520957</v>
      </c>
      <c r="H32" s="4"/>
    </row>
    <row r="33" spans="1:8">
      <c r="A33" s="4">
        <v>29</v>
      </c>
      <c r="B33" s="66" t="s">
        <v>270</v>
      </c>
      <c r="C33" s="114" t="s">
        <v>662</v>
      </c>
      <c r="D33" s="299" t="s">
        <v>271</v>
      </c>
      <c r="E33" s="4">
        <v>23.6</v>
      </c>
      <c r="F33" s="4">
        <v>14.634146341463415</v>
      </c>
      <c r="G33" s="47">
        <f t="shared" si="1"/>
        <v>188.5992169509849</v>
      </c>
      <c r="H33" s="4"/>
    </row>
    <row r="34" spans="1:8">
      <c r="A34" s="4">
        <v>30</v>
      </c>
      <c r="B34" s="66" t="s">
        <v>260</v>
      </c>
      <c r="C34" s="114" t="s">
        <v>120</v>
      </c>
      <c r="D34" s="299" t="s">
        <v>722</v>
      </c>
      <c r="E34" s="4">
        <v>51.3</v>
      </c>
      <c r="F34" s="4">
        <v>28.04878048780488</v>
      </c>
      <c r="G34" s="47">
        <f t="shared" si="1"/>
        <v>1396.9874809307892</v>
      </c>
      <c r="H34" s="4"/>
    </row>
    <row r="35" spans="1:8">
      <c r="A35" s="4">
        <v>31</v>
      </c>
      <c r="B35" s="73" t="s">
        <v>285</v>
      </c>
      <c r="C35" s="114" t="s">
        <v>177</v>
      </c>
      <c r="D35" s="299" t="s">
        <v>733</v>
      </c>
      <c r="E35" s="4">
        <v>29</v>
      </c>
      <c r="F35" s="4">
        <v>24.085365853658537</v>
      </c>
      <c r="G35" s="47">
        <f t="shared" si="1"/>
        <v>320.86641808877988</v>
      </c>
      <c r="H35" s="4"/>
    </row>
    <row r="36" spans="1:8">
      <c r="A36" s="4">
        <v>32</v>
      </c>
      <c r="B36" s="66" t="s">
        <v>276</v>
      </c>
      <c r="C36" s="115" t="s">
        <v>671</v>
      </c>
      <c r="D36" s="97" t="s">
        <v>255</v>
      </c>
      <c r="E36" s="4">
        <v>25</v>
      </c>
      <c r="F36" s="4">
        <v>16.463414634146343</v>
      </c>
      <c r="G36" s="47">
        <f t="shared" si="1"/>
        <v>218.82004950676119</v>
      </c>
      <c r="H36" s="4"/>
    </row>
    <row r="37" spans="1:8">
      <c r="A37" s="4">
        <v>33</v>
      </c>
      <c r="B37" s="66" t="s">
        <v>229</v>
      </c>
      <c r="C37" s="114" t="s">
        <v>681</v>
      </c>
      <c r="D37" s="97" t="s">
        <v>720</v>
      </c>
      <c r="E37" s="4">
        <v>21.3</v>
      </c>
      <c r="F37" s="4">
        <v>14.329268292682928</v>
      </c>
      <c r="G37" s="47">
        <f t="shared" si="1"/>
        <v>144.7740843558706</v>
      </c>
      <c r="H37" s="4"/>
    </row>
    <row r="38" spans="1:8">
      <c r="A38" s="340" t="s">
        <v>463</v>
      </c>
      <c r="B38" s="340"/>
      <c r="C38" s="340"/>
      <c r="D38" s="340"/>
      <c r="E38" s="340"/>
      <c r="F38" s="340"/>
      <c r="G38" s="289"/>
    </row>
    <row r="40" spans="1:8">
      <c r="D40" s="1" t="s">
        <v>781</v>
      </c>
      <c r="E40" s="1">
        <f>COUNTIF(D4:D37,D6)</f>
        <v>11</v>
      </c>
      <c r="F40" s="330">
        <v>0.33</v>
      </c>
    </row>
  </sheetData>
  <autoFilter ref="A4:H38"/>
  <mergeCells count="10">
    <mergeCell ref="Y16:AB16"/>
    <mergeCell ref="Y17:AB17"/>
    <mergeCell ref="Y18:AB18"/>
    <mergeCell ref="A38:F38"/>
    <mergeCell ref="E1:H1"/>
    <mergeCell ref="J1:N1"/>
    <mergeCell ref="Z1:AB1"/>
    <mergeCell ref="E2:H2"/>
    <mergeCell ref="Y14:AB14"/>
    <mergeCell ref="Y15:AB1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C44"/>
  <sheetViews>
    <sheetView workbookViewId="0">
      <selection activeCell="P6" sqref="P6"/>
    </sheetView>
  </sheetViews>
  <sheetFormatPr defaultRowHeight="15"/>
  <cols>
    <col min="1" max="1" width="9.140625" style="1"/>
    <col min="2" max="2" width="21.140625" style="1" bestFit="1" customWidth="1"/>
    <col min="3" max="3" width="24.140625" style="1" bestFit="1" customWidth="1"/>
    <col min="4" max="4" width="23.42578125" style="1" bestFit="1" customWidth="1"/>
    <col min="5" max="19" width="9.140625" style="1"/>
    <col min="20" max="20" width="13.5703125" style="1" customWidth="1"/>
    <col min="21" max="16384" width="9.140625" style="1"/>
  </cols>
  <sheetData>
    <row r="1" spans="1:29">
      <c r="A1" s="2" t="s">
        <v>648</v>
      </c>
      <c r="B1" s="2"/>
      <c r="C1" s="2"/>
      <c r="D1" s="2"/>
      <c r="E1" s="338" t="s">
        <v>693</v>
      </c>
      <c r="F1" s="338"/>
      <c r="G1" s="338"/>
      <c r="H1" s="338"/>
      <c r="J1" s="338" t="s">
        <v>649</v>
      </c>
      <c r="K1" s="338"/>
      <c r="L1" s="338"/>
      <c r="M1" s="338"/>
      <c r="N1" s="338"/>
      <c r="O1" s="286"/>
      <c r="R1" s="2" t="s">
        <v>650</v>
      </c>
      <c r="Z1" s="338" t="s">
        <v>438</v>
      </c>
      <c r="AA1" s="338"/>
      <c r="AB1" s="338"/>
    </row>
    <row r="2" spans="1:29">
      <c r="A2" s="2" t="s">
        <v>694</v>
      </c>
      <c r="B2" s="2"/>
      <c r="E2" s="338" t="s">
        <v>440</v>
      </c>
      <c r="F2" s="338"/>
      <c r="G2" s="338"/>
      <c r="H2" s="338"/>
    </row>
    <row r="3" spans="1:29">
      <c r="Y3" s="1">
        <v>2</v>
      </c>
      <c r="AB3" s="1">
        <v>3</v>
      </c>
    </row>
    <row r="4" spans="1:29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651</v>
      </c>
      <c r="H4" s="27" t="s">
        <v>581</v>
      </c>
      <c r="I4" s="1" t="s">
        <v>770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3" t="s">
        <v>651</v>
      </c>
      <c r="P4" s="26" t="s">
        <v>580</v>
      </c>
      <c r="R4" s="45" t="s">
        <v>441</v>
      </c>
      <c r="S4" s="45" t="s">
        <v>442</v>
      </c>
      <c r="T4" s="55" t="s">
        <v>224</v>
      </c>
      <c r="U4" s="45" t="s">
        <v>443</v>
      </c>
      <c r="V4" s="45" t="s">
        <v>444</v>
      </c>
      <c r="W4" s="55" t="s">
        <v>448</v>
      </c>
      <c r="Y4" s="9"/>
      <c r="Z4" s="10"/>
      <c r="AA4" s="10"/>
      <c r="AB4" s="11"/>
    </row>
    <row r="5" spans="1:29">
      <c r="A5" s="4">
        <v>1</v>
      </c>
      <c r="B5" s="73" t="s">
        <v>248</v>
      </c>
      <c r="C5" s="4" t="s">
        <v>178</v>
      </c>
      <c r="D5" s="299" t="s">
        <v>730</v>
      </c>
      <c r="E5" s="4">
        <v>57.4</v>
      </c>
      <c r="F5" s="4">
        <v>25.304878048780488</v>
      </c>
      <c r="G5" s="47">
        <f>0.0543*E5^2.579</f>
        <v>1866.5240927128275</v>
      </c>
      <c r="H5" s="47">
        <f>SUM(G5:G41)/1000/0.025</f>
        <v>1264.5872891843237</v>
      </c>
      <c r="I5" s="75">
        <f>AVERAGE(F5:F41)</f>
        <v>18.539881344759394</v>
      </c>
      <c r="J5" s="4">
        <v>38</v>
      </c>
      <c r="K5" s="66" t="s">
        <v>270</v>
      </c>
      <c r="L5" s="4" t="s">
        <v>179</v>
      </c>
      <c r="M5" s="4">
        <v>14.3</v>
      </c>
      <c r="N5" s="5">
        <v>8.2317073170731714</v>
      </c>
      <c r="O5" s="5">
        <f>0.0543*M5^2.579</f>
        <v>51.809746843473022</v>
      </c>
      <c r="P5" s="47">
        <f>O5/1000/0.0625</f>
        <v>0.82895594949556839</v>
      </c>
      <c r="R5" s="7">
        <v>0</v>
      </c>
      <c r="S5" s="7">
        <v>0</v>
      </c>
      <c r="T5" s="7">
        <v>0</v>
      </c>
      <c r="U5" s="7">
        <v>0</v>
      </c>
      <c r="V5" s="56">
        <v>0</v>
      </c>
      <c r="W5" s="7">
        <v>0</v>
      </c>
      <c r="Y5" s="9"/>
      <c r="Z5" s="12"/>
      <c r="AA5" s="12"/>
      <c r="AB5" s="13"/>
    </row>
    <row r="6" spans="1:29">
      <c r="A6" s="4">
        <v>2</v>
      </c>
      <c r="B6" s="66" t="s">
        <v>270</v>
      </c>
      <c r="C6" s="4" t="s">
        <v>179</v>
      </c>
      <c r="D6" s="299" t="s">
        <v>271</v>
      </c>
      <c r="E6" s="4">
        <v>85.5</v>
      </c>
      <c r="F6" s="4">
        <v>29.573170731707318</v>
      </c>
      <c r="G6" s="47">
        <f t="shared" ref="G6:G41" si="0">0.0543*E6^2.579</f>
        <v>5216.0343104785061</v>
      </c>
      <c r="H6" s="4"/>
      <c r="J6" s="24" t="s">
        <v>459</v>
      </c>
      <c r="R6" s="24" t="s">
        <v>449</v>
      </c>
      <c r="Y6" s="9"/>
      <c r="Z6" s="12"/>
      <c r="AA6" s="12"/>
      <c r="AB6" s="14"/>
    </row>
    <row r="7" spans="1:29">
      <c r="A7" s="4">
        <v>3</v>
      </c>
      <c r="B7" s="73" t="s">
        <v>296</v>
      </c>
      <c r="C7" s="4" t="s">
        <v>180</v>
      </c>
      <c r="D7" s="299" t="s">
        <v>247</v>
      </c>
      <c r="E7" s="4">
        <v>28.5</v>
      </c>
      <c r="F7" s="4">
        <v>13.719512195121952</v>
      </c>
      <c r="G7" s="47">
        <f t="shared" si="0"/>
        <v>306.79248948859998</v>
      </c>
      <c r="H7" s="4"/>
      <c r="Y7" s="9"/>
      <c r="Z7" s="12"/>
      <c r="AA7" s="15"/>
      <c r="AB7" s="16"/>
      <c r="AC7" s="18"/>
    </row>
    <row r="8" spans="1:29">
      <c r="A8" s="4">
        <v>4</v>
      </c>
      <c r="B8" s="73" t="s">
        <v>248</v>
      </c>
      <c r="C8" s="4" t="s">
        <v>181</v>
      </c>
      <c r="D8" s="299" t="s">
        <v>730</v>
      </c>
      <c r="E8" s="4">
        <v>23</v>
      </c>
      <c r="F8" s="4">
        <v>14.329268292682928</v>
      </c>
      <c r="G8" s="47">
        <f t="shared" si="0"/>
        <v>176.48017212699972</v>
      </c>
      <c r="H8" s="4"/>
      <c r="R8" s="27" t="s">
        <v>442</v>
      </c>
      <c r="S8" s="3" t="s">
        <v>224</v>
      </c>
      <c r="T8" s="27" t="s">
        <v>450</v>
      </c>
      <c r="U8" s="27" t="s">
        <v>448</v>
      </c>
      <c r="Y8" s="9"/>
      <c r="Z8" s="12">
        <v>1</v>
      </c>
      <c r="AA8" s="9"/>
      <c r="AB8" s="14"/>
    </row>
    <row r="9" spans="1:29">
      <c r="A9" s="4">
        <v>5</v>
      </c>
      <c r="B9" s="69" t="s">
        <v>230</v>
      </c>
      <c r="C9" s="46" t="s">
        <v>88</v>
      </c>
      <c r="D9" s="299" t="s">
        <v>232</v>
      </c>
      <c r="E9" s="4">
        <v>45.3</v>
      </c>
      <c r="F9" s="4">
        <v>22.865853658536587</v>
      </c>
      <c r="G9" s="47">
        <f t="shared" si="0"/>
        <v>1013.6244845537076</v>
      </c>
      <c r="H9" s="4"/>
      <c r="R9" s="4" t="s">
        <v>423</v>
      </c>
      <c r="S9" s="4"/>
      <c r="T9" s="4" t="s">
        <v>367</v>
      </c>
      <c r="U9" s="4" t="s">
        <v>424</v>
      </c>
      <c r="Y9" s="9"/>
      <c r="Z9" s="12"/>
      <c r="AA9" s="9"/>
      <c r="AB9" s="14"/>
    </row>
    <row r="10" spans="1:29">
      <c r="A10" s="4">
        <v>6</v>
      </c>
      <c r="B10" s="66" t="s">
        <v>236</v>
      </c>
      <c r="C10" s="4" t="s">
        <v>90</v>
      </c>
      <c r="D10" s="299" t="s">
        <v>238</v>
      </c>
      <c r="E10" s="4">
        <v>45.2</v>
      </c>
      <c r="F10" s="4">
        <v>23.170731707317074</v>
      </c>
      <c r="G10" s="47">
        <f t="shared" si="0"/>
        <v>1007.8638145728437</v>
      </c>
      <c r="H10" s="4"/>
      <c r="R10" s="24" t="s">
        <v>451</v>
      </c>
      <c r="Y10" s="9"/>
      <c r="Z10" s="12"/>
      <c r="AA10" s="9"/>
      <c r="AB10" s="14"/>
    </row>
    <row r="11" spans="1:29">
      <c r="A11" s="4">
        <v>7</v>
      </c>
      <c r="B11" s="66" t="s">
        <v>233</v>
      </c>
      <c r="C11" s="114" t="s">
        <v>124</v>
      </c>
      <c r="D11" s="299" t="s">
        <v>235</v>
      </c>
      <c r="E11" s="4">
        <v>60.6</v>
      </c>
      <c r="F11" s="4">
        <v>20.731707317073173</v>
      </c>
      <c r="G11" s="47">
        <f t="shared" si="0"/>
        <v>2146.8254115991558</v>
      </c>
      <c r="H11" s="4"/>
      <c r="R11" s="24" t="s">
        <v>452</v>
      </c>
      <c r="Y11" s="9">
        <v>4</v>
      </c>
      <c r="Z11" s="15"/>
      <c r="AA11" s="17"/>
      <c r="AB11" s="16"/>
      <c r="AC11" s="18">
        <v>5</v>
      </c>
    </row>
    <row r="12" spans="1:29">
      <c r="A12" s="4">
        <v>8</v>
      </c>
      <c r="B12" s="66" t="s">
        <v>236</v>
      </c>
      <c r="C12" s="4" t="s">
        <v>90</v>
      </c>
      <c r="D12" s="299" t="s">
        <v>238</v>
      </c>
      <c r="E12" s="4">
        <v>35.4</v>
      </c>
      <c r="F12" s="4">
        <v>18.902439024390244</v>
      </c>
      <c r="G12" s="47">
        <f t="shared" si="0"/>
        <v>536.63530627905618</v>
      </c>
      <c r="H12" s="4"/>
    </row>
    <row r="13" spans="1:29">
      <c r="A13" s="4">
        <v>9</v>
      </c>
      <c r="B13" s="66" t="s">
        <v>261</v>
      </c>
      <c r="C13" s="4" t="s">
        <v>95</v>
      </c>
      <c r="D13" s="299" t="s">
        <v>723</v>
      </c>
      <c r="E13" s="4">
        <v>21</v>
      </c>
      <c r="F13" s="4">
        <v>15.853658536585368</v>
      </c>
      <c r="G13" s="47">
        <f t="shared" si="0"/>
        <v>139.57363547262395</v>
      </c>
      <c r="H13" s="4"/>
    </row>
    <row r="14" spans="1:29" ht="15.75" thickBot="1">
      <c r="A14" s="4">
        <v>10</v>
      </c>
      <c r="B14" s="66" t="s">
        <v>261</v>
      </c>
      <c r="C14" s="4" t="s">
        <v>95</v>
      </c>
      <c r="D14" s="299" t="s">
        <v>723</v>
      </c>
      <c r="E14" s="4">
        <v>25</v>
      </c>
      <c r="F14" s="4">
        <v>16.463414634146343</v>
      </c>
      <c r="G14" s="47">
        <f t="shared" si="0"/>
        <v>218.82004950676119</v>
      </c>
      <c r="H14" s="4"/>
      <c r="R14" s="57"/>
      <c r="S14" s="29"/>
      <c r="T14" s="58"/>
      <c r="Y14" s="338" t="s">
        <v>695</v>
      </c>
      <c r="Z14" s="338"/>
      <c r="AA14" s="338"/>
      <c r="AB14" s="338"/>
    </row>
    <row r="15" spans="1:29" ht="15.75" thickTop="1">
      <c r="A15" s="4">
        <v>11</v>
      </c>
      <c r="B15" s="66" t="s">
        <v>294</v>
      </c>
      <c r="C15" s="4" t="s">
        <v>182</v>
      </c>
      <c r="D15" s="299" t="s">
        <v>241</v>
      </c>
      <c r="E15" s="4">
        <v>23.6</v>
      </c>
      <c r="F15" s="4">
        <v>14.02439024390244</v>
      </c>
      <c r="G15" s="47">
        <f t="shared" si="0"/>
        <v>188.5992169509849</v>
      </c>
      <c r="H15" s="4"/>
      <c r="Y15" s="338" t="s">
        <v>696</v>
      </c>
      <c r="Z15" s="338"/>
      <c r="AA15" s="338"/>
      <c r="AB15" s="338"/>
    </row>
    <row r="16" spans="1:29">
      <c r="A16" s="4">
        <v>12</v>
      </c>
      <c r="B16" s="66" t="s">
        <v>294</v>
      </c>
      <c r="C16" s="4" t="s">
        <v>182</v>
      </c>
      <c r="D16" s="299" t="s">
        <v>241</v>
      </c>
      <c r="E16" s="4">
        <v>28.7</v>
      </c>
      <c r="F16" s="4">
        <v>13.109756097560977</v>
      </c>
      <c r="G16" s="47">
        <f t="shared" si="0"/>
        <v>312.37569922568565</v>
      </c>
      <c r="H16" s="4"/>
      <c r="Y16" s="338" t="s">
        <v>697</v>
      </c>
      <c r="Z16" s="338"/>
      <c r="AA16" s="338"/>
      <c r="AB16" s="338"/>
    </row>
    <row r="17" spans="1:29">
      <c r="A17" s="4">
        <v>13</v>
      </c>
      <c r="B17" s="69" t="s">
        <v>264</v>
      </c>
      <c r="C17" s="4" t="s">
        <v>183</v>
      </c>
      <c r="D17" s="299" t="s">
        <v>719</v>
      </c>
      <c r="E17" s="4">
        <v>30.2</v>
      </c>
      <c r="F17" s="4">
        <v>16.76829268292683</v>
      </c>
      <c r="G17" s="47">
        <f t="shared" si="0"/>
        <v>356.23594242188216</v>
      </c>
      <c r="H17" s="4"/>
      <c r="Y17" s="338" t="s">
        <v>698</v>
      </c>
      <c r="Z17" s="338"/>
      <c r="AA17" s="338"/>
      <c r="AB17" s="338"/>
      <c r="AC17" s="1" t="s">
        <v>481</v>
      </c>
    </row>
    <row r="18" spans="1:29">
      <c r="A18" s="4">
        <v>14</v>
      </c>
      <c r="B18" s="66" t="s">
        <v>233</v>
      </c>
      <c r="C18" s="114" t="s">
        <v>124</v>
      </c>
      <c r="D18" s="299" t="s">
        <v>235</v>
      </c>
      <c r="E18" s="4">
        <v>22</v>
      </c>
      <c r="F18" s="4">
        <v>14.634146341463415</v>
      </c>
      <c r="G18" s="47">
        <f t="shared" si="0"/>
        <v>157.36491932170634</v>
      </c>
      <c r="H18" s="4"/>
      <c r="Y18" s="338" t="s">
        <v>699</v>
      </c>
      <c r="Z18" s="338"/>
      <c r="AA18" s="338"/>
      <c r="AB18" s="338"/>
    </row>
    <row r="19" spans="1:29">
      <c r="A19" s="4">
        <v>15</v>
      </c>
      <c r="B19" s="66" t="s">
        <v>294</v>
      </c>
      <c r="C19" s="4" t="s">
        <v>182</v>
      </c>
      <c r="D19" s="299" t="s">
        <v>241</v>
      </c>
      <c r="E19" s="4">
        <v>32</v>
      </c>
      <c r="F19" s="4">
        <v>17.682926829268293</v>
      </c>
      <c r="G19" s="47">
        <f t="shared" si="0"/>
        <v>413.60104148086589</v>
      </c>
      <c r="H19" s="4"/>
    </row>
    <row r="20" spans="1:29">
      <c r="A20" s="4">
        <v>16</v>
      </c>
      <c r="B20" s="69" t="s">
        <v>230</v>
      </c>
      <c r="C20" s="46" t="s">
        <v>88</v>
      </c>
      <c r="D20" s="299" t="s">
        <v>232</v>
      </c>
      <c r="E20" s="4">
        <v>36.4</v>
      </c>
      <c r="F20" s="4">
        <v>18.902439024390244</v>
      </c>
      <c r="G20" s="47">
        <f t="shared" si="0"/>
        <v>576.60751462131202</v>
      </c>
      <c r="H20" s="4"/>
    </row>
    <row r="21" spans="1:29">
      <c r="A21" s="4">
        <v>17</v>
      </c>
      <c r="B21" s="73" t="s">
        <v>291</v>
      </c>
      <c r="C21" s="4" t="s">
        <v>150</v>
      </c>
      <c r="D21" s="299" t="s">
        <v>722</v>
      </c>
      <c r="E21" s="4">
        <v>44</v>
      </c>
      <c r="F21" s="4">
        <v>16.76829268292683</v>
      </c>
      <c r="G21" s="47">
        <f t="shared" si="0"/>
        <v>940.29533664065059</v>
      </c>
      <c r="H21" s="4"/>
    </row>
    <row r="22" spans="1:29">
      <c r="A22" s="4">
        <v>18</v>
      </c>
      <c r="B22" s="69" t="s">
        <v>230</v>
      </c>
      <c r="C22" s="46" t="s">
        <v>88</v>
      </c>
      <c r="D22" s="299" t="s">
        <v>232</v>
      </c>
      <c r="E22" s="4">
        <v>25.5</v>
      </c>
      <c r="F22" s="4">
        <v>20.121951219512198</v>
      </c>
      <c r="G22" s="47">
        <f t="shared" si="0"/>
        <v>230.28569173577657</v>
      </c>
      <c r="H22" s="4"/>
    </row>
    <row r="23" spans="1:29">
      <c r="A23" s="4">
        <v>19</v>
      </c>
      <c r="B23" s="66" t="s">
        <v>265</v>
      </c>
      <c r="C23" s="4" t="s">
        <v>137</v>
      </c>
      <c r="D23" s="299" t="s">
        <v>267</v>
      </c>
      <c r="E23" s="4">
        <v>35.799999999999997</v>
      </c>
      <c r="F23" s="4">
        <v>15.853658536585368</v>
      </c>
      <c r="G23" s="47">
        <f t="shared" si="0"/>
        <v>552.41333704055342</v>
      </c>
      <c r="H23" s="4"/>
    </row>
    <row r="24" spans="1:29">
      <c r="A24" s="4">
        <v>20</v>
      </c>
      <c r="B24" s="69" t="s">
        <v>230</v>
      </c>
      <c r="C24" s="46" t="s">
        <v>88</v>
      </c>
      <c r="D24" s="299" t="s">
        <v>232</v>
      </c>
      <c r="E24" s="4">
        <v>22.9</v>
      </c>
      <c r="F24" s="4">
        <v>7.6219512195121952</v>
      </c>
      <c r="G24" s="47">
        <f t="shared" si="0"/>
        <v>174.50807930145612</v>
      </c>
      <c r="H24" s="4"/>
    </row>
    <row r="25" spans="1:29">
      <c r="A25" s="4">
        <v>21</v>
      </c>
      <c r="B25" s="73" t="s">
        <v>248</v>
      </c>
      <c r="C25" s="4" t="s">
        <v>181</v>
      </c>
      <c r="D25" s="299" t="s">
        <v>730</v>
      </c>
      <c r="E25" s="4">
        <v>32.5</v>
      </c>
      <c r="F25" s="4">
        <v>20.731707317073173</v>
      </c>
      <c r="G25" s="47">
        <f t="shared" si="0"/>
        <v>430.47409091621506</v>
      </c>
      <c r="H25" s="4"/>
    </row>
    <row r="26" spans="1:29">
      <c r="A26" s="4">
        <v>22</v>
      </c>
      <c r="B26" s="69" t="s">
        <v>230</v>
      </c>
      <c r="C26" s="46" t="s">
        <v>88</v>
      </c>
      <c r="D26" s="299" t="s">
        <v>232</v>
      </c>
      <c r="E26" s="4">
        <v>61</v>
      </c>
      <c r="F26" s="4">
        <v>19.81707317073171</v>
      </c>
      <c r="G26" s="47">
        <f t="shared" si="0"/>
        <v>2183.5617300226813</v>
      </c>
      <c r="H26" s="4"/>
    </row>
    <row r="27" spans="1:29">
      <c r="A27" s="4">
        <v>23</v>
      </c>
      <c r="B27" s="73" t="s">
        <v>287</v>
      </c>
      <c r="C27" s="4"/>
      <c r="D27" s="4"/>
      <c r="E27" s="4">
        <v>30</v>
      </c>
      <c r="F27" s="4">
        <v>14.634146341463415</v>
      </c>
      <c r="G27" s="47">
        <f t="shared" si="0"/>
        <v>350.18339230333765</v>
      </c>
      <c r="H27" s="4"/>
    </row>
    <row r="28" spans="1:29">
      <c r="A28" s="4">
        <v>24</v>
      </c>
      <c r="B28" s="73" t="s">
        <v>281</v>
      </c>
      <c r="C28" s="4" t="s">
        <v>185</v>
      </c>
      <c r="D28" s="299" t="s">
        <v>271</v>
      </c>
      <c r="E28" s="4">
        <v>31.7</v>
      </c>
      <c r="F28" s="4">
        <v>19.81707317073171</v>
      </c>
      <c r="G28" s="47">
        <f t="shared" si="0"/>
        <v>403.67482609197532</v>
      </c>
      <c r="H28" s="4"/>
    </row>
    <row r="29" spans="1:29">
      <c r="A29" s="4">
        <v>25</v>
      </c>
      <c r="B29" s="73" t="s">
        <v>248</v>
      </c>
      <c r="C29" s="4" t="s">
        <v>181</v>
      </c>
      <c r="D29" s="299" t="s">
        <v>730</v>
      </c>
      <c r="E29" s="4">
        <v>50.8</v>
      </c>
      <c r="F29" s="4">
        <v>21.951219512195124</v>
      </c>
      <c r="G29" s="47">
        <f t="shared" si="0"/>
        <v>1362.1418729293539</v>
      </c>
      <c r="H29" s="4"/>
    </row>
    <row r="30" spans="1:29">
      <c r="A30" s="4">
        <v>26</v>
      </c>
      <c r="B30" s="69" t="s">
        <v>230</v>
      </c>
      <c r="C30" s="46" t="s">
        <v>88</v>
      </c>
      <c r="D30" s="299" t="s">
        <v>232</v>
      </c>
      <c r="E30" s="4">
        <v>42.9</v>
      </c>
      <c r="F30" s="4">
        <v>19.81707317073171</v>
      </c>
      <c r="G30" s="47">
        <f t="shared" si="0"/>
        <v>880.86060256309611</v>
      </c>
      <c r="H30" s="4"/>
    </row>
    <row r="31" spans="1:29">
      <c r="A31" s="4">
        <v>27</v>
      </c>
      <c r="B31" s="73" t="s">
        <v>248</v>
      </c>
      <c r="C31" s="4" t="s">
        <v>181</v>
      </c>
      <c r="D31" s="299" t="s">
        <v>730</v>
      </c>
      <c r="E31" s="4">
        <v>40.9</v>
      </c>
      <c r="F31" s="4">
        <v>22.560975609756099</v>
      </c>
      <c r="G31" s="47">
        <f t="shared" si="0"/>
        <v>778.8148807223987</v>
      </c>
      <c r="H31" s="4"/>
    </row>
    <row r="32" spans="1:29">
      <c r="A32" s="4">
        <v>28</v>
      </c>
      <c r="B32" s="69" t="s">
        <v>230</v>
      </c>
      <c r="C32" s="46" t="s">
        <v>88</v>
      </c>
      <c r="D32" s="299" t="s">
        <v>232</v>
      </c>
      <c r="E32" s="4">
        <v>27</v>
      </c>
      <c r="F32" s="4">
        <v>20.731707317073173</v>
      </c>
      <c r="G32" s="47">
        <f t="shared" si="0"/>
        <v>266.86214798310266</v>
      </c>
      <c r="H32" s="4"/>
    </row>
    <row r="33" spans="1:8">
      <c r="A33" s="4">
        <v>29</v>
      </c>
      <c r="B33" s="76" t="s">
        <v>299</v>
      </c>
      <c r="C33" s="4" t="s">
        <v>186</v>
      </c>
      <c r="D33" s="299" t="s">
        <v>728</v>
      </c>
      <c r="E33" s="4">
        <v>30.2</v>
      </c>
      <c r="F33" s="4">
        <v>21.646341463414636</v>
      </c>
      <c r="G33" s="47">
        <f t="shared" si="0"/>
        <v>356.23594242188216</v>
      </c>
      <c r="H33" s="4"/>
    </row>
    <row r="34" spans="1:8">
      <c r="A34" s="4">
        <v>30</v>
      </c>
      <c r="B34" s="73" t="s">
        <v>248</v>
      </c>
      <c r="C34" s="4" t="s">
        <v>181</v>
      </c>
      <c r="D34" s="299" t="s">
        <v>730</v>
      </c>
      <c r="E34" s="4">
        <v>46</v>
      </c>
      <c r="F34" s="4">
        <v>21.951219512195124</v>
      </c>
      <c r="G34" s="47">
        <f t="shared" si="0"/>
        <v>1054.5138241472591</v>
      </c>
      <c r="H34" s="4"/>
    </row>
    <row r="35" spans="1:8">
      <c r="A35" s="4">
        <v>31</v>
      </c>
      <c r="B35" s="73" t="s">
        <v>248</v>
      </c>
      <c r="C35" s="4" t="s">
        <v>181</v>
      </c>
      <c r="D35" s="299" t="s">
        <v>730</v>
      </c>
      <c r="E35" s="4">
        <v>29</v>
      </c>
      <c r="F35" s="4">
        <v>20.121951219512198</v>
      </c>
      <c r="G35" s="47">
        <f t="shared" si="0"/>
        <v>320.86641808877988</v>
      </c>
      <c r="H35" s="4"/>
    </row>
    <row r="36" spans="1:8">
      <c r="A36" s="4">
        <v>32</v>
      </c>
      <c r="B36" s="73" t="s">
        <v>286</v>
      </c>
      <c r="C36" s="4" t="s">
        <v>187</v>
      </c>
      <c r="D36" s="299" t="s">
        <v>731</v>
      </c>
      <c r="E36" s="4">
        <v>30.6</v>
      </c>
      <c r="F36" s="4">
        <v>13.109756097560977</v>
      </c>
      <c r="G36" s="47">
        <f t="shared" si="0"/>
        <v>368.53215650361699</v>
      </c>
      <c r="H36" s="4"/>
    </row>
    <row r="37" spans="1:8">
      <c r="A37" s="4">
        <v>33</v>
      </c>
      <c r="B37" s="69" t="s">
        <v>264</v>
      </c>
      <c r="C37" s="4" t="s">
        <v>188</v>
      </c>
      <c r="D37" s="299" t="s">
        <v>719</v>
      </c>
      <c r="E37" s="4">
        <v>43.7</v>
      </c>
      <c r="F37" s="4">
        <v>20.731707317073173</v>
      </c>
      <c r="G37" s="47">
        <f t="shared" si="0"/>
        <v>923.84998381089088</v>
      </c>
      <c r="H37" s="4"/>
    </row>
    <row r="38" spans="1:8">
      <c r="A38" s="4">
        <v>34</v>
      </c>
      <c r="B38" s="66" t="s">
        <v>233</v>
      </c>
      <c r="C38" s="114" t="s">
        <v>124</v>
      </c>
      <c r="D38" s="299" t="s">
        <v>235</v>
      </c>
      <c r="E38" s="4">
        <v>74.5</v>
      </c>
      <c r="F38" s="4">
        <v>21.951219512195124</v>
      </c>
      <c r="G38" s="47">
        <f t="shared" si="0"/>
        <v>3656.7128423423192</v>
      </c>
      <c r="H38" s="4"/>
    </row>
    <row r="39" spans="1:8">
      <c r="A39" s="4">
        <v>35</v>
      </c>
      <c r="B39" s="73" t="s">
        <v>280</v>
      </c>
      <c r="C39" s="4" t="s">
        <v>189</v>
      </c>
      <c r="D39" s="299" t="s">
        <v>736</v>
      </c>
      <c r="E39" s="4">
        <v>27.5</v>
      </c>
      <c r="F39" s="4">
        <v>13.414634146341465</v>
      </c>
      <c r="G39" s="47">
        <f t="shared" si="0"/>
        <v>279.79428983742076</v>
      </c>
      <c r="H39" s="4"/>
    </row>
    <row r="40" spans="1:8">
      <c r="A40" s="4">
        <v>36</v>
      </c>
      <c r="B40" s="66" t="s">
        <v>260</v>
      </c>
      <c r="C40" s="4" t="s">
        <v>120</v>
      </c>
      <c r="D40" s="299" t="s">
        <v>722</v>
      </c>
      <c r="E40" s="4">
        <v>40.200000000000003</v>
      </c>
      <c r="F40" s="4">
        <v>18.902439024390244</v>
      </c>
      <c r="G40" s="47">
        <f t="shared" si="0"/>
        <v>744.90145143335394</v>
      </c>
      <c r="H40" s="4"/>
    </row>
    <row r="41" spans="1:8">
      <c r="A41" s="4">
        <v>37</v>
      </c>
      <c r="B41" s="69" t="s">
        <v>230</v>
      </c>
      <c r="C41" s="46" t="s">
        <v>88</v>
      </c>
      <c r="D41" s="299" t="s">
        <v>232</v>
      </c>
      <c r="E41" s="4">
        <v>39.700000000000003</v>
      </c>
      <c r="F41" s="4">
        <v>17.682926829268293</v>
      </c>
      <c r="G41" s="47">
        <f t="shared" si="0"/>
        <v>721.24123195845789</v>
      </c>
      <c r="H41" s="4"/>
    </row>
    <row r="42" spans="1:8">
      <c r="A42" s="340" t="s">
        <v>463</v>
      </c>
      <c r="B42" s="340"/>
      <c r="C42" s="340"/>
      <c r="D42" s="340"/>
      <c r="E42" s="340"/>
      <c r="F42" s="340"/>
      <c r="G42" s="289"/>
    </row>
    <row r="44" spans="1:8">
      <c r="C44" s="1" t="s">
        <v>781</v>
      </c>
      <c r="D44" s="1">
        <f>COUNTIF(D5:D41, D41)</f>
        <v>8</v>
      </c>
      <c r="E44" s="329">
        <v>0.216</v>
      </c>
    </row>
  </sheetData>
  <autoFilter ref="A4:H42"/>
  <mergeCells count="10">
    <mergeCell ref="Y16:AB16"/>
    <mergeCell ref="Y17:AB17"/>
    <mergeCell ref="Y18:AB18"/>
    <mergeCell ref="A42:F42"/>
    <mergeCell ref="E1:H1"/>
    <mergeCell ref="J1:N1"/>
    <mergeCell ref="Z1:AB1"/>
    <mergeCell ref="E2:H2"/>
    <mergeCell ref="Y14:AB14"/>
    <mergeCell ref="Y15:AB1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J55"/>
  <sheetViews>
    <sheetView workbookViewId="0">
      <selection activeCell="P5" sqref="P5"/>
    </sheetView>
  </sheetViews>
  <sheetFormatPr defaultRowHeight="15"/>
  <cols>
    <col min="1" max="2" width="9.140625" style="1"/>
    <col min="3" max="3" width="25" style="1" bestFit="1" customWidth="1"/>
    <col min="4" max="4" width="23.42578125" style="1" bestFit="1" customWidth="1"/>
    <col min="5" max="16384" width="9.140625" style="1"/>
  </cols>
  <sheetData>
    <row r="1" spans="1:36">
      <c r="A1" s="2" t="s">
        <v>700</v>
      </c>
      <c r="B1" s="2"/>
      <c r="C1" s="2"/>
      <c r="D1" s="2"/>
      <c r="E1" s="338" t="s">
        <v>693</v>
      </c>
      <c r="F1" s="338"/>
      <c r="G1" s="338"/>
      <c r="H1" s="338"/>
      <c r="J1" s="338" t="s">
        <v>701</v>
      </c>
      <c r="K1" s="338"/>
      <c r="L1" s="338"/>
      <c r="M1" s="338"/>
      <c r="N1" s="338"/>
      <c r="O1" s="286"/>
      <c r="R1" s="2" t="s">
        <v>702</v>
      </c>
      <c r="Z1" s="338" t="s">
        <v>438</v>
      </c>
      <c r="AA1" s="338"/>
      <c r="AB1" s="338"/>
    </row>
    <row r="2" spans="1:36">
      <c r="A2" s="2" t="s">
        <v>703</v>
      </c>
      <c r="B2" s="2"/>
      <c r="E2" s="338" t="s">
        <v>440</v>
      </c>
      <c r="F2" s="338"/>
      <c r="G2" s="338"/>
      <c r="H2" s="338"/>
    </row>
    <row r="3" spans="1:36">
      <c r="Y3" s="1">
        <v>2</v>
      </c>
      <c r="AB3" s="1">
        <v>3</v>
      </c>
    </row>
    <row r="4" spans="1:36">
      <c r="A4" s="27" t="s">
        <v>441</v>
      </c>
      <c r="B4" s="27" t="s">
        <v>442</v>
      </c>
      <c r="C4" s="3" t="s">
        <v>224</v>
      </c>
      <c r="D4" s="3" t="s">
        <v>225</v>
      </c>
      <c r="E4" s="27" t="s">
        <v>443</v>
      </c>
      <c r="F4" s="27" t="s">
        <v>444</v>
      </c>
      <c r="G4" s="27" t="s">
        <v>683</v>
      </c>
      <c r="H4" s="27" t="s">
        <v>580</v>
      </c>
      <c r="I4" s="1" t="s">
        <v>770</v>
      </c>
      <c r="J4" s="3" t="s">
        <v>441</v>
      </c>
      <c r="K4" s="3" t="s">
        <v>442</v>
      </c>
      <c r="L4" s="26" t="s">
        <v>224</v>
      </c>
      <c r="M4" s="3" t="s">
        <v>443</v>
      </c>
      <c r="N4" s="3" t="s">
        <v>444</v>
      </c>
      <c r="O4" s="3" t="s">
        <v>651</v>
      </c>
      <c r="P4" s="26" t="s">
        <v>580</v>
      </c>
      <c r="R4" s="45" t="s">
        <v>441</v>
      </c>
      <c r="S4" s="45" t="s">
        <v>442</v>
      </c>
      <c r="T4" s="55" t="s">
        <v>224</v>
      </c>
      <c r="U4" s="45" t="s">
        <v>443</v>
      </c>
      <c r="V4" s="45" t="s">
        <v>444</v>
      </c>
      <c r="W4" s="55" t="s">
        <v>448</v>
      </c>
      <c r="Y4" s="9"/>
      <c r="Z4" s="10"/>
      <c r="AA4" s="10"/>
      <c r="AB4" s="11"/>
      <c r="AF4" s="286"/>
      <c r="AG4" s="9"/>
      <c r="AH4" s="9"/>
      <c r="AI4" s="9"/>
      <c r="AJ4" s="20"/>
    </row>
    <row r="5" spans="1:36">
      <c r="A5" s="4">
        <v>1</v>
      </c>
      <c r="B5" s="66" t="s">
        <v>229</v>
      </c>
      <c r="C5" s="114" t="s">
        <v>681</v>
      </c>
      <c r="D5" s="97" t="s">
        <v>720</v>
      </c>
      <c r="E5" s="4">
        <v>31.9</v>
      </c>
      <c r="F5" s="4">
        <v>15.853658536585368</v>
      </c>
      <c r="G5" s="47">
        <f>0.0543*E5^2.579</f>
        <v>410.27589466409023</v>
      </c>
      <c r="H5" s="5">
        <f>SUM(G5:G30)/1000/0.025</f>
        <v>990.43010938596888</v>
      </c>
      <c r="I5" s="75">
        <f>AVERAGE(F5:F30)</f>
        <v>19.172138836772984</v>
      </c>
      <c r="J5" s="4">
        <v>27</v>
      </c>
      <c r="K5" s="66" t="s">
        <v>242</v>
      </c>
      <c r="L5" s="4" t="s">
        <v>98</v>
      </c>
      <c r="M5" s="4">
        <v>12.5</v>
      </c>
      <c r="N5" s="4">
        <v>3.8109756097560976</v>
      </c>
      <c r="O5" s="47">
        <f>0.0543*M5^2.579</f>
        <v>36.621046701801284</v>
      </c>
      <c r="P5" s="5">
        <f>O5/1000/0.0625</f>
        <v>0.5859367472288205</v>
      </c>
      <c r="R5" s="7">
        <v>0</v>
      </c>
      <c r="S5" s="7">
        <v>0</v>
      </c>
      <c r="T5" s="7">
        <v>0</v>
      </c>
      <c r="U5" s="7">
        <v>0</v>
      </c>
      <c r="V5" s="56">
        <v>0</v>
      </c>
      <c r="W5" s="7">
        <v>0</v>
      </c>
      <c r="Y5" s="9"/>
      <c r="Z5" s="12"/>
      <c r="AA5" s="12"/>
      <c r="AB5" s="13"/>
      <c r="AF5" s="286"/>
      <c r="AG5" s="9"/>
      <c r="AH5" s="9"/>
      <c r="AI5" s="9"/>
      <c r="AJ5" s="20"/>
    </row>
    <row r="6" spans="1:36">
      <c r="A6" s="4">
        <v>2</v>
      </c>
      <c r="B6" s="69" t="s">
        <v>230</v>
      </c>
      <c r="C6" s="46" t="s">
        <v>88</v>
      </c>
      <c r="D6" s="299" t="s">
        <v>232</v>
      </c>
      <c r="E6" s="4">
        <v>72</v>
      </c>
      <c r="F6" s="4">
        <v>22.256097560975611</v>
      </c>
      <c r="G6" s="47">
        <f t="shared" ref="G6:G30" si="0">0.0543*E6^2.579</f>
        <v>3348.5773698281932</v>
      </c>
      <c r="H6" s="5"/>
      <c r="J6" s="24" t="s">
        <v>459</v>
      </c>
      <c r="R6" s="24" t="s">
        <v>449</v>
      </c>
      <c r="Y6" s="9"/>
      <c r="Z6" s="12"/>
      <c r="AA6" s="12"/>
      <c r="AB6" s="14"/>
      <c r="AG6" s="9"/>
      <c r="AH6" s="9"/>
      <c r="AI6" s="9"/>
      <c r="AJ6" s="9"/>
    </row>
    <row r="7" spans="1:36">
      <c r="A7" s="4">
        <v>3</v>
      </c>
      <c r="B7" s="69" t="s">
        <v>264</v>
      </c>
      <c r="C7" s="4" t="s">
        <v>191</v>
      </c>
      <c r="D7" s="299" t="s">
        <v>719</v>
      </c>
      <c r="E7" s="4">
        <v>27.8</v>
      </c>
      <c r="F7" s="4">
        <v>13.109756097560977</v>
      </c>
      <c r="G7" s="47">
        <f t="shared" si="0"/>
        <v>287.73411598588154</v>
      </c>
      <c r="H7" s="5"/>
      <c r="Y7" s="9"/>
      <c r="Z7" s="12"/>
      <c r="AA7" s="15"/>
      <c r="AB7" s="16"/>
      <c r="AC7" s="18"/>
      <c r="AG7" s="9"/>
      <c r="AH7" s="9"/>
      <c r="AI7" s="9"/>
      <c r="AJ7" s="9"/>
    </row>
    <row r="8" spans="1:36">
      <c r="A8" s="4">
        <v>4</v>
      </c>
      <c r="B8" s="66" t="s">
        <v>229</v>
      </c>
      <c r="C8" s="114" t="s">
        <v>681</v>
      </c>
      <c r="D8" s="97" t="s">
        <v>720</v>
      </c>
      <c r="E8" s="4">
        <v>57.7</v>
      </c>
      <c r="F8" s="4">
        <v>19.512195121951219</v>
      </c>
      <c r="G8" s="47">
        <f t="shared" si="0"/>
        <v>1891.7870651860264</v>
      </c>
      <c r="H8" s="5"/>
      <c r="R8" s="27" t="s">
        <v>442</v>
      </c>
      <c r="S8" s="3" t="s">
        <v>224</v>
      </c>
      <c r="T8" s="27" t="s">
        <v>450</v>
      </c>
      <c r="U8" s="27" t="s">
        <v>448</v>
      </c>
      <c r="Y8" s="9"/>
      <c r="Z8" s="12">
        <v>1</v>
      </c>
      <c r="AA8" s="9"/>
      <c r="AB8" s="14"/>
      <c r="AG8" s="9"/>
      <c r="AH8" s="9"/>
      <c r="AI8" s="9"/>
      <c r="AJ8" s="9"/>
    </row>
    <row r="9" spans="1:36">
      <c r="A9" s="4">
        <v>5</v>
      </c>
      <c r="B9" s="73" t="s">
        <v>272</v>
      </c>
      <c r="C9" s="4" t="s">
        <v>192</v>
      </c>
      <c r="D9" s="300" t="s">
        <v>733</v>
      </c>
      <c r="E9" s="4">
        <v>26.9</v>
      </c>
      <c r="F9" s="4">
        <v>15.24390243902439</v>
      </c>
      <c r="G9" s="47">
        <f t="shared" si="0"/>
        <v>264.3205684965356</v>
      </c>
      <c r="H9" s="5"/>
      <c r="R9" s="69" t="s">
        <v>295</v>
      </c>
      <c r="S9" s="4" t="s">
        <v>170</v>
      </c>
      <c r="T9" s="4">
        <v>1</v>
      </c>
      <c r="U9" s="4"/>
      <c r="Y9" s="9"/>
      <c r="Z9" s="12"/>
      <c r="AA9" s="9"/>
      <c r="AB9" s="14"/>
      <c r="AG9" s="9"/>
      <c r="AH9" s="9"/>
      <c r="AI9" s="9"/>
      <c r="AJ9" s="9"/>
    </row>
    <row r="10" spans="1:36">
      <c r="A10" s="4">
        <v>6</v>
      </c>
      <c r="B10" s="73" t="s">
        <v>272</v>
      </c>
      <c r="C10" s="4" t="s">
        <v>192</v>
      </c>
      <c r="D10" s="300" t="s">
        <v>733</v>
      </c>
      <c r="E10" s="4">
        <v>56</v>
      </c>
      <c r="F10" s="4">
        <v>28.04878048780488</v>
      </c>
      <c r="G10" s="47">
        <f t="shared" si="0"/>
        <v>1751.3653423709684</v>
      </c>
      <c r="H10" s="5"/>
      <c r="R10" s="73" t="s">
        <v>704</v>
      </c>
      <c r="S10" s="4" t="s">
        <v>426</v>
      </c>
      <c r="T10" s="4">
        <v>2</v>
      </c>
      <c r="U10" s="4"/>
      <c r="Y10" s="9"/>
      <c r="Z10" s="12"/>
      <c r="AA10" s="9"/>
      <c r="AB10" s="14"/>
      <c r="AG10" s="9"/>
      <c r="AH10" s="9"/>
      <c r="AI10" s="9"/>
      <c r="AJ10" s="9"/>
    </row>
    <row r="11" spans="1:36">
      <c r="A11" s="4">
        <v>7</v>
      </c>
      <c r="B11" s="73" t="s">
        <v>248</v>
      </c>
      <c r="C11" s="4" t="s">
        <v>181</v>
      </c>
      <c r="D11" s="299" t="s">
        <v>730</v>
      </c>
      <c r="E11" s="4">
        <v>37.200000000000003</v>
      </c>
      <c r="F11" s="4">
        <v>27.439024390243905</v>
      </c>
      <c r="G11" s="47">
        <f t="shared" si="0"/>
        <v>609.85989063196007</v>
      </c>
      <c r="H11" s="5"/>
      <c r="R11" s="66" t="s">
        <v>229</v>
      </c>
      <c r="S11" s="114" t="s">
        <v>681</v>
      </c>
      <c r="T11" s="4">
        <v>4</v>
      </c>
      <c r="U11" s="4"/>
      <c r="Y11" s="9">
        <v>4</v>
      </c>
      <c r="Z11" s="15"/>
      <c r="AA11" s="17"/>
      <c r="AB11" s="16"/>
      <c r="AC11" s="18">
        <v>5</v>
      </c>
      <c r="AF11" s="286"/>
      <c r="AG11" s="9"/>
      <c r="AH11" s="9"/>
      <c r="AI11" s="9"/>
      <c r="AJ11" s="20"/>
    </row>
    <row r="12" spans="1:36">
      <c r="A12" s="4">
        <v>8</v>
      </c>
      <c r="B12" s="66" t="s">
        <v>260</v>
      </c>
      <c r="C12" s="4" t="s">
        <v>193</v>
      </c>
      <c r="D12" s="299" t="s">
        <v>722</v>
      </c>
      <c r="E12" s="4">
        <v>49.2</v>
      </c>
      <c r="F12" s="4">
        <v>17.073170731707318</v>
      </c>
      <c r="G12" s="47">
        <f t="shared" si="0"/>
        <v>1254.2318631686751</v>
      </c>
      <c r="H12" s="5"/>
      <c r="R12" s="73" t="s">
        <v>705</v>
      </c>
      <c r="S12" s="4" t="s">
        <v>428</v>
      </c>
      <c r="T12" s="4">
        <v>3</v>
      </c>
      <c r="U12" s="4"/>
      <c r="AF12" s="286"/>
      <c r="AG12" s="9"/>
      <c r="AH12" s="9"/>
      <c r="AI12" s="9"/>
      <c r="AJ12" s="20"/>
    </row>
    <row r="13" spans="1:36">
      <c r="A13" s="4">
        <v>9</v>
      </c>
      <c r="B13" s="73" t="s">
        <v>248</v>
      </c>
      <c r="C13" s="4" t="s">
        <v>181</v>
      </c>
      <c r="D13" s="299" t="s">
        <v>730</v>
      </c>
      <c r="E13" s="4">
        <v>28.5</v>
      </c>
      <c r="F13" s="4">
        <v>12.195121951219512</v>
      </c>
      <c r="G13" s="47">
        <f t="shared" si="0"/>
        <v>306.79248948859998</v>
      </c>
      <c r="H13" s="5"/>
      <c r="R13" s="73" t="s">
        <v>339</v>
      </c>
      <c r="S13" s="4" t="s">
        <v>429</v>
      </c>
      <c r="T13" s="4">
        <v>1</v>
      </c>
      <c r="U13" s="4"/>
      <c r="AG13" s="9"/>
      <c r="AH13" s="9"/>
      <c r="AI13" s="9"/>
      <c r="AJ13" s="9"/>
    </row>
    <row r="14" spans="1:36">
      <c r="A14" s="4">
        <v>10</v>
      </c>
      <c r="B14" s="73" t="s">
        <v>248</v>
      </c>
      <c r="C14" s="4" t="s">
        <v>181</v>
      </c>
      <c r="D14" s="299" t="s">
        <v>730</v>
      </c>
      <c r="E14" s="4">
        <v>51.4</v>
      </c>
      <c r="F14" s="4">
        <v>21.951219512195124</v>
      </c>
      <c r="G14" s="47">
        <f t="shared" si="0"/>
        <v>1404.0213552119176</v>
      </c>
      <c r="H14" s="5"/>
      <c r="R14" s="66" t="s">
        <v>242</v>
      </c>
      <c r="S14" s="4" t="s">
        <v>243</v>
      </c>
      <c r="T14" s="4">
        <v>1</v>
      </c>
      <c r="U14" s="4"/>
      <c r="Y14" s="338" t="s">
        <v>706</v>
      </c>
      <c r="Z14" s="338"/>
      <c r="AA14" s="338"/>
      <c r="AB14" s="338"/>
    </row>
    <row r="15" spans="1:36">
      <c r="A15" s="4">
        <v>11</v>
      </c>
      <c r="B15" s="66" t="s">
        <v>294</v>
      </c>
      <c r="C15" s="4" t="s">
        <v>182</v>
      </c>
      <c r="D15" s="299" t="s">
        <v>241</v>
      </c>
      <c r="E15" s="4">
        <v>37.700000000000003</v>
      </c>
      <c r="F15" s="4">
        <v>11.890243902439025</v>
      </c>
      <c r="G15" s="47">
        <f t="shared" si="0"/>
        <v>631.22497204280126</v>
      </c>
      <c r="H15" s="5"/>
      <c r="N15" s="29"/>
      <c r="O15" s="29"/>
      <c r="P15" s="29"/>
      <c r="Q15" s="29"/>
      <c r="R15" s="69" t="s">
        <v>253</v>
      </c>
      <c r="S15" s="4" t="s">
        <v>410</v>
      </c>
      <c r="T15" s="4">
        <v>4</v>
      </c>
      <c r="U15" s="4"/>
      <c r="Y15" s="338" t="s">
        <v>707</v>
      </c>
      <c r="Z15" s="338"/>
      <c r="AA15" s="338"/>
      <c r="AB15" s="338"/>
    </row>
    <row r="16" spans="1:36">
      <c r="A16" s="4">
        <v>12</v>
      </c>
      <c r="B16" s="69" t="s">
        <v>230</v>
      </c>
      <c r="C16" s="46" t="s">
        <v>88</v>
      </c>
      <c r="D16" s="299" t="s">
        <v>232</v>
      </c>
      <c r="E16" s="4">
        <v>28.5</v>
      </c>
      <c r="F16" s="4">
        <v>21.036585365853661</v>
      </c>
      <c r="G16" s="47">
        <f t="shared" si="0"/>
        <v>306.79248948859998</v>
      </c>
      <c r="H16" s="5"/>
      <c r="N16" s="36"/>
      <c r="O16" s="36"/>
      <c r="P16" s="36"/>
      <c r="Q16" s="36"/>
      <c r="R16" s="73" t="s">
        <v>633</v>
      </c>
      <c r="S16" s="4" t="s">
        <v>430</v>
      </c>
      <c r="T16" s="4">
        <v>2</v>
      </c>
      <c r="U16" s="4"/>
      <c r="Y16" s="338" t="s">
        <v>708</v>
      </c>
      <c r="Z16" s="338"/>
      <c r="AA16" s="338"/>
      <c r="AB16" s="338"/>
    </row>
    <row r="17" spans="1:29">
      <c r="A17" s="4">
        <v>13</v>
      </c>
      <c r="B17" s="73" t="s">
        <v>274</v>
      </c>
      <c r="C17" s="4" t="s">
        <v>195</v>
      </c>
      <c r="D17" s="299" t="s">
        <v>735</v>
      </c>
      <c r="E17" s="4">
        <v>52.2</v>
      </c>
      <c r="F17" s="4">
        <v>15.853658536585368</v>
      </c>
      <c r="G17" s="47">
        <f t="shared" si="0"/>
        <v>1461.0734763042051</v>
      </c>
      <c r="H17" s="5"/>
      <c r="N17" s="36"/>
      <c r="O17" s="36"/>
      <c r="P17" s="36"/>
      <c r="Q17" s="36"/>
      <c r="R17" s="66" t="s">
        <v>265</v>
      </c>
      <c r="S17" s="4" t="s">
        <v>169</v>
      </c>
      <c r="T17" s="4">
        <v>1</v>
      </c>
      <c r="U17" s="4"/>
      <c r="Y17" s="338" t="s">
        <v>709</v>
      </c>
      <c r="Z17" s="338"/>
      <c r="AA17" s="338"/>
      <c r="AB17" s="338"/>
      <c r="AC17" s="1" t="s">
        <v>481</v>
      </c>
    </row>
    <row r="18" spans="1:29">
      <c r="A18" s="4">
        <v>14</v>
      </c>
      <c r="B18" s="66" t="s">
        <v>242</v>
      </c>
      <c r="C18" s="4" t="s">
        <v>98</v>
      </c>
      <c r="D18" s="299" t="s">
        <v>244</v>
      </c>
      <c r="E18" s="4">
        <v>20.9</v>
      </c>
      <c r="F18" s="4">
        <v>15.548780487804878</v>
      </c>
      <c r="G18" s="47">
        <f t="shared" si="0"/>
        <v>137.86597656538487</v>
      </c>
      <c r="H18" s="5"/>
      <c r="N18" s="36"/>
      <c r="O18" s="36"/>
      <c r="P18" s="36"/>
      <c r="Q18" s="36"/>
      <c r="R18" s="4" t="s">
        <v>431</v>
      </c>
      <c r="S18" s="4"/>
      <c r="T18" s="4">
        <v>1</v>
      </c>
      <c r="U18" s="6" t="s">
        <v>432</v>
      </c>
      <c r="Y18" s="338" t="s">
        <v>710</v>
      </c>
      <c r="Z18" s="338"/>
      <c r="AA18" s="338"/>
      <c r="AB18" s="338"/>
    </row>
    <row r="19" spans="1:29">
      <c r="A19" s="4">
        <v>15</v>
      </c>
      <c r="B19" s="73" t="s">
        <v>248</v>
      </c>
      <c r="C19" s="4" t="s">
        <v>181</v>
      </c>
      <c r="D19" s="299" t="s">
        <v>730</v>
      </c>
      <c r="E19" s="4">
        <v>21.5</v>
      </c>
      <c r="F19" s="4">
        <v>13.414634146341465</v>
      </c>
      <c r="G19" s="47">
        <f t="shared" si="0"/>
        <v>148.30596452697131</v>
      </c>
      <c r="H19" s="5"/>
      <c r="N19" s="36"/>
      <c r="O19" s="36"/>
      <c r="P19" s="36"/>
      <c r="Q19" s="36"/>
      <c r="R19" s="24" t="s">
        <v>451</v>
      </c>
    </row>
    <row r="20" spans="1:29">
      <c r="A20" s="4">
        <v>16</v>
      </c>
      <c r="B20" s="69" t="s">
        <v>230</v>
      </c>
      <c r="C20" s="46" t="s">
        <v>88</v>
      </c>
      <c r="D20" s="299" t="s">
        <v>232</v>
      </c>
      <c r="E20" s="4">
        <v>61.7</v>
      </c>
      <c r="F20" s="4">
        <v>24.085365853658537</v>
      </c>
      <c r="G20" s="47">
        <f t="shared" si="0"/>
        <v>2248.771184479207</v>
      </c>
      <c r="H20" s="5"/>
      <c r="N20" s="36"/>
      <c r="O20" s="36"/>
      <c r="P20" s="36"/>
      <c r="Q20" s="36"/>
      <c r="R20" s="24" t="s">
        <v>452</v>
      </c>
    </row>
    <row r="21" spans="1:29">
      <c r="A21" s="4">
        <v>17</v>
      </c>
      <c r="B21" s="73" t="s">
        <v>289</v>
      </c>
      <c r="C21" s="4" t="s">
        <v>196</v>
      </c>
      <c r="D21" s="299" t="s">
        <v>241</v>
      </c>
      <c r="E21" s="4">
        <v>20.5</v>
      </c>
      <c r="F21" s="4">
        <v>16.158536585365855</v>
      </c>
      <c r="G21" s="47">
        <f t="shared" si="0"/>
        <v>131.16351216393647</v>
      </c>
      <c r="H21" s="5"/>
      <c r="N21" s="36"/>
      <c r="O21" s="36"/>
      <c r="P21" s="36"/>
      <c r="Q21" s="36"/>
    </row>
    <row r="22" spans="1:29">
      <c r="A22" s="4">
        <v>18</v>
      </c>
      <c r="B22" s="66" t="s">
        <v>276</v>
      </c>
      <c r="C22" s="114" t="s">
        <v>681</v>
      </c>
      <c r="D22" s="97" t="s">
        <v>255</v>
      </c>
      <c r="E22" s="4">
        <v>22.7</v>
      </c>
      <c r="F22" s="4">
        <v>14.329268292682928</v>
      </c>
      <c r="G22" s="47">
        <f t="shared" si="0"/>
        <v>170.60451296760448</v>
      </c>
      <c r="H22" s="5"/>
      <c r="N22" s="36"/>
      <c r="O22" s="36"/>
      <c r="P22" s="36"/>
      <c r="Q22" s="74"/>
    </row>
    <row r="23" spans="1:29">
      <c r="A23" s="4">
        <v>19</v>
      </c>
      <c r="B23" s="73" t="s">
        <v>284</v>
      </c>
      <c r="C23" s="4" t="s">
        <v>197</v>
      </c>
      <c r="D23" s="301" t="s">
        <v>732</v>
      </c>
      <c r="E23" s="4">
        <v>37.1</v>
      </c>
      <c r="F23" s="4">
        <v>21.951219512195124</v>
      </c>
      <c r="G23" s="47">
        <f t="shared" si="0"/>
        <v>605.64082515509085</v>
      </c>
      <c r="H23" s="5"/>
      <c r="N23" s="36"/>
      <c r="O23" s="36"/>
      <c r="P23" s="36"/>
      <c r="Q23" s="36"/>
    </row>
    <row r="24" spans="1:29">
      <c r="A24" s="4">
        <v>20</v>
      </c>
      <c r="B24" s="73" t="s">
        <v>286</v>
      </c>
      <c r="C24" s="4" t="s">
        <v>187</v>
      </c>
      <c r="D24" s="299" t="s">
        <v>731</v>
      </c>
      <c r="E24" s="4">
        <v>55.5</v>
      </c>
      <c r="F24" s="4">
        <v>13.719512195121952</v>
      </c>
      <c r="G24" s="47">
        <f t="shared" si="0"/>
        <v>1711.3208161997013</v>
      </c>
      <c r="H24" s="5"/>
      <c r="N24" s="36"/>
      <c r="O24" s="36"/>
      <c r="P24" s="36"/>
      <c r="Q24" s="36"/>
    </row>
    <row r="25" spans="1:29">
      <c r="A25" s="4">
        <v>21</v>
      </c>
      <c r="B25" s="73" t="s">
        <v>286</v>
      </c>
      <c r="C25" s="4" t="s">
        <v>187</v>
      </c>
      <c r="D25" s="299" t="s">
        <v>731</v>
      </c>
      <c r="E25" s="4">
        <v>40.200000000000003</v>
      </c>
      <c r="F25" s="4">
        <v>15.548780487804878</v>
      </c>
      <c r="G25" s="47">
        <f t="shared" si="0"/>
        <v>744.90145143335394</v>
      </c>
      <c r="H25" s="5"/>
      <c r="N25" s="36"/>
      <c r="O25" s="36"/>
      <c r="P25" s="36"/>
      <c r="Q25" s="36"/>
    </row>
    <row r="26" spans="1:29">
      <c r="A26" s="4">
        <v>22</v>
      </c>
      <c r="B26" s="69" t="s">
        <v>230</v>
      </c>
      <c r="C26" s="46" t="s">
        <v>88</v>
      </c>
      <c r="D26" s="299" t="s">
        <v>232</v>
      </c>
      <c r="E26" s="4">
        <v>37.700000000000003</v>
      </c>
      <c r="F26" s="4">
        <v>28.963414634146343</v>
      </c>
      <c r="G26" s="47">
        <f t="shared" si="0"/>
        <v>631.22497204280126</v>
      </c>
      <c r="H26" s="5"/>
    </row>
    <row r="27" spans="1:29">
      <c r="A27" s="4">
        <v>23</v>
      </c>
      <c r="B27" s="66" t="s">
        <v>258</v>
      </c>
      <c r="C27" s="4" t="s">
        <v>119</v>
      </c>
      <c r="D27" s="299" t="s">
        <v>739</v>
      </c>
      <c r="E27" s="4">
        <v>46.2</v>
      </c>
      <c r="F27" s="4">
        <v>29.878048780487806</v>
      </c>
      <c r="G27" s="47">
        <f t="shared" si="0"/>
        <v>1066.3787557762241</v>
      </c>
      <c r="H27" s="5"/>
    </row>
    <row r="28" spans="1:29">
      <c r="A28" s="4">
        <v>24</v>
      </c>
      <c r="B28" s="69" t="s">
        <v>230</v>
      </c>
      <c r="C28" s="46" t="s">
        <v>88</v>
      </c>
      <c r="D28" s="299" t="s">
        <v>232</v>
      </c>
      <c r="E28" s="4">
        <v>45.8</v>
      </c>
      <c r="F28" s="4">
        <v>26.219512195121954</v>
      </c>
      <c r="G28" s="47">
        <f t="shared" si="0"/>
        <v>1042.7300689413703</v>
      </c>
      <c r="H28" s="5"/>
    </row>
    <row r="29" spans="1:29">
      <c r="A29" s="4">
        <v>25</v>
      </c>
      <c r="B29" s="73" t="s">
        <v>248</v>
      </c>
      <c r="C29" s="4" t="s">
        <v>181</v>
      </c>
      <c r="D29" s="299" t="s">
        <v>730</v>
      </c>
      <c r="E29" s="4">
        <v>59.2</v>
      </c>
      <c r="F29" s="4">
        <v>22.560975609756099</v>
      </c>
      <c r="G29" s="47">
        <f t="shared" si="0"/>
        <v>2021.2382638493762</v>
      </c>
      <c r="H29" s="5"/>
    </row>
    <row r="30" spans="1:29">
      <c r="A30" s="4">
        <v>26</v>
      </c>
      <c r="B30" s="66" t="s">
        <v>261</v>
      </c>
      <c r="C30" s="114" t="s">
        <v>95</v>
      </c>
      <c r="D30" s="299" t="s">
        <v>723</v>
      </c>
      <c r="E30" s="4">
        <v>22.8</v>
      </c>
      <c r="F30" s="4">
        <v>14.634146341463415</v>
      </c>
      <c r="G30" s="47">
        <f t="shared" si="0"/>
        <v>172.54953767974303</v>
      </c>
      <c r="H30" s="5"/>
    </row>
    <row r="31" spans="1:29">
      <c r="A31" s="340" t="s">
        <v>463</v>
      </c>
      <c r="B31" s="340"/>
      <c r="C31" s="340"/>
      <c r="D31" s="340"/>
      <c r="E31" s="340"/>
      <c r="F31" s="340"/>
      <c r="G31" s="289"/>
      <c r="H31" s="75"/>
    </row>
    <row r="32" spans="1:29">
      <c r="D32" s="1" t="s">
        <v>781</v>
      </c>
      <c r="E32" s="1">
        <f>COUNTIF(D5:D30,D26)</f>
        <v>5</v>
      </c>
      <c r="F32" s="329">
        <v>0.1923</v>
      </c>
      <c r="H32" s="75"/>
    </row>
    <row r="33" spans="8:8">
      <c r="H33" s="75"/>
    </row>
    <row r="34" spans="8:8">
      <c r="H34" s="75"/>
    </row>
    <row r="35" spans="8:8">
      <c r="H35" s="75"/>
    </row>
    <row r="36" spans="8:8">
      <c r="H36" s="75"/>
    </row>
    <row r="37" spans="8:8">
      <c r="H37" s="75"/>
    </row>
    <row r="38" spans="8:8">
      <c r="H38" s="75"/>
    </row>
    <row r="39" spans="8:8">
      <c r="H39" s="75"/>
    </row>
    <row r="40" spans="8:8">
      <c r="H40" s="75"/>
    </row>
    <row r="41" spans="8:8">
      <c r="H41" s="75"/>
    </row>
    <row r="42" spans="8:8">
      <c r="H42" s="75"/>
    </row>
    <row r="43" spans="8:8">
      <c r="H43" s="75"/>
    </row>
    <row r="44" spans="8:8">
      <c r="H44" s="75"/>
    </row>
    <row r="45" spans="8:8">
      <c r="H45" s="75"/>
    </row>
    <row r="46" spans="8:8">
      <c r="H46" s="75"/>
    </row>
    <row r="47" spans="8:8">
      <c r="H47" s="75"/>
    </row>
    <row r="48" spans="8:8">
      <c r="H48" s="75"/>
    </row>
    <row r="49" spans="8:8">
      <c r="H49" s="75"/>
    </row>
    <row r="50" spans="8:8">
      <c r="H50" s="75"/>
    </row>
    <row r="51" spans="8:8">
      <c r="H51" s="75"/>
    </row>
    <row r="52" spans="8:8">
      <c r="H52" s="75"/>
    </row>
    <row r="53" spans="8:8">
      <c r="H53" s="75"/>
    </row>
    <row r="54" spans="8:8">
      <c r="H54" s="75"/>
    </row>
    <row r="55" spans="8:8">
      <c r="H55" s="75"/>
    </row>
  </sheetData>
  <autoFilter ref="A4:H32"/>
  <mergeCells count="10">
    <mergeCell ref="Y16:AB16"/>
    <mergeCell ref="Y17:AB17"/>
    <mergeCell ref="Y18:AB18"/>
    <mergeCell ref="A31:F31"/>
    <mergeCell ref="E1:H1"/>
    <mergeCell ref="J1:N1"/>
    <mergeCell ref="Z1:AB1"/>
    <mergeCell ref="E2:H2"/>
    <mergeCell ref="Y14:AB14"/>
    <mergeCell ref="Y15:AB1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70" zoomScaleNormal="70" workbookViewId="0">
      <selection activeCell="AA11" sqref="AA11"/>
    </sheetView>
  </sheetViews>
  <sheetFormatPr defaultRowHeight="15"/>
  <cols>
    <col min="1" max="1" width="25.85546875" customWidth="1"/>
  </cols>
  <sheetData>
    <row r="1" spans="1:2">
      <c r="A1" t="s">
        <v>812</v>
      </c>
      <c r="B1" s="331">
        <v>3.5000000000000001E-3</v>
      </c>
    </row>
    <row r="2" spans="1:2">
      <c r="A2" t="s">
        <v>813</v>
      </c>
      <c r="B2" s="331">
        <v>3.9E-2</v>
      </c>
    </row>
    <row r="3" spans="1:2">
      <c r="A3" t="s">
        <v>814</v>
      </c>
      <c r="B3" s="331">
        <v>0.76649999999999996</v>
      </c>
    </row>
    <row r="4" spans="1:2">
      <c r="A4" t="s">
        <v>815</v>
      </c>
      <c r="B4" s="331">
        <v>0.08</v>
      </c>
    </row>
    <row r="5" spans="1:2">
      <c r="A5" t="s">
        <v>816</v>
      </c>
      <c r="B5" s="331">
        <v>0.111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Study site Biomass and Carbon</vt:lpstr>
      <vt:lpstr>Info of Taungoo District</vt:lpstr>
      <vt:lpstr>BA &amp; % Teak and Height</vt:lpstr>
      <vt:lpstr>Diameter Distribution (site le)</vt:lpstr>
      <vt:lpstr>Diameter Distribution</vt:lpstr>
      <vt:lpstr>Dominant species (50 x 50)</vt:lpstr>
      <vt:lpstr>50x50 Plots (tree no.) DBH</vt:lpstr>
      <vt:lpstr>Carbon Credit</vt:lpstr>
      <vt:lpstr>25x 25 Plots (tree no. &amp; BA)</vt:lpstr>
      <vt:lpstr>Diameter Distribution (25 x 25)</vt:lpstr>
      <vt:lpstr>Dominant species (25 x 25)</vt:lpstr>
      <vt:lpstr>Confident Interval</vt:lpstr>
      <vt:lpstr>10 x10 Pltos</vt:lpstr>
      <vt:lpstr>Raw Data (No. of Species)</vt:lpstr>
      <vt:lpstr>Kabaung(54-1)</vt:lpstr>
      <vt:lpstr>(54-2)</vt:lpstr>
      <vt:lpstr>(55-3)</vt:lpstr>
      <vt:lpstr>(55-4)</vt:lpstr>
      <vt:lpstr>(60-5)</vt:lpstr>
      <vt:lpstr>(60-6)</vt:lpstr>
      <vt:lpstr>(61-7)</vt:lpstr>
      <vt:lpstr>(61-8)</vt:lpstr>
      <vt:lpstr>(64-9)</vt:lpstr>
      <vt:lpstr>(64-10)</vt:lpstr>
      <vt:lpstr>Yoma UF(13-1)</vt:lpstr>
      <vt:lpstr>Yoma UF(13-2)</vt:lpstr>
      <vt:lpstr>Yoma UF(13-3)</vt:lpstr>
      <vt:lpstr>Yoma UF(13-4)</vt:lpstr>
      <vt:lpstr>Kyaukmasin(18-1)</vt:lpstr>
      <vt:lpstr>Kyaukmasin(19-2)</vt:lpstr>
      <vt:lpstr>Kyaukmasin(20-3)</vt:lpstr>
      <vt:lpstr>Kyaukmasin(14-4)</vt:lpstr>
      <vt:lpstr>Kyaukmasin(12-5)</vt:lpstr>
      <vt:lpstr>Sheet1</vt:lpstr>
      <vt:lpstr>Taungoo Forest 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1416TX</dc:creator>
  <cp:lastModifiedBy>Forest Ecology</cp:lastModifiedBy>
  <cp:revision/>
  <dcterms:created xsi:type="dcterms:W3CDTF">2014-01-03T11:04:53Z</dcterms:created>
  <dcterms:modified xsi:type="dcterms:W3CDTF">2018-04-30T11:52:33Z</dcterms:modified>
</cp:coreProperties>
</file>