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675" documentId="8_{169A1F09-F5D1-0F4D-A8EE-4EC3878C25F5}" xr6:coauthVersionLast="47" xr6:coauthVersionMax="47" xr10:uidLastSave="{25C96FEC-BDE3-804E-BA59-2866A63E3B79}"/>
  <bookViews>
    <workbookView xWindow="1300" yWindow="500" windowWidth="27500" windowHeight="17500" activeTab="6" xr2:uid="{CDC10488-EA6D-B84A-8228-A1D2BAF6B0FA}"/>
  </bookViews>
  <sheets>
    <sheet name="SimpleInterest" sheetId="6" r:id="rId1"/>
    <sheet name="PV@SimpleI" sheetId="7" r:id="rId2"/>
    <sheet name="PV@I-BearingDebt" sheetId="8" r:id="rId3"/>
    <sheet name="CompoundAmt" sheetId="1" r:id="rId4"/>
    <sheet name="CompoundAmt@ChangingRate" sheetId="9" r:id="rId5"/>
    <sheet name="PV@CompoundAmt" sheetId="2" r:id="rId6"/>
    <sheet name="Review" sheetId="3" r:id="rId7"/>
    <sheet name="Cost" sheetId="4" r:id="rId8"/>
    <sheet name="Net Income Using TR&amp;TC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G13" i="3"/>
  <c r="E13" i="3"/>
  <c r="J12" i="3"/>
  <c r="K12" i="3"/>
  <c r="F12" i="3"/>
  <c r="F11" i="3"/>
  <c r="I15" i="2"/>
  <c r="F15" i="2"/>
  <c r="G12" i="2"/>
  <c r="E12" i="2"/>
  <c r="G11" i="2"/>
  <c r="E11" i="2"/>
  <c r="G10" i="2"/>
  <c r="E10" i="2"/>
  <c r="H10" i="2" s="1"/>
  <c r="G8" i="2"/>
  <c r="E8" i="2"/>
  <c r="I6" i="2"/>
  <c r="G5" i="2"/>
  <c r="E5" i="2"/>
  <c r="H26" i="9"/>
  <c r="H23" i="9"/>
  <c r="H20" i="9"/>
  <c r="G26" i="9"/>
  <c r="E26" i="9"/>
  <c r="G25" i="9"/>
  <c r="E25" i="9"/>
  <c r="E23" i="9"/>
  <c r="G22" i="9"/>
  <c r="E22" i="9"/>
  <c r="G21" i="9"/>
  <c r="E21" i="9"/>
  <c r="G20" i="9"/>
  <c r="E20" i="9"/>
  <c r="G19" i="9"/>
  <c r="E19" i="9"/>
  <c r="G18" i="9"/>
  <c r="E18" i="9"/>
  <c r="H17" i="9"/>
  <c r="H16" i="9"/>
  <c r="I11" i="9"/>
  <c r="H15" i="9"/>
  <c r="G15" i="9"/>
  <c r="E15" i="9"/>
  <c r="G14" i="9"/>
  <c r="E14" i="9"/>
  <c r="H12" i="9"/>
  <c r="H11" i="9"/>
  <c r="G11" i="9"/>
  <c r="E11" i="9"/>
  <c r="H10" i="9"/>
  <c r="G10" i="9"/>
  <c r="E10" i="9"/>
  <c r="H9" i="9"/>
  <c r="G9" i="9"/>
  <c r="E9" i="9"/>
  <c r="H7" i="9"/>
  <c r="H6" i="9"/>
  <c r="G6" i="9"/>
  <c r="E6" i="9"/>
  <c r="H5" i="9"/>
  <c r="G5" i="9"/>
  <c r="E5" i="9"/>
  <c r="H27" i="1"/>
  <c r="H28" i="1"/>
  <c r="H29" i="1"/>
  <c r="H30" i="1"/>
  <c r="H31" i="1"/>
  <c r="H32" i="1"/>
  <c r="E24" i="1"/>
  <c r="G24" i="1"/>
  <c r="G23" i="1"/>
  <c r="E23" i="1"/>
  <c r="G22" i="1"/>
  <c r="E22" i="1"/>
  <c r="G21" i="1"/>
  <c r="L21" i="1" s="1"/>
  <c r="E21" i="1"/>
  <c r="I21" i="1" s="1"/>
  <c r="G20" i="1"/>
  <c r="L20" i="1" s="1"/>
  <c r="E20" i="1"/>
  <c r="I20" i="1" s="1"/>
  <c r="G19" i="1"/>
  <c r="L19" i="1" s="1"/>
  <c r="E19" i="1"/>
  <c r="G18" i="1"/>
  <c r="L18" i="1" s="1"/>
  <c r="E18" i="1"/>
  <c r="E15" i="1"/>
  <c r="G15" i="1"/>
  <c r="G12" i="1"/>
  <c r="G13" i="1"/>
  <c r="G11" i="1"/>
  <c r="G10" i="1"/>
  <c r="E13" i="1"/>
  <c r="H13" i="1" s="1"/>
  <c r="E12" i="1"/>
  <c r="E11" i="1"/>
  <c r="E10" i="1"/>
  <c r="E20" i="8"/>
  <c r="G19" i="8"/>
  <c r="E19" i="8"/>
  <c r="E24" i="8"/>
  <c r="E23" i="8"/>
  <c r="G23" i="8" s="1"/>
  <c r="H22" i="8"/>
  <c r="G22" i="8"/>
  <c r="G21" i="8"/>
  <c r="E22" i="8"/>
  <c r="E21" i="8"/>
  <c r="H18" i="8"/>
  <c r="G17" i="8"/>
  <c r="E18" i="8"/>
  <c r="H15" i="8"/>
  <c r="G14" i="8"/>
  <c r="H12" i="8"/>
  <c r="E12" i="8"/>
  <c r="G11" i="8"/>
  <c r="E11" i="8"/>
  <c r="H9" i="8"/>
  <c r="E9" i="8"/>
  <c r="G8" i="8"/>
  <c r="H6" i="8"/>
  <c r="G5" i="8"/>
  <c r="E6" i="8"/>
  <c r="E5" i="8"/>
  <c r="G11" i="7"/>
  <c r="E11" i="7"/>
  <c r="G10" i="7"/>
  <c r="E10" i="7"/>
  <c r="G9" i="7"/>
  <c r="E9" i="7"/>
  <c r="G7" i="7"/>
  <c r="E7" i="7"/>
  <c r="E6" i="7"/>
  <c r="G6" i="7" s="1"/>
  <c r="D20" i="6"/>
  <c r="F20" i="6"/>
  <c r="E20" i="6"/>
  <c r="C19" i="6"/>
  <c r="C18" i="6"/>
  <c r="G17" i="6"/>
  <c r="G16" i="6"/>
  <c r="E16" i="6"/>
  <c r="F15" i="6"/>
  <c r="E15" i="6"/>
  <c r="F14" i="6"/>
  <c r="E14" i="6"/>
  <c r="E13" i="6"/>
  <c r="C12" i="6"/>
  <c r="E12" i="6"/>
  <c r="D11" i="6"/>
  <c r="F10" i="6"/>
  <c r="E10" i="6"/>
  <c r="E8" i="6"/>
  <c r="G7" i="6"/>
  <c r="F7" i="6"/>
  <c r="G12" i="5"/>
  <c r="H11" i="5"/>
  <c r="G8" i="5"/>
  <c r="H9" i="5" s="1"/>
  <c r="F6" i="4"/>
  <c r="H6" i="4" s="1"/>
  <c r="C6" i="4"/>
  <c r="E5" i="4"/>
  <c r="C5" i="4"/>
  <c r="D5" i="4"/>
  <c r="F5" i="4" s="1"/>
  <c r="I7" i="3"/>
  <c r="I6" i="3"/>
  <c r="G6" i="3"/>
  <c r="G5" i="3"/>
  <c r="H33" i="1"/>
  <c r="H34" i="1"/>
  <c r="H35" i="1"/>
  <c r="I12" i="2" l="1"/>
  <c r="I11" i="2"/>
  <c r="I8" i="2"/>
  <c r="H5" i="2"/>
  <c r="C22" i="1"/>
  <c r="H23" i="1"/>
  <c r="I27" i="1"/>
  <c r="C24" i="1"/>
  <c r="K27" i="1"/>
  <c r="H21" i="1"/>
  <c r="J27" i="1"/>
  <c r="H19" i="1"/>
  <c r="I19" i="1"/>
  <c r="H12" i="1"/>
  <c r="H18" i="1"/>
  <c r="I18" i="1"/>
  <c r="H20" i="1"/>
  <c r="C15" i="1"/>
  <c r="H10" i="1"/>
  <c r="H11" i="1"/>
  <c r="H24" i="8"/>
  <c r="I24" i="1" l="1"/>
</calcChain>
</file>

<file path=xl/sharedStrings.xml><?xml version="1.0" encoding="utf-8"?>
<sst xmlns="http://schemas.openxmlformats.org/spreadsheetml/2006/main" count="116" uniqueCount="65">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</sst>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G20"/>
  <sheetViews>
    <sheetView workbookViewId="0">
      <selection activeCell="C18" sqref="C18"/>
    </sheetView>
  </sheetViews>
  <sheetFormatPr baseColWidth="10" defaultRowHeight="16" x14ac:dyDescent="0.2"/>
  <sheetData>
    <row r="2" spans="1:7" x14ac:dyDescent="0.2">
      <c r="A2" t="s">
        <v>35</v>
      </c>
    </row>
    <row r="3" spans="1:7" x14ac:dyDescent="0.2">
      <c r="A3" t="s">
        <v>36</v>
      </c>
    </row>
    <row r="4" spans="1:7" x14ac:dyDescent="0.2">
      <c r="A4" t="s">
        <v>37</v>
      </c>
    </row>
    <row r="6" spans="1:7" x14ac:dyDescent="0.2">
      <c r="C6" t="s">
        <v>3</v>
      </c>
      <c r="D6" t="s">
        <v>2</v>
      </c>
      <c r="E6" t="s">
        <v>4</v>
      </c>
      <c r="F6" t="s">
        <v>38</v>
      </c>
      <c r="G6" t="s">
        <v>0</v>
      </c>
    </row>
    <row r="7" spans="1:7" x14ac:dyDescent="0.2">
      <c r="C7">
        <v>5000</v>
      </c>
      <c r="D7">
        <v>0.04</v>
      </c>
      <c r="E7">
        <v>1</v>
      </c>
      <c r="F7">
        <f>C7*D7*E7</f>
        <v>200</v>
      </c>
      <c r="G7">
        <f>C7*(1+D7*E7)</f>
        <v>5200</v>
      </c>
    </row>
    <row r="8" spans="1:7" x14ac:dyDescent="0.2">
      <c r="C8">
        <v>4000</v>
      </c>
      <c r="D8">
        <v>0.05</v>
      </c>
      <c r="E8">
        <f>F8/(C8*D8)</f>
        <v>0.75</v>
      </c>
      <c r="F8">
        <v>150</v>
      </c>
    </row>
    <row r="10" spans="1:7" x14ac:dyDescent="0.2">
      <c r="A10" t="s">
        <v>39</v>
      </c>
      <c r="B10" t="s">
        <v>33</v>
      </c>
      <c r="C10">
        <v>1100</v>
      </c>
      <c r="D10">
        <v>0.05</v>
      </c>
      <c r="E10">
        <f>5/12</f>
        <v>0.41666666666666669</v>
      </c>
      <c r="F10">
        <f>C10*D10*E10</f>
        <v>22.916666666666668</v>
      </c>
    </row>
    <row r="11" spans="1:7" x14ac:dyDescent="0.2">
      <c r="B11" t="s">
        <v>23</v>
      </c>
      <c r="C11">
        <v>3500</v>
      </c>
      <c r="D11">
        <f>F11/(C11*E11)</f>
        <v>0.04</v>
      </c>
      <c r="E11">
        <v>0.5</v>
      </c>
      <c r="F11">
        <v>70</v>
      </c>
    </row>
    <row r="12" spans="1:7" x14ac:dyDescent="0.2">
      <c r="B12" t="s">
        <v>34</v>
      </c>
      <c r="C12">
        <f>F12/(D12*E12)</f>
        <v>37000.000000000007</v>
      </c>
      <c r="D12">
        <v>0.06</v>
      </c>
      <c r="E12">
        <f>11/12</f>
        <v>0.91666666666666663</v>
      </c>
      <c r="F12">
        <v>2035</v>
      </c>
    </row>
    <row r="13" spans="1:7" x14ac:dyDescent="0.2">
      <c r="B13" t="s">
        <v>13</v>
      </c>
      <c r="C13">
        <v>95000</v>
      </c>
      <c r="D13">
        <v>0.05</v>
      </c>
      <c r="E13">
        <f>F13/(C13*D13)</f>
        <v>0.25</v>
      </c>
      <c r="F13">
        <v>1187.5</v>
      </c>
    </row>
    <row r="14" spans="1:7" x14ac:dyDescent="0.2">
      <c r="B14" t="s">
        <v>40</v>
      </c>
      <c r="C14">
        <v>15000</v>
      </c>
      <c r="D14">
        <v>7.2499999999999995E-2</v>
      </c>
      <c r="E14">
        <f>4/12</f>
        <v>0.33333333333333331</v>
      </c>
      <c r="F14">
        <f>C14*D14*E14</f>
        <v>362.5</v>
      </c>
    </row>
    <row r="15" spans="1:7" x14ac:dyDescent="0.2">
      <c r="B15" t="s">
        <v>41</v>
      </c>
      <c r="C15">
        <v>15000</v>
      </c>
      <c r="D15">
        <v>0.08</v>
      </c>
      <c r="E15">
        <f>4/12</f>
        <v>0.33333333333333331</v>
      </c>
      <c r="F15">
        <f>C15*D15*E15</f>
        <v>400</v>
      </c>
    </row>
    <row r="16" spans="1:7" x14ac:dyDescent="0.2">
      <c r="B16" t="s">
        <v>42</v>
      </c>
      <c r="C16">
        <v>8000</v>
      </c>
      <c r="D16">
        <v>0.125</v>
      </c>
      <c r="E16">
        <f>7/12</f>
        <v>0.58333333333333337</v>
      </c>
      <c r="G16">
        <f>C16*(1+D16*E16)</f>
        <v>8583.3333333333339</v>
      </c>
    </row>
    <row r="17" spans="2:7" x14ac:dyDescent="0.2">
      <c r="B17" t="s">
        <v>43</v>
      </c>
      <c r="C17">
        <v>8000</v>
      </c>
      <c r="D17">
        <v>0.125</v>
      </c>
      <c r="E17">
        <v>0.5</v>
      </c>
      <c r="G17">
        <f>C17*(1+D17*E17)</f>
        <v>8500</v>
      </c>
    </row>
    <row r="18" spans="2:7" x14ac:dyDescent="0.2">
      <c r="B18" t="s">
        <v>44</v>
      </c>
      <c r="C18">
        <f>F18/(D18*E18)</f>
        <v>1297.2972972972973</v>
      </c>
      <c r="D18">
        <v>0.92500000000000004</v>
      </c>
      <c r="E18">
        <v>1</v>
      </c>
      <c r="F18">
        <v>1200</v>
      </c>
    </row>
    <row r="19" spans="2:7" x14ac:dyDescent="0.2">
      <c r="B19" t="s">
        <v>45</v>
      </c>
      <c r="C19">
        <f>F19/(D19*E19)</f>
        <v>15000</v>
      </c>
      <c r="D19">
        <v>0.08</v>
      </c>
      <c r="E19">
        <v>1</v>
      </c>
      <c r="F19">
        <v>1200</v>
      </c>
    </row>
    <row r="20" spans="2:7" x14ac:dyDescent="0.2">
      <c r="B20" t="s">
        <v>46</v>
      </c>
      <c r="C20">
        <v>20000</v>
      </c>
      <c r="D20">
        <f>F20/(C20*E20)</f>
        <v>0.09</v>
      </c>
      <c r="E20">
        <f>10/12</f>
        <v>0.83333333333333337</v>
      </c>
      <c r="F20">
        <f>G20-C20</f>
        <v>1500</v>
      </c>
      <c r="G20">
        <v>21500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1A90-F443-3640-9480-EF2BA312A7C9}">
  <dimension ref="A2:J11"/>
  <sheetViews>
    <sheetView workbookViewId="0">
      <selection activeCell="G6" sqref="G6"/>
    </sheetView>
  </sheetViews>
  <sheetFormatPr baseColWidth="10" defaultRowHeight="16" x14ac:dyDescent="0.2"/>
  <sheetData>
    <row r="2" spans="1:10" x14ac:dyDescent="0.2">
      <c r="A2" t="s">
        <v>47</v>
      </c>
    </row>
    <row r="3" spans="1:10" x14ac:dyDescent="0.2">
      <c r="A3" t="s">
        <v>48</v>
      </c>
      <c r="B3" t="s">
        <v>49</v>
      </c>
    </row>
    <row r="5" spans="1:10" x14ac:dyDescent="0.2">
      <c r="C5" t="s">
        <v>0</v>
      </c>
      <c r="D5" t="s">
        <v>2</v>
      </c>
      <c r="E5" t="s">
        <v>4</v>
      </c>
      <c r="F5" t="s">
        <v>38</v>
      </c>
      <c r="G5" t="s">
        <v>3</v>
      </c>
    </row>
    <row r="6" spans="1:10" x14ac:dyDescent="0.2">
      <c r="C6">
        <v>4000</v>
      </c>
      <c r="D6">
        <v>0.05</v>
      </c>
      <c r="E6" s="2">
        <f>_xlfn.DAYS(I6,J6)/365</f>
        <v>0.61643835616438358</v>
      </c>
      <c r="G6">
        <f>C6/(1+D6*E6)</f>
        <v>3880.3986710963454</v>
      </c>
      <c r="I6" s="4">
        <v>44457</v>
      </c>
      <c r="J6" s="4">
        <v>44232</v>
      </c>
    </row>
    <row r="7" spans="1:10" x14ac:dyDescent="0.2">
      <c r="C7">
        <v>5000</v>
      </c>
      <c r="D7">
        <v>0.08</v>
      </c>
      <c r="E7">
        <f>7/12</f>
        <v>0.58333333333333337</v>
      </c>
      <c r="G7">
        <f>C7/(1+D7*E7)</f>
        <v>4777.0700636942674</v>
      </c>
    </row>
    <row r="9" spans="1:10" x14ac:dyDescent="0.2">
      <c r="A9" t="s">
        <v>50</v>
      </c>
      <c r="B9">
        <v>1</v>
      </c>
      <c r="C9">
        <v>3000</v>
      </c>
      <c r="D9">
        <v>0.12</v>
      </c>
      <c r="E9">
        <f>4/12</f>
        <v>0.33333333333333331</v>
      </c>
      <c r="G9">
        <f>C9/(1+D9*E9)</f>
        <v>2884.6153846153843</v>
      </c>
    </row>
    <row r="10" spans="1:10" x14ac:dyDescent="0.2">
      <c r="B10">
        <v>2</v>
      </c>
      <c r="C10">
        <v>20000</v>
      </c>
      <c r="D10">
        <v>0.08</v>
      </c>
      <c r="E10" s="2">
        <f>_xlfn.DAYS(I10,J10)/365</f>
        <v>0.15342465753424658</v>
      </c>
      <c r="G10">
        <f>C10/(1+D10*E10)</f>
        <v>19757.497022842916</v>
      </c>
      <c r="I10" s="3">
        <v>45606</v>
      </c>
      <c r="J10" s="3">
        <v>45550</v>
      </c>
    </row>
    <row r="11" spans="1:10" x14ac:dyDescent="0.2">
      <c r="B11">
        <v>3</v>
      </c>
      <c r="C11">
        <v>2500</v>
      </c>
      <c r="D11">
        <v>0.15</v>
      </c>
      <c r="E11" s="2">
        <f>_xlfn.DAYS(I11,J11)/365</f>
        <v>0.17808219178082191</v>
      </c>
      <c r="G11">
        <f>C11/(1+D11*E11)</f>
        <v>2434.9566377585056</v>
      </c>
      <c r="I11" s="4">
        <v>42592</v>
      </c>
      <c r="J11" s="4">
        <v>42527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09B0-EE1C-8544-A1EA-835DA9649317}">
  <dimension ref="A2:K24"/>
  <sheetViews>
    <sheetView workbookViewId="0">
      <selection activeCell="D5" sqref="D5"/>
    </sheetView>
  </sheetViews>
  <sheetFormatPr baseColWidth="10" defaultRowHeight="16" x14ac:dyDescent="0.2"/>
  <sheetData>
    <row r="2" spans="1:8" x14ac:dyDescent="0.2">
      <c r="A2" t="s">
        <v>52</v>
      </c>
    </row>
    <row r="4" spans="1:8" x14ac:dyDescent="0.2">
      <c r="C4" t="s">
        <v>3</v>
      </c>
      <c r="D4" t="s">
        <v>2</v>
      </c>
      <c r="E4" t="s">
        <v>4</v>
      </c>
      <c r="F4" t="s">
        <v>38</v>
      </c>
      <c r="G4" t="s">
        <v>51</v>
      </c>
      <c r="H4" t="s">
        <v>12</v>
      </c>
    </row>
    <row r="5" spans="1:8" x14ac:dyDescent="0.2">
      <c r="C5">
        <v>15000</v>
      </c>
      <c r="D5">
        <v>8.5000000000000006E-2</v>
      </c>
      <c r="E5">
        <f>4/12</f>
        <v>0.33333333333333331</v>
      </c>
      <c r="G5">
        <f>C5*(1+D5*E5)</f>
        <v>15425</v>
      </c>
    </row>
    <row r="6" spans="1:8" x14ac:dyDescent="0.2">
      <c r="D6">
        <v>0.06</v>
      </c>
      <c r="E6">
        <f>4/12</f>
        <v>0.33333333333333331</v>
      </c>
      <c r="H6">
        <f>G5/(1+D6*E6)</f>
        <v>15122.549019607843</v>
      </c>
    </row>
    <row r="8" spans="1:8" x14ac:dyDescent="0.2">
      <c r="C8">
        <v>5000</v>
      </c>
      <c r="D8">
        <v>0.2</v>
      </c>
      <c r="E8">
        <v>1</v>
      </c>
      <c r="G8">
        <f>C8*(1+D8*E8)</f>
        <v>6000</v>
      </c>
    </row>
    <row r="9" spans="1:8" x14ac:dyDescent="0.2">
      <c r="D9">
        <v>0.08</v>
      </c>
      <c r="E9">
        <f>5/12</f>
        <v>0.41666666666666669</v>
      </c>
      <c r="H9">
        <f>G8/(1+D9*E9)</f>
        <v>5806.4516129032254</v>
      </c>
    </row>
    <row r="11" spans="1:8" x14ac:dyDescent="0.2">
      <c r="C11">
        <v>12500</v>
      </c>
      <c r="D11">
        <v>0.24</v>
      </c>
      <c r="E11">
        <f>90/365</f>
        <v>0.24657534246575341</v>
      </c>
      <c r="G11">
        <f>C11*(1+D11*E11)</f>
        <v>13239.726027397261</v>
      </c>
    </row>
    <row r="12" spans="1:8" x14ac:dyDescent="0.2">
      <c r="D12">
        <v>0.1</v>
      </c>
      <c r="E12">
        <f>60/365</f>
        <v>0.16438356164383561</v>
      </c>
      <c r="H12">
        <f>G11/(1+D12*E12)</f>
        <v>13025.606469002696</v>
      </c>
    </row>
    <row r="14" spans="1:8" x14ac:dyDescent="0.2">
      <c r="C14">
        <v>850</v>
      </c>
      <c r="D14">
        <v>0.25</v>
      </c>
      <c r="E14">
        <v>1</v>
      </c>
      <c r="G14">
        <f>C14*(1+D14*E14)</f>
        <v>1062.5</v>
      </c>
    </row>
    <row r="15" spans="1:8" x14ac:dyDescent="0.2">
      <c r="D15">
        <v>0.35</v>
      </c>
      <c r="E15">
        <v>1</v>
      </c>
      <c r="H15">
        <f>G14/(1+D15*E15)</f>
        <v>787.03703703703695</v>
      </c>
    </row>
    <row r="17" spans="1:11" x14ac:dyDescent="0.2">
      <c r="A17" t="s">
        <v>53</v>
      </c>
      <c r="B17">
        <v>1</v>
      </c>
      <c r="C17">
        <v>6000</v>
      </c>
      <c r="D17">
        <v>0.06</v>
      </c>
      <c r="E17">
        <v>0.5</v>
      </c>
      <c r="G17">
        <f>C17*(1+D17*E17)</f>
        <v>6180</v>
      </c>
    </row>
    <row r="18" spans="1:11" x14ac:dyDescent="0.2">
      <c r="D18">
        <v>0.05</v>
      </c>
      <c r="E18">
        <f>1/12</f>
        <v>8.3333333333333329E-2</v>
      </c>
      <c r="H18">
        <f>G17/(1+D18*E18)</f>
        <v>6154.3568464730288</v>
      </c>
    </row>
    <row r="19" spans="1:11" x14ac:dyDescent="0.2">
      <c r="B19">
        <v>2</v>
      </c>
      <c r="C19">
        <v>5000</v>
      </c>
      <c r="D19">
        <v>0.15</v>
      </c>
      <c r="E19">
        <f>10/12</f>
        <v>0.83333333333333337</v>
      </c>
      <c r="G19">
        <f>C19*(1+D19*E19)</f>
        <v>5625</v>
      </c>
    </row>
    <row r="20" spans="1:11" x14ac:dyDescent="0.2">
      <c r="E20">
        <f>5/12</f>
        <v>0.41666666666666669</v>
      </c>
      <c r="G20">
        <v>5000</v>
      </c>
    </row>
    <row r="21" spans="1:11" x14ac:dyDescent="0.2">
      <c r="B21">
        <v>3</v>
      </c>
      <c r="C21">
        <v>5500</v>
      </c>
      <c r="D21">
        <v>0.14499999999999999</v>
      </c>
      <c r="E21">
        <f>8/12</f>
        <v>0.66666666666666663</v>
      </c>
      <c r="G21">
        <f>C21*(1+D21*E21)</f>
        <v>6031.666666666667</v>
      </c>
    </row>
    <row r="22" spans="1:11" x14ac:dyDescent="0.2">
      <c r="C22">
        <v>5500</v>
      </c>
      <c r="D22">
        <v>0.2</v>
      </c>
      <c r="E22">
        <f>8/12</f>
        <v>0.66666666666666663</v>
      </c>
      <c r="G22">
        <f>C22*(1+D22*E22)</f>
        <v>6233.333333333333</v>
      </c>
      <c r="H22">
        <f>G22-G21</f>
        <v>201.66666666666606</v>
      </c>
    </row>
    <row r="23" spans="1:11" x14ac:dyDescent="0.2">
      <c r="B23">
        <v>4</v>
      </c>
      <c r="C23">
        <v>20000</v>
      </c>
      <c r="D23">
        <v>0.08</v>
      </c>
      <c r="E23">
        <f>180/365</f>
        <v>0.49315068493150682</v>
      </c>
      <c r="G23">
        <f>C23*(1+D23*E23)</f>
        <v>20789.04109589041</v>
      </c>
    </row>
    <row r="24" spans="1:11" x14ac:dyDescent="0.2">
      <c r="D24">
        <v>0.06</v>
      </c>
      <c r="E24" s="2">
        <f>_xlfn.DAYS(J24,K24)/365</f>
        <v>0.18356164383561643</v>
      </c>
      <c r="H24">
        <f>G23/(1+D24*E24)</f>
        <v>20562.571134355861</v>
      </c>
      <c r="J24" s="4">
        <v>42685</v>
      </c>
      <c r="K24" s="4">
        <v>42618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36"/>
  <sheetViews>
    <sheetView workbookViewId="0">
      <selection activeCell="I34" sqref="I34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A2" t="s">
        <v>5</v>
      </c>
      <c r="B2">
        <v>1</v>
      </c>
    </row>
    <row r="3" spans="1:12" x14ac:dyDescent="0.2">
      <c r="A3" t="s">
        <v>6</v>
      </c>
      <c r="B3">
        <v>2</v>
      </c>
    </row>
    <row r="4" spans="1:12" x14ac:dyDescent="0.2">
      <c r="A4" t="s">
        <v>7</v>
      </c>
      <c r="B4">
        <v>4</v>
      </c>
    </row>
    <row r="5" spans="1:12" x14ac:dyDescent="0.2">
      <c r="A5" t="s">
        <v>8</v>
      </c>
      <c r="B5">
        <v>12</v>
      </c>
    </row>
    <row r="7" spans="1:12" x14ac:dyDescent="0.2">
      <c r="A7" t="s">
        <v>54</v>
      </c>
    </row>
    <row r="9" spans="1:12" x14ac:dyDescent="0.2">
      <c r="C9" t="s">
        <v>3</v>
      </c>
      <c r="D9" t="s">
        <v>2</v>
      </c>
      <c r="E9" t="s">
        <v>1</v>
      </c>
      <c r="F9" t="s">
        <v>4</v>
      </c>
      <c r="G9" t="s">
        <v>24</v>
      </c>
      <c r="H9" t="s">
        <v>0</v>
      </c>
      <c r="I9" t="s">
        <v>9</v>
      </c>
      <c r="J9" t="s">
        <v>10</v>
      </c>
      <c r="K9" t="s">
        <v>11</v>
      </c>
      <c r="L9" t="s">
        <v>55</v>
      </c>
    </row>
    <row r="10" spans="1:12" x14ac:dyDescent="0.2">
      <c r="C10">
        <v>6000</v>
      </c>
      <c r="D10">
        <v>0.15</v>
      </c>
      <c r="E10">
        <f>D10/1</f>
        <v>0.15</v>
      </c>
      <c r="F10">
        <v>8</v>
      </c>
      <c r="G10">
        <f>F10*1</f>
        <v>8</v>
      </c>
      <c r="H10">
        <f>C10*(1+E10)^G10</f>
        <v>18354.137175234362</v>
      </c>
    </row>
    <row r="11" spans="1:12" x14ac:dyDescent="0.2">
      <c r="C11">
        <v>6000</v>
      </c>
      <c r="D11">
        <v>0.15</v>
      </c>
      <c r="E11">
        <f>D11/2</f>
        <v>7.4999999999999997E-2</v>
      </c>
      <c r="F11">
        <v>8</v>
      </c>
      <c r="G11">
        <f>F11*2</f>
        <v>16</v>
      </c>
      <c r="H11">
        <f>C11*(1+E11)^G11</f>
        <v>19084.758925621216</v>
      </c>
    </row>
    <row r="12" spans="1:12" x14ac:dyDescent="0.2">
      <c r="C12">
        <v>6000</v>
      </c>
      <c r="D12">
        <v>0.15</v>
      </c>
      <c r="E12">
        <f>D12/4</f>
        <v>3.7499999999999999E-2</v>
      </c>
      <c r="F12">
        <v>8</v>
      </c>
      <c r="G12">
        <f>F12*4</f>
        <v>32</v>
      </c>
      <c r="H12">
        <f>C12*(1+E12)^G12</f>
        <v>19488.150401704977</v>
      </c>
    </row>
    <row r="13" spans="1:12" x14ac:dyDescent="0.2">
      <c r="C13">
        <v>6000</v>
      </c>
      <c r="D13">
        <v>0.15</v>
      </c>
      <c r="E13">
        <f>D13/12</f>
        <v>1.2499999999999999E-2</v>
      </c>
      <c r="F13">
        <v>8</v>
      </c>
      <c r="G13">
        <f>F13*12</f>
        <v>96</v>
      </c>
      <c r="H13">
        <f>C13*(1+E13)^G13</f>
        <v>19773.079455010957</v>
      </c>
    </row>
    <row r="15" spans="1:12" x14ac:dyDescent="0.2">
      <c r="C15">
        <f>H15/(1+E15)^G15</f>
        <v>6408.1647167554256</v>
      </c>
      <c r="D15">
        <v>0.09</v>
      </c>
      <c r="E15">
        <f>D15/4</f>
        <v>2.2499999999999999E-2</v>
      </c>
      <c r="F15">
        <v>5</v>
      </c>
      <c r="G15">
        <f>5*4</f>
        <v>20</v>
      </c>
      <c r="H15">
        <v>10000</v>
      </c>
    </row>
    <row r="17" spans="1:12" x14ac:dyDescent="0.2">
      <c r="H17">
        <v>2</v>
      </c>
      <c r="I17" t="s">
        <v>57</v>
      </c>
      <c r="J17" t="s">
        <v>58</v>
      </c>
      <c r="K17" t="s">
        <v>59</v>
      </c>
      <c r="L17" t="s">
        <v>60</v>
      </c>
    </row>
    <row r="18" spans="1:12" x14ac:dyDescent="0.2">
      <c r="A18" t="s">
        <v>56</v>
      </c>
      <c r="B18">
        <v>1.1000000000000001</v>
      </c>
      <c r="C18">
        <v>5000</v>
      </c>
      <c r="D18">
        <v>0.08</v>
      </c>
      <c r="E18">
        <f>D18/12</f>
        <v>6.6666666666666671E-3</v>
      </c>
      <c r="F18">
        <v>1.5</v>
      </c>
      <c r="G18">
        <f>F18*12</f>
        <v>18</v>
      </c>
      <c r="H18">
        <f>C18*(1+E18)^G18</f>
        <v>5635.23968350205</v>
      </c>
      <c r="I18">
        <f>E18</f>
        <v>6.6666666666666671E-3</v>
      </c>
      <c r="J18">
        <v>1</v>
      </c>
      <c r="K18">
        <v>12</v>
      </c>
      <c r="L18">
        <f>G18</f>
        <v>18</v>
      </c>
    </row>
    <row r="19" spans="1:12" x14ac:dyDescent="0.2">
      <c r="B19">
        <v>1.2</v>
      </c>
      <c r="C19">
        <v>25000</v>
      </c>
      <c r="D19">
        <v>0.875</v>
      </c>
      <c r="E19">
        <f>D19/4</f>
        <v>0.21875</v>
      </c>
      <c r="F19">
        <v>2</v>
      </c>
      <c r="G19">
        <f>F19*4</f>
        <v>8</v>
      </c>
      <c r="H19">
        <f t="shared" ref="H19:H21" si="0">C19*(1+E19)^G19</f>
        <v>121690.60165617793</v>
      </c>
      <c r="I19">
        <f>E19</f>
        <v>0.21875</v>
      </c>
      <c r="J19">
        <v>3</v>
      </c>
      <c r="K19">
        <v>4</v>
      </c>
      <c r="L19">
        <f>G19</f>
        <v>8</v>
      </c>
    </row>
    <row r="20" spans="1:12" x14ac:dyDescent="0.2">
      <c r="B20">
        <v>1.3</v>
      </c>
      <c r="C20">
        <v>52000</v>
      </c>
      <c r="D20">
        <v>0.09</v>
      </c>
      <c r="E20">
        <f>D20/2</f>
        <v>4.4999999999999998E-2</v>
      </c>
      <c r="F20">
        <v>2.25</v>
      </c>
      <c r="G20">
        <f>F20*2</f>
        <v>4.5</v>
      </c>
      <c r="H20">
        <f t="shared" si="0"/>
        <v>63390.861010717825</v>
      </c>
      <c r="I20">
        <f>E20</f>
        <v>4.4999999999999998E-2</v>
      </c>
      <c r="J20">
        <v>6</v>
      </c>
      <c r="K20">
        <v>2</v>
      </c>
      <c r="L20">
        <f>G20</f>
        <v>4.5</v>
      </c>
    </row>
    <row r="21" spans="1:12" x14ac:dyDescent="0.2">
      <c r="B21">
        <v>1.4</v>
      </c>
      <c r="C21">
        <v>4000</v>
      </c>
      <c r="D21">
        <v>0.11</v>
      </c>
      <c r="E21">
        <f>D21/1</f>
        <v>0.11</v>
      </c>
      <c r="F21">
        <v>4</v>
      </c>
      <c r="G21">
        <f>F21*1</f>
        <v>4</v>
      </c>
      <c r="H21">
        <f t="shared" si="0"/>
        <v>6072.281640000002</v>
      </c>
      <c r="I21">
        <f>E21</f>
        <v>0.11</v>
      </c>
      <c r="J21">
        <v>1</v>
      </c>
      <c r="K21">
        <v>1</v>
      </c>
      <c r="L21">
        <f>G21</f>
        <v>4</v>
      </c>
    </row>
    <row r="22" spans="1:12" x14ac:dyDescent="0.2">
      <c r="B22">
        <v>3</v>
      </c>
      <c r="C22">
        <f>H22/(1+E22)^G22</f>
        <v>3720.4695744836258</v>
      </c>
      <c r="D22">
        <v>0.06</v>
      </c>
      <c r="E22">
        <f>D22/2</f>
        <v>0.03</v>
      </c>
      <c r="F22">
        <v>5</v>
      </c>
      <c r="G22">
        <f>F22*2</f>
        <v>10</v>
      </c>
      <c r="H22">
        <v>5000</v>
      </c>
    </row>
    <row r="23" spans="1:12" x14ac:dyDescent="0.2">
      <c r="B23">
        <v>4</v>
      </c>
      <c r="C23">
        <v>2000</v>
      </c>
      <c r="D23">
        <v>0.08</v>
      </c>
      <c r="E23">
        <f>D23/1</f>
        <v>0.08</v>
      </c>
      <c r="F23">
        <v>10</v>
      </c>
      <c r="G23">
        <f>F23*1</f>
        <v>10</v>
      </c>
      <c r="H23">
        <f>C23*(1+E23)^G23</f>
        <v>4317.8499945455751</v>
      </c>
    </row>
    <row r="24" spans="1:12" x14ac:dyDescent="0.2">
      <c r="C24">
        <f>H24/(1+E24)^G24</f>
        <v>5402.6888450197575</v>
      </c>
      <c r="D24">
        <v>0.08</v>
      </c>
      <c r="E24">
        <f>D24/1</f>
        <v>0.08</v>
      </c>
      <c r="F24">
        <v>8</v>
      </c>
      <c r="G24">
        <f>F24*1</f>
        <v>8</v>
      </c>
      <c r="H24">
        <v>10000</v>
      </c>
      <c r="I24">
        <f>C24-H23</f>
        <v>1084.8388504741824</v>
      </c>
    </row>
    <row r="27" spans="1:12" x14ac:dyDescent="0.2">
      <c r="C27">
        <v>100000</v>
      </c>
      <c r="E27">
        <v>0.06</v>
      </c>
      <c r="F27">
        <v>2</v>
      </c>
      <c r="G27">
        <v>2</v>
      </c>
      <c r="H27" s="2">
        <f>C27*(1+(E27/G27))^(G27*F27)</f>
        <v>112550.88099999999</v>
      </c>
      <c r="I27" s="1" t="e">
        <f>'PV@CompoundAmt'!#REF!*H28*H29</f>
        <v>#REF!</v>
      </c>
      <c r="J27" s="1">
        <f>H30*H31*H32</f>
        <v>2080744619416121</v>
      </c>
      <c r="K27" s="1">
        <f>H33*H34*H35</f>
        <v>1836251861014786.5</v>
      </c>
    </row>
    <row r="28" spans="1:12" x14ac:dyDescent="0.2">
      <c r="C28">
        <v>100000</v>
      </c>
      <c r="E28">
        <v>0.1</v>
      </c>
      <c r="F28">
        <v>3</v>
      </c>
      <c r="G28">
        <v>4</v>
      </c>
      <c r="H28" s="2">
        <f>C28*(1+(E28/G28))^(G28*F28)</f>
        <v>134488.88242462976</v>
      </c>
    </row>
    <row r="29" spans="1:12" x14ac:dyDescent="0.2">
      <c r="C29">
        <v>100000</v>
      </c>
      <c r="E29">
        <v>0.15</v>
      </c>
      <c r="F29">
        <v>2</v>
      </c>
      <c r="G29">
        <v>12</v>
      </c>
      <c r="H29" s="2">
        <f>C29*(1+(E29/G29))^(G29*F29)</f>
        <v>134735.10504143508</v>
      </c>
    </row>
    <row r="30" spans="1:12" x14ac:dyDescent="0.2">
      <c r="C30">
        <v>100000</v>
      </c>
      <c r="E30">
        <v>0.08</v>
      </c>
      <c r="F30">
        <v>3</v>
      </c>
      <c r="G30">
        <v>2</v>
      </c>
      <c r="H30" s="2">
        <f>C30*(1+(E30/G30))^(G30*F30)</f>
        <v>126531.90184960004</v>
      </c>
    </row>
    <row r="31" spans="1:12" x14ac:dyDescent="0.2">
      <c r="C31">
        <v>100000</v>
      </c>
      <c r="E31">
        <v>0.12</v>
      </c>
      <c r="F31">
        <v>3</v>
      </c>
      <c r="G31">
        <v>12</v>
      </c>
      <c r="H31" s="2">
        <f>C31*(1+(E31/G31))^(G31*F31)</f>
        <v>143076.87835915809</v>
      </c>
    </row>
    <row r="32" spans="1:12" x14ac:dyDescent="0.2">
      <c r="C32">
        <v>100000</v>
      </c>
      <c r="E32">
        <v>0.14000000000000001</v>
      </c>
      <c r="F32">
        <v>1</v>
      </c>
      <c r="G32">
        <v>12</v>
      </c>
      <c r="H32" s="2">
        <f>C32*(1+(E32/G32))^(G32*F32)</f>
        <v>114934.20292071576</v>
      </c>
    </row>
    <row r="33" spans="3:8" x14ac:dyDescent="0.2">
      <c r="C33">
        <v>100000</v>
      </c>
      <c r="E33">
        <v>0.06</v>
      </c>
      <c r="F33">
        <v>2</v>
      </c>
      <c r="G33">
        <v>1</v>
      </c>
      <c r="H33" s="2">
        <f>C33*(1+(E33/G33))^(G33*F33)</f>
        <v>112360.00000000001</v>
      </c>
    </row>
    <row r="34" spans="3:8" x14ac:dyDescent="0.2">
      <c r="C34">
        <v>100000</v>
      </c>
      <c r="E34">
        <v>0.08</v>
      </c>
      <c r="F34">
        <v>3</v>
      </c>
      <c r="G34">
        <v>2</v>
      </c>
      <c r="H34" s="2">
        <f>C34*(1+(E34/G34))^(G34*F34)</f>
        <v>126531.90184960004</v>
      </c>
    </row>
    <row r="35" spans="3:8" x14ac:dyDescent="0.2">
      <c r="C35">
        <v>100000</v>
      </c>
      <c r="E35">
        <v>0.13</v>
      </c>
      <c r="F35">
        <v>2</v>
      </c>
      <c r="G35">
        <v>4</v>
      </c>
      <c r="H35" s="2">
        <f>C35*(1+(E35/G35))^(G35*F35)</f>
        <v>129157.75352963673</v>
      </c>
    </row>
    <row r="36" spans="3:8" x14ac:dyDescent="0.2">
      <c r="H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7365-6F07-0D44-BA62-0B4EA34C65BA}">
  <dimension ref="A2:I26"/>
  <sheetViews>
    <sheetView workbookViewId="0">
      <selection activeCell="H20" sqref="H20"/>
    </sheetView>
  </sheetViews>
  <sheetFormatPr baseColWidth="10" defaultRowHeight="16" x14ac:dyDescent="0.2"/>
  <cols>
    <col min="8" max="8" width="11.5" bestFit="1" customWidth="1"/>
  </cols>
  <sheetData>
    <row r="2" spans="1:9" x14ac:dyDescent="0.2">
      <c r="A2" t="s">
        <v>61</v>
      </c>
    </row>
    <row r="4" spans="1:9" x14ac:dyDescent="0.2">
      <c r="C4" t="s">
        <v>3</v>
      </c>
      <c r="D4" t="s">
        <v>2</v>
      </c>
      <c r="E4" t="s">
        <v>1</v>
      </c>
      <c r="F4" t="s">
        <v>4</v>
      </c>
      <c r="G4" t="s">
        <v>24</v>
      </c>
      <c r="H4" t="s">
        <v>0</v>
      </c>
    </row>
    <row r="5" spans="1:9" x14ac:dyDescent="0.2">
      <c r="C5">
        <v>10000</v>
      </c>
      <c r="D5">
        <v>0.03</v>
      </c>
      <c r="E5">
        <f>D5/4</f>
        <v>7.4999999999999997E-3</v>
      </c>
      <c r="F5">
        <v>5</v>
      </c>
      <c r="G5">
        <f>F5*4</f>
        <v>20</v>
      </c>
      <c r="H5">
        <f>C5*(1+E5)^G5</f>
        <v>11611.841423032</v>
      </c>
    </row>
    <row r="6" spans="1:9" x14ac:dyDescent="0.2">
      <c r="C6">
        <v>11611.84</v>
      </c>
      <c r="D6">
        <v>0.04</v>
      </c>
      <c r="E6">
        <f>D6/2</f>
        <v>0.02</v>
      </c>
      <c r="F6">
        <v>8</v>
      </c>
      <c r="G6">
        <f>F6*2</f>
        <v>16</v>
      </c>
      <c r="H6">
        <f>C6*(1+E6)^G6</f>
        <v>15940.567961799372</v>
      </c>
    </row>
    <row r="7" spans="1:9" x14ac:dyDescent="0.2">
      <c r="H7">
        <f>H6-C5</f>
        <v>5940.5679617993719</v>
      </c>
    </row>
    <row r="9" spans="1:9" x14ac:dyDescent="0.2">
      <c r="C9">
        <v>20000</v>
      </c>
      <c r="D9">
        <v>0.09</v>
      </c>
      <c r="E9">
        <f>D9/2</f>
        <v>4.4999999999999998E-2</v>
      </c>
      <c r="F9">
        <v>2</v>
      </c>
      <c r="G9">
        <f>F9*2</f>
        <v>4</v>
      </c>
      <c r="H9">
        <f>C9*(1+E9)^G9</f>
        <v>23850.372012499989</v>
      </c>
    </row>
    <row r="10" spans="1:9" x14ac:dyDescent="0.2">
      <c r="C10">
        <v>23850.37</v>
      </c>
      <c r="D10">
        <v>0.1</v>
      </c>
      <c r="E10">
        <f>D10/4</f>
        <v>2.5000000000000001E-2</v>
      </c>
      <c r="F10">
        <v>3</v>
      </c>
      <c r="G10">
        <f>F10*4</f>
        <v>12</v>
      </c>
      <c r="H10">
        <f>C10*(1+E10)^G10</f>
        <v>32076.096067139166</v>
      </c>
    </row>
    <row r="11" spans="1:9" x14ac:dyDescent="0.2">
      <c r="C11">
        <v>32076.1</v>
      </c>
      <c r="D11">
        <v>0.13</v>
      </c>
      <c r="E11">
        <f>D11/12</f>
        <v>1.0833333333333334E-2</v>
      </c>
      <c r="F11">
        <v>4</v>
      </c>
      <c r="G11">
        <f>F11*12</f>
        <v>48</v>
      </c>
      <c r="H11">
        <f>C11*(1+E11)^G11</f>
        <v>53802.219265099862</v>
      </c>
      <c r="I11">
        <f>C9*(1+E9)^G9*(1+E10)^G10*(1+E11)^G11</f>
        <v>53802.217208236354</v>
      </c>
    </row>
    <row r="12" spans="1:9" x14ac:dyDescent="0.2">
      <c r="H12">
        <f>H11-C9</f>
        <v>33802.219265099862</v>
      </c>
    </row>
    <row r="14" spans="1:9" x14ac:dyDescent="0.2">
      <c r="A14" t="s">
        <v>62</v>
      </c>
      <c r="B14">
        <v>1</v>
      </c>
      <c r="C14">
        <v>11500</v>
      </c>
      <c r="D14">
        <v>0.6</v>
      </c>
      <c r="E14">
        <f>D14/12</f>
        <v>4.9999999999999996E-2</v>
      </c>
      <c r="F14">
        <v>5</v>
      </c>
      <c r="G14">
        <f>F14*12</f>
        <v>60</v>
      </c>
    </row>
    <row r="15" spans="1:9" x14ac:dyDescent="0.2">
      <c r="D15">
        <v>0.8</v>
      </c>
      <c r="E15">
        <f>D15/4</f>
        <v>0.2</v>
      </c>
      <c r="F15">
        <v>5</v>
      </c>
      <c r="G15">
        <f>F15*4</f>
        <v>20</v>
      </c>
      <c r="H15">
        <f>C14*(1+E14)^G14*(1+E15)^G15</f>
        <v>8235324.2908234466</v>
      </c>
    </row>
    <row r="16" spans="1:9" x14ac:dyDescent="0.2">
      <c r="B16">
        <v>2</v>
      </c>
      <c r="C16">
        <v>5000</v>
      </c>
      <c r="D16">
        <v>0.7</v>
      </c>
      <c r="F16">
        <v>4.5</v>
      </c>
      <c r="H16">
        <f>C16*(1+D16)^F16</f>
        <v>54449.030408493032</v>
      </c>
    </row>
    <row r="17" spans="2:8" x14ac:dyDescent="0.2">
      <c r="H17">
        <f>H16-C16</f>
        <v>49449.030408493032</v>
      </c>
    </row>
    <row r="18" spans="2:8" x14ac:dyDescent="0.2">
      <c r="B18">
        <v>5</v>
      </c>
      <c r="C18">
        <v>100000</v>
      </c>
      <c r="D18">
        <v>0.6</v>
      </c>
      <c r="E18">
        <f>D18/2</f>
        <v>0.3</v>
      </c>
      <c r="F18">
        <v>2</v>
      </c>
      <c r="G18">
        <f>F18*2</f>
        <v>4</v>
      </c>
    </row>
    <row r="19" spans="2:8" x14ac:dyDescent="0.2">
      <c r="D19">
        <v>0.1</v>
      </c>
      <c r="E19">
        <f>D19/4</f>
        <v>2.5000000000000001E-2</v>
      </c>
      <c r="F19">
        <v>3</v>
      </c>
      <c r="G19">
        <f>F19*4</f>
        <v>12</v>
      </c>
    </row>
    <row r="20" spans="2:8" x14ac:dyDescent="0.2">
      <c r="D20">
        <v>0.15</v>
      </c>
      <c r="E20">
        <f>D20/12</f>
        <v>1.2499999999999999E-2</v>
      </c>
      <c r="F20">
        <v>2</v>
      </c>
      <c r="G20">
        <f>F20*12</f>
        <v>24</v>
      </c>
      <c r="H20" s="1">
        <f>C18*(1+E18)^G18*(1+E19)^G19*(1+E20)^G20</f>
        <v>517535.99325677328</v>
      </c>
    </row>
    <row r="21" spans="2:8" x14ac:dyDescent="0.2">
      <c r="C21">
        <v>100000</v>
      </c>
      <c r="D21">
        <v>0.08</v>
      </c>
      <c r="E21">
        <f>D21/2</f>
        <v>0.04</v>
      </c>
      <c r="F21">
        <v>3</v>
      </c>
      <c r="G21">
        <f>F21*2</f>
        <v>6</v>
      </c>
    </row>
    <row r="22" spans="2:8" x14ac:dyDescent="0.2">
      <c r="D22">
        <v>0.12</v>
      </c>
      <c r="E22">
        <f>D22/12</f>
        <v>0.01</v>
      </c>
      <c r="F22">
        <v>3</v>
      </c>
      <c r="G22">
        <f>F22*12</f>
        <v>36</v>
      </c>
    </row>
    <row r="23" spans="2:8" x14ac:dyDescent="0.2">
      <c r="D23">
        <v>0.14000000000000001</v>
      </c>
      <c r="E23">
        <f>D23/12</f>
        <v>1.1666666666666667E-2</v>
      </c>
      <c r="F23">
        <v>1</v>
      </c>
      <c r="G23">
        <v>12</v>
      </c>
      <c r="H23" s="1">
        <f>C21*(1+E21)^G21*(1+E22)^G22*(1+E23)^G23</f>
        <v>208074.46194161213</v>
      </c>
    </row>
    <row r="24" spans="2:8" x14ac:dyDescent="0.2">
      <c r="C24">
        <v>100000</v>
      </c>
      <c r="D24">
        <v>0.06</v>
      </c>
      <c r="E24">
        <v>0.06</v>
      </c>
      <c r="F24">
        <v>2</v>
      </c>
      <c r="G24">
        <v>2</v>
      </c>
    </row>
    <row r="25" spans="2:8" x14ac:dyDescent="0.2">
      <c r="D25">
        <v>0.08</v>
      </c>
      <c r="E25">
        <f>D25/2</f>
        <v>0.04</v>
      </c>
      <c r="F25">
        <v>3</v>
      </c>
      <c r="G25">
        <f>F25*2</f>
        <v>6</v>
      </c>
    </row>
    <row r="26" spans="2:8" x14ac:dyDescent="0.2">
      <c r="D26">
        <v>0.13</v>
      </c>
      <c r="E26">
        <f>D26/4</f>
        <v>3.2500000000000001E-2</v>
      </c>
      <c r="F26">
        <v>2</v>
      </c>
      <c r="G26">
        <f>F26*4</f>
        <v>8</v>
      </c>
      <c r="H26" s="1">
        <f>C24*(1+E24)^G24*(1+E25)^G25*(1+E26)^G26</f>
        <v>183625.18610147864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A02-95C2-B344-A079-E876CD2CF0CD}">
  <dimension ref="A2:I15"/>
  <sheetViews>
    <sheetView workbookViewId="0">
      <selection activeCell="H17" sqref="H17"/>
    </sheetView>
  </sheetViews>
  <sheetFormatPr baseColWidth="10" defaultRowHeight="16" x14ac:dyDescent="0.2"/>
  <sheetData>
    <row r="2" spans="1:9" x14ac:dyDescent="0.2">
      <c r="A2" t="s">
        <v>54</v>
      </c>
    </row>
    <row r="4" spans="1:9" x14ac:dyDescent="0.2">
      <c r="C4" t="s">
        <v>3</v>
      </c>
      <c r="D4" t="s">
        <v>2</v>
      </c>
      <c r="E4" t="s">
        <v>1</v>
      </c>
      <c r="F4" t="s">
        <v>4</v>
      </c>
      <c r="G4" t="s">
        <v>24</v>
      </c>
      <c r="H4" t="s">
        <v>51</v>
      </c>
      <c r="I4" t="s">
        <v>12</v>
      </c>
    </row>
    <row r="5" spans="1:9" x14ac:dyDescent="0.2">
      <c r="C5">
        <v>4500</v>
      </c>
      <c r="D5">
        <v>0.05</v>
      </c>
      <c r="E5">
        <f>D5/2</f>
        <v>2.5000000000000001E-2</v>
      </c>
      <c r="F5">
        <v>6</v>
      </c>
      <c r="G5">
        <f>F5*2</f>
        <v>12</v>
      </c>
      <c r="H5">
        <f>C5*(1+E5)^G5</f>
        <v>6051.9997091083387</v>
      </c>
    </row>
    <row r="6" spans="1:9" x14ac:dyDescent="0.2">
      <c r="C6">
        <v>6052</v>
      </c>
      <c r="D6">
        <v>4.4999999999999998E-2</v>
      </c>
      <c r="F6">
        <v>6</v>
      </c>
      <c r="I6">
        <f>C6/(1+D6)^F6</f>
        <v>4647.3050080594658</v>
      </c>
    </row>
    <row r="8" spans="1:9" x14ac:dyDescent="0.2">
      <c r="C8">
        <v>1</v>
      </c>
      <c r="D8">
        <v>0.9</v>
      </c>
      <c r="E8">
        <f>D8/2</f>
        <v>0.45</v>
      </c>
      <c r="F8">
        <v>4</v>
      </c>
      <c r="G8">
        <f>F8*2</f>
        <v>8</v>
      </c>
      <c r="I8">
        <f>C8/(1+E8)^G8</f>
        <v>5.1174779741990507E-2</v>
      </c>
    </row>
    <row r="10" spans="1:9" x14ac:dyDescent="0.2">
      <c r="C10">
        <v>15000</v>
      </c>
      <c r="D10">
        <v>0.12</v>
      </c>
      <c r="E10">
        <f>D10/2</f>
        <v>0.06</v>
      </c>
      <c r="F10">
        <v>10</v>
      </c>
      <c r="G10">
        <f>F10*2</f>
        <v>20</v>
      </c>
      <c r="H10">
        <f>C10*(1+E10)^G10</f>
        <v>48107.032083192717</v>
      </c>
    </row>
    <row r="11" spans="1:9" x14ac:dyDescent="0.2">
      <c r="D11">
        <v>0.08</v>
      </c>
      <c r="E11">
        <f>D11/2</f>
        <v>0.04</v>
      </c>
      <c r="F11">
        <v>9</v>
      </c>
      <c r="G11">
        <f>F11*2</f>
        <v>18</v>
      </c>
      <c r="I11">
        <f>H10/(1+E11)^G11</f>
        <v>23746.983854657588</v>
      </c>
    </row>
    <row r="12" spans="1:9" x14ac:dyDescent="0.2">
      <c r="D12">
        <v>0.05</v>
      </c>
      <c r="E12">
        <f>D12/2</f>
        <v>2.5000000000000001E-2</v>
      </c>
      <c r="F12">
        <v>7</v>
      </c>
      <c r="G12">
        <f>F12*2</f>
        <v>14</v>
      </c>
      <c r="I12">
        <f>H10/(1+E12)^G12</f>
        <v>34046.654912572434</v>
      </c>
    </row>
    <row r="14" spans="1:9" x14ac:dyDescent="0.2">
      <c r="A14" t="s">
        <v>63</v>
      </c>
    </row>
    <row r="15" spans="1:9" x14ac:dyDescent="0.2">
      <c r="B15">
        <v>6</v>
      </c>
      <c r="C15">
        <v>32150.880000000001</v>
      </c>
      <c r="D15">
        <v>0.15</v>
      </c>
      <c r="F15">
        <f>3+8/12</f>
        <v>3.6666666666666665</v>
      </c>
      <c r="I15">
        <f>C15/(1+D15)^F15</f>
        <v>19259.01699966782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tabSelected="1"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H6"/>
  <sheetViews>
    <sheetView workbookViewId="0">
      <selection activeCell="A7" sqref="A7:F7"/>
    </sheetView>
  </sheetViews>
  <sheetFormatPr baseColWidth="10" defaultRowHeight="16" x14ac:dyDescent="0.2"/>
  <sheetData>
    <row r="2" spans="1:8" x14ac:dyDescent="0.2">
      <c r="A2" t="s">
        <v>19</v>
      </c>
    </row>
    <row r="4" spans="1:8" x14ac:dyDescent="0.2">
      <c r="C4" t="s">
        <v>21</v>
      </c>
      <c r="F4" t="s">
        <v>20</v>
      </c>
      <c r="G4" t="s">
        <v>24</v>
      </c>
      <c r="H4" t="s">
        <v>18</v>
      </c>
    </row>
    <row r="5" spans="1:8" x14ac:dyDescent="0.2">
      <c r="C5">
        <f>157+350+135+77.65+22.79+23.2</f>
        <v>765.64</v>
      </c>
      <c r="D5">
        <f>0.14*540</f>
        <v>75.600000000000009</v>
      </c>
      <c r="E5">
        <f>196.952*0.0993</f>
        <v>19.5573336</v>
      </c>
      <c r="F5" s="2">
        <f>D5+E5</f>
        <v>95.157333600000015</v>
      </c>
      <c r="G5" s="2"/>
    </row>
    <row r="6" spans="1:8" x14ac:dyDescent="0.2">
      <c r="A6" t="s">
        <v>22</v>
      </c>
      <c r="C6">
        <f>214.48+186.67+166.88+13+20+27+10</f>
        <v>638.03</v>
      </c>
      <c r="F6">
        <f>(30*80)+(0.2*80)+(34890*0.01)</f>
        <v>2764.9</v>
      </c>
      <c r="G6">
        <v>430</v>
      </c>
      <c r="H6">
        <f>F6/G6</f>
        <v>6.4300000000000006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8039-FC06-CA43-BA9A-6C028FD0C0E2}">
  <dimension ref="A2:I13"/>
  <sheetViews>
    <sheetView workbookViewId="0">
      <selection activeCell="M5" sqref="M5"/>
    </sheetView>
  </sheetViews>
  <sheetFormatPr baseColWidth="10" defaultRowHeight="16" x14ac:dyDescent="0.2"/>
  <sheetData>
    <row r="2" spans="1:9" x14ac:dyDescent="0.2">
      <c r="A2" t="s">
        <v>31</v>
      </c>
    </row>
    <row r="3" spans="1:9" x14ac:dyDescent="0.2">
      <c r="A3" t="s">
        <v>25</v>
      </c>
    </row>
    <row r="4" spans="1:9" x14ac:dyDescent="0.2">
      <c r="A4" t="s">
        <v>26</v>
      </c>
    </row>
    <row r="5" spans="1:9" x14ac:dyDescent="0.2">
      <c r="A5" t="s">
        <v>27</v>
      </c>
    </row>
    <row r="7" spans="1:9" x14ac:dyDescent="0.2">
      <c r="C7" t="s">
        <v>20</v>
      </c>
      <c r="D7" t="s">
        <v>24</v>
      </c>
      <c r="E7" t="s">
        <v>21</v>
      </c>
      <c r="F7" t="s">
        <v>0</v>
      </c>
      <c r="G7" t="s">
        <v>18</v>
      </c>
      <c r="H7" t="s">
        <v>30</v>
      </c>
    </row>
    <row r="8" spans="1:9" x14ac:dyDescent="0.2">
      <c r="C8">
        <v>10000</v>
      </c>
      <c r="D8">
        <v>1000</v>
      </c>
      <c r="G8">
        <f>C8/D8</f>
        <v>10</v>
      </c>
      <c r="I8" t="s">
        <v>28</v>
      </c>
    </row>
    <row r="9" spans="1:9" x14ac:dyDescent="0.2">
      <c r="C9">
        <v>10000</v>
      </c>
      <c r="D9">
        <v>1200</v>
      </c>
      <c r="E9">
        <v>5000</v>
      </c>
      <c r="F9">
        <v>25</v>
      </c>
      <c r="H9">
        <f>(D9*F9)-(E9+(D9*G8))</f>
        <v>13000</v>
      </c>
      <c r="I9" t="s">
        <v>29</v>
      </c>
    </row>
    <row r="11" spans="1:9" x14ac:dyDescent="0.2">
      <c r="A11" t="s">
        <v>32</v>
      </c>
      <c r="B11" t="s">
        <v>33</v>
      </c>
      <c r="D11">
        <v>430</v>
      </c>
      <c r="E11">
        <v>638.03</v>
      </c>
      <c r="F11">
        <v>10</v>
      </c>
      <c r="G11">
        <v>6.43</v>
      </c>
      <c r="H11">
        <f>(D11*F11) - (E11 + (D11*G11))</f>
        <v>897.06999999999971</v>
      </c>
    </row>
    <row r="12" spans="1:9" x14ac:dyDescent="0.2">
      <c r="B12" t="s">
        <v>23</v>
      </c>
      <c r="D12">
        <v>430</v>
      </c>
      <c r="E12">
        <v>638.03</v>
      </c>
      <c r="F12">
        <v>10</v>
      </c>
      <c r="G12">
        <f>364.9+80*35.38</f>
        <v>3195.3</v>
      </c>
    </row>
    <row r="13" spans="1:9" x14ac:dyDescent="0.2">
      <c r="B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SimpleInterest</vt:lpstr>
      <vt:lpstr>PV@SimpleI</vt:lpstr>
      <vt:lpstr>PV@I-BearingDebt</vt:lpstr>
      <vt:lpstr>CompoundAmt</vt:lpstr>
      <vt:lpstr>CompoundAmt@ChangingRate</vt:lpstr>
      <vt:lpstr>PV@CompoundAmt</vt:lpstr>
      <vt:lpstr>Review</vt:lpstr>
      <vt:lpstr>Cost</vt:lpstr>
      <vt:lpstr>Net Income Using TR&amp;TC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2024-09-19T06:26:58Z</dcterms:modified>
</cp:coreProperties>
</file>