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"/>
    </mc:Choice>
  </mc:AlternateContent>
  <xr:revisionPtr revIDLastSave="1256" documentId="8_{169A1F09-F5D1-0F4D-A8EE-4EC3878C25F5}" xr6:coauthVersionLast="47" xr6:coauthVersionMax="47" xr10:uidLastSave="{7A4C4F7C-4A12-6546-B0B7-1ABE4D71473D}"/>
  <bookViews>
    <workbookView xWindow="1280" yWindow="500" windowWidth="27500" windowHeight="17500" activeTab="3" xr2:uid="{CDC10488-EA6D-B84A-8228-A1D2BAF6B0FA}"/>
  </bookViews>
  <sheets>
    <sheet name="LO1" sheetId="6" r:id="rId1"/>
    <sheet name="LO2" sheetId="1" r:id="rId2"/>
    <sheet name="LO1-2 Review" sheetId="3" r:id="rId3"/>
    <sheet name="LO3" sheetId="4" r:id="rId4"/>
    <sheet name="L04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4" l="1"/>
  <c r="C76" i="4"/>
  <c r="H75" i="4"/>
  <c r="F68" i="4"/>
  <c r="H67" i="4"/>
  <c r="H66" i="4"/>
  <c r="H65" i="4"/>
  <c r="H64" i="4"/>
  <c r="C63" i="4"/>
  <c r="H62" i="4"/>
  <c r="H50" i="4"/>
  <c r="K50" i="4"/>
  <c r="K49" i="4"/>
  <c r="J49" i="4" s="1"/>
  <c r="D49" i="4" s="1"/>
  <c r="H49" i="4" s="1"/>
  <c r="I49" i="4" s="1"/>
  <c r="J48" i="4"/>
  <c r="E48" i="4"/>
  <c r="H48" i="4" s="1"/>
  <c r="G48" i="4" s="1"/>
  <c r="K45" i="4"/>
  <c r="F44" i="4"/>
  <c r="K44" i="4" s="1"/>
  <c r="K43" i="4"/>
  <c r="K42" i="4"/>
  <c r="K41" i="4"/>
  <c r="K40" i="4"/>
  <c r="J37" i="4"/>
  <c r="F37" i="4"/>
  <c r="H37" i="4"/>
  <c r="I37" i="4" s="1"/>
  <c r="H35" i="4"/>
  <c r="I35" i="4" s="1"/>
  <c r="C34" i="4"/>
  <c r="E34" i="4"/>
  <c r="H33" i="4"/>
  <c r="I33" i="4" s="1"/>
  <c r="H32" i="4"/>
  <c r="I32" i="4" s="1"/>
  <c r="F20" i="4"/>
  <c r="H20" i="4" s="1"/>
  <c r="F19" i="4"/>
  <c r="H19" i="4" s="1"/>
  <c r="H18" i="4"/>
  <c r="E17" i="4"/>
  <c r="D78" i="4"/>
  <c r="C78" i="4"/>
  <c r="E71" i="1"/>
  <c r="G71" i="1"/>
  <c r="I72" i="1"/>
  <c r="E74" i="1"/>
  <c r="G74" i="1"/>
  <c r="I74" i="1" s="1"/>
  <c r="E76" i="1"/>
  <c r="G76" i="1"/>
  <c r="E77" i="1"/>
  <c r="G77" i="1"/>
  <c r="E78" i="1"/>
  <c r="G78" i="1"/>
  <c r="F81" i="1"/>
  <c r="I81" i="1"/>
  <c r="E43" i="1"/>
  <c r="H43" i="1" s="1"/>
  <c r="G43" i="1"/>
  <c r="E44" i="1"/>
  <c r="G44" i="1"/>
  <c r="E47" i="1"/>
  <c r="G47" i="1"/>
  <c r="E48" i="1"/>
  <c r="G48" i="1"/>
  <c r="E49" i="1"/>
  <c r="H49" i="1" s="1"/>
  <c r="H50" i="1" s="1"/>
  <c r="G49" i="1"/>
  <c r="E52" i="1"/>
  <c r="H53" i="1" s="1"/>
  <c r="G52" i="1"/>
  <c r="E53" i="1"/>
  <c r="G53" i="1"/>
  <c r="H54" i="1"/>
  <c r="H55" i="1" s="1"/>
  <c r="E56" i="1"/>
  <c r="G56" i="1"/>
  <c r="E57" i="1"/>
  <c r="G57" i="1"/>
  <c r="E58" i="1"/>
  <c r="G58" i="1"/>
  <c r="E59" i="1"/>
  <c r="G59" i="1"/>
  <c r="E60" i="1"/>
  <c r="G60" i="1"/>
  <c r="E61" i="1"/>
  <c r="E63" i="1"/>
  <c r="G63" i="1"/>
  <c r="E64" i="1"/>
  <c r="G64" i="1"/>
  <c r="E41" i="6"/>
  <c r="G41" i="6" s="1"/>
  <c r="H42" i="6" s="1"/>
  <c r="E42" i="6"/>
  <c r="G44" i="6"/>
  <c r="H45" i="6" s="1"/>
  <c r="E45" i="6"/>
  <c r="E47" i="6"/>
  <c r="G47" i="6" s="1"/>
  <c r="H48" i="6" s="1"/>
  <c r="E48" i="6"/>
  <c r="G50" i="6"/>
  <c r="H51" i="6" s="1"/>
  <c r="G53" i="6"/>
  <c r="H54" i="6" s="1"/>
  <c r="E54" i="6"/>
  <c r="E55" i="6"/>
  <c r="G55" i="6"/>
  <c r="E56" i="6"/>
  <c r="E57" i="6"/>
  <c r="G57" i="6"/>
  <c r="E58" i="6"/>
  <c r="G58" i="6" s="1"/>
  <c r="H58" i="6" s="1"/>
  <c r="E59" i="6"/>
  <c r="G59" i="6"/>
  <c r="E60" i="6"/>
  <c r="E29" i="6"/>
  <c r="G29" i="6" s="1"/>
  <c r="E30" i="6"/>
  <c r="G30" i="6" s="1"/>
  <c r="E32" i="6"/>
  <c r="G32" i="6" s="1"/>
  <c r="E33" i="6"/>
  <c r="G33" i="6" s="1"/>
  <c r="E34" i="6"/>
  <c r="G34" i="6" s="1"/>
  <c r="C13" i="3"/>
  <c r="G13" i="3"/>
  <c r="E13" i="3"/>
  <c r="J12" i="3"/>
  <c r="K12" i="3"/>
  <c r="F12" i="3"/>
  <c r="F11" i="3"/>
  <c r="H28" i="1"/>
  <c r="H29" i="1"/>
  <c r="H30" i="1"/>
  <c r="H31" i="1"/>
  <c r="H32" i="1"/>
  <c r="H33" i="1"/>
  <c r="E25" i="1"/>
  <c r="G25" i="1"/>
  <c r="G24" i="1"/>
  <c r="E24" i="1"/>
  <c r="G23" i="1"/>
  <c r="E23" i="1"/>
  <c r="G22" i="1"/>
  <c r="L22" i="1" s="1"/>
  <c r="E22" i="1"/>
  <c r="I22" i="1" s="1"/>
  <c r="G21" i="1"/>
  <c r="L21" i="1" s="1"/>
  <c r="E21" i="1"/>
  <c r="I21" i="1" s="1"/>
  <c r="G20" i="1"/>
  <c r="L20" i="1" s="1"/>
  <c r="E20" i="1"/>
  <c r="G19" i="1"/>
  <c r="L19" i="1" s="1"/>
  <c r="E19" i="1"/>
  <c r="E16" i="1"/>
  <c r="G16" i="1"/>
  <c r="G13" i="1"/>
  <c r="G14" i="1"/>
  <c r="G12" i="1"/>
  <c r="G11" i="1"/>
  <c r="E14" i="1"/>
  <c r="E13" i="1"/>
  <c r="E12" i="1"/>
  <c r="E11" i="1"/>
  <c r="F21" i="6"/>
  <c r="E21" i="6"/>
  <c r="C20" i="6"/>
  <c r="C19" i="6"/>
  <c r="G18" i="6"/>
  <c r="E17" i="6"/>
  <c r="G17" i="6" s="1"/>
  <c r="E16" i="6"/>
  <c r="F16" i="6" s="1"/>
  <c r="E15" i="6"/>
  <c r="F15" i="6" s="1"/>
  <c r="E14" i="6"/>
  <c r="E13" i="6"/>
  <c r="C13" i="6" s="1"/>
  <c r="D12" i="6"/>
  <c r="E11" i="6"/>
  <c r="F11" i="6" s="1"/>
  <c r="E9" i="6"/>
  <c r="G8" i="6"/>
  <c r="F8" i="6"/>
  <c r="F7" i="4"/>
  <c r="H7" i="4" s="1"/>
  <c r="C7" i="4"/>
  <c r="E6" i="4"/>
  <c r="C6" i="4"/>
  <c r="D6" i="4"/>
  <c r="I7" i="3"/>
  <c r="I6" i="3"/>
  <c r="G6" i="3"/>
  <c r="G5" i="3"/>
  <c r="H34" i="1"/>
  <c r="H35" i="1"/>
  <c r="H36" i="1"/>
  <c r="C50" i="4" l="1"/>
  <c r="D50" i="4" s="1"/>
  <c r="E50" i="4" s="1"/>
  <c r="K37" i="4"/>
  <c r="H34" i="4"/>
  <c r="I34" i="4" s="1"/>
  <c r="F78" i="4"/>
  <c r="F6" i="4"/>
  <c r="H60" i="6"/>
  <c r="H48" i="1"/>
  <c r="H76" i="1"/>
  <c r="I77" i="1" s="1"/>
  <c r="I49" i="1"/>
  <c r="H61" i="1"/>
  <c r="H58" i="1"/>
  <c r="H71" i="1"/>
  <c r="H44" i="1"/>
  <c r="H45" i="1" s="1"/>
  <c r="H14" i="1"/>
  <c r="H64" i="1"/>
  <c r="H47" i="1"/>
  <c r="D21" i="6"/>
  <c r="C23" i="1"/>
  <c r="H24" i="1"/>
  <c r="I28" i="1"/>
  <c r="C25" i="1"/>
  <c r="K28" i="1"/>
  <c r="H22" i="1"/>
  <c r="J28" i="1"/>
  <c r="H20" i="1"/>
  <c r="I20" i="1"/>
  <c r="H13" i="1"/>
  <c r="H19" i="1"/>
  <c r="I19" i="1"/>
  <c r="H21" i="1"/>
  <c r="C16" i="1"/>
  <c r="H11" i="1"/>
  <c r="H12" i="1"/>
  <c r="I78" i="1" l="1"/>
  <c r="I25" i="1"/>
</calcChain>
</file>

<file path=xl/sharedStrings.xml><?xml version="1.0" encoding="utf-8"?>
<sst xmlns="http://schemas.openxmlformats.org/spreadsheetml/2006/main" count="202" uniqueCount="99">
  <si>
    <t>S</t>
  </si>
  <si>
    <t>i</t>
  </si>
  <si>
    <t>r</t>
  </si>
  <si>
    <t>P</t>
  </si>
  <si>
    <t>t</t>
  </si>
  <si>
    <t>ca</t>
  </si>
  <si>
    <t>csa</t>
  </si>
  <si>
    <t>cq</t>
  </si>
  <si>
    <t>cm</t>
  </si>
  <si>
    <t>Sa</t>
  </si>
  <si>
    <t>Sb</t>
  </si>
  <si>
    <t>Sc</t>
  </si>
  <si>
    <t>PV</t>
  </si>
  <si>
    <t>E4</t>
  </si>
  <si>
    <t>E6</t>
  </si>
  <si>
    <t>3 months</t>
  </si>
  <si>
    <t>E10</t>
  </si>
  <si>
    <t>E13</t>
  </si>
  <si>
    <t>UVC</t>
  </si>
  <si>
    <t>UVC = TVC / n</t>
  </si>
  <si>
    <t>TVC</t>
  </si>
  <si>
    <t>TFC</t>
  </si>
  <si>
    <t>P40</t>
  </si>
  <si>
    <t>E2</t>
  </si>
  <si>
    <t>n</t>
  </si>
  <si>
    <t>NI = n*S - (TFC + n(UVC))</t>
  </si>
  <si>
    <t>TR = n*S</t>
  </si>
  <si>
    <t>TC = TFC + n(UVC)</t>
  </si>
  <si>
    <t>Feb</t>
  </si>
  <si>
    <t>Mar</t>
  </si>
  <si>
    <t>NI</t>
  </si>
  <si>
    <t>UVC = TVC/n</t>
  </si>
  <si>
    <t>P44</t>
  </si>
  <si>
    <t>E1</t>
  </si>
  <si>
    <t>E3</t>
  </si>
  <si>
    <t>I = Prt</t>
  </si>
  <si>
    <t>S = P + I</t>
  </si>
  <si>
    <t>S = P(1 + rt)</t>
  </si>
  <si>
    <t>I</t>
  </si>
  <si>
    <t>P14</t>
  </si>
  <si>
    <t>E5_a</t>
  </si>
  <si>
    <t>E5_b</t>
  </si>
  <si>
    <t>E6_a</t>
  </si>
  <si>
    <t>E6_b</t>
  </si>
  <si>
    <t>E7_a</t>
  </si>
  <si>
    <t>E7_b</t>
  </si>
  <si>
    <t>E8</t>
  </si>
  <si>
    <t>S = P(1+rt)</t>
  </si>
  <si>
    <t>P = S / (1+rt)</t>
  </si>
  <si>
    <t>P = S * (1+rt)^-1</t>
  </si>
  <si>
    <t>P17</t>
  </si>
  <si>
    <t>MV</t>
  </si>
  <si>
    <t>S = P (1+rt)</t>
  </si>
  <si>
    <t>P20</t>
  </si>
  <si>
    <t>S=P(1+i)^n</t>
  </si>
  <si>
    <t>Sd</t>
  </si>
  <si>
    <t>P25</t>
  </si>
  <si>
    <t>a</t>
  </si>
  <si>
    <t>b</t>
  </si>
  <si>
    <t>c</t>
  </si>
  <si>
    <t>d</t>
  </si>
  <si>
    <t>S = P(1+i)^n</t>
  </si>
  <si>
    <t>P29</t>
  </si>
  <si>
    <t>P32</t>
  </si>
  <si>
    <t>P33</t>
  </si>
  <si>
    <t>Simple Interest</t>
  </si>
  <si>
    <t>Present Value At Simple Interest</t>
  </si>
  <si>
    <t>Present Value At Interest-Bearing Debt</t>
  </si>
  <si>
    <t>Compound Amount</t>
  </si>
  <si>
    <t>Compound Amount At Changing Rate</t>
  </si>
  <si>
    <t>Present Value At Compound Amount</t>
  </si>
  <si>
    <t>Net Income Using TR&amp;TC</t>
  </si>
  <si>
    <t>CR = (UCM / S) * 100%</t>
  </si>
  <si>
    <t>CR = ((TR - TVC) / TR) * 100%</t>
  </si>
  <si>
    <t>TCM = TR - TVC</t>
  </si>
  <si>
    <t>UCM = S - UVC</t>
  </si>
  <si>
    <t>TR</t>
  </si>
  <si>
    <t>CR</t>
  </si>
  <si>
    <t>UCM</t>
  </si>
  <si>
    <t>Chapter 3_1</t>
  </si>
  <si>
    <t>P49</t>
  </si>
  <si>
    <t>NI = n(UCM) - TFC</t>
  </si>
  <si>
    <t>TR*CR = TR-TVC</t>
  </si>
  <si>
    <t>n = TFC / UCM</t>
  </si>
  <si>
    <t>Break-Even Analysis in Unit</t>
  </si>
  <si>
    <t>Break-Even Analysis in Dollars</t>
  </si>
  <si>
    <t>TR = TFC / CR</t>
  </si>
  <si>
    <t>NI = n*S-(TFC+TVC)</t>
  </si>
  <si>
    <t>Return on Investment (ROI)</t>
  </si>
  <si>
    <t>Annuallized ROI = (1+ROI)^(1/yr) - 1</t>
  </si>
  <si>
    <t>Contribution Margin</t>
  </si>
  <si>
    <t>0 = n*S - (TFC + n*(UVC))</t>
  </si>
  <si>
    <t>0 = n(UCM) - TFC</t>
  </si>
  <si>
    <t>n = TFC / (S - UVC)</t>
  </si>
  <si>
    <t>NI = TR - TVC - TFC</t>
  </si>
  <si>
    <t>Net income changes by</t>
  </si>
  <si>
    <t>NI = TR - TVC</t>
  </si>
  <si>
    <t>Break-even point in dollar</t>
  </si>
  <si>
    <t>TR = n *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</si>
</sst>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2" fontId="0" fillId="0" borderId="0" xfId="0" applyNumberFormat="1"/>
    <xf numFmtId="16" fontId="0" fillId="0" borderId="0" xfId="0" applyNumberFormat="1"/>
    <xf numFmtId="15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6" borderId="0" xfId="0" applyFill="1"/>
    <xf numFmtId="0" fontId="0" fillId="7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73E2-B94F-3A47-86E1-5302CDE5720F}">
  <dimension ref="A2:K60"/>
  <sheetViews>
    <sheetView workbookViewId="0">
      <selection activeCell="C37" sqref="C37"/>
    </sheetView>
  </sheetViews>
  <sheetFormatPr baseColWidth="10" defaultRowHeight="16" x14ac:dyDescent="0.2"/>
  <sheetData>
    <row r="2" spans="1:7" x14ac:dyDescent="0.2">
      <c r="C2" s="5" t="s">
        <v>65</v>
      </c>
    </row>
    <row r="3" spans="1:7" x14ac:dyDescent="0.2">
      <c r="A3" t="s">
        <v>35</v>
      </c>
    </row>
    <row r="4" spans="1:7" x14ac:dyDescent="0.2">
      <c r="A4" t="s">
        <v>36</v>
      </c>
    </row>
    <row r="5" spans="1:7" x14ac:dyDescent="0.2">
      <c r="A5" t="s">
        <v>37</v>
      </c>
    </row>
    <row r="7" spans="1:7" x14ac:dyDescent="0.2">
      <c r="C7" t="s">
        <v>3</v>
      </c>
      <c r="D7" t="s">
        <v>2</v>
      </c>
      <c r="E7" t="s">
        <v>4</v>
      </c>
      <c r="F7" t="s">
        <v>38</v>
      </c>
      <c r="G7" t="s">
        <v>0</v>
      </c>
    </row>
    <row r="8" spans="1:7" x14ac:dyDescent="0.2">
      <c r="C8">
        <v>5000</v>
      </c>
      <c r="D8">
        <v>0.04</v>
      </c>
      <c r="E8">
        <v>1</v>
      </c>
      <c r="F8">
        <f>C8*D8*E8</f>
        <v>200</v>
      </c>
      <c r="G8">
        <f>C8*(1+D8*E8)</f>
        <v>5200</v>
      </c>
    </row>
    <row r="9" spans="1:7" x14ac:dyDescent="0.2">
      <c r="C9">
        <v>4000</v>
      </c>
      <c r="D9">
        <v>0.05</v>
      </c>
      <c r="E9">
        <f>F9/(C9*D9)</f>
        <v>0.75</v>
      </c>
      <c r="F9">
        <v>150</v>
      </c>
    </row>
    <row r="11" spans="1:7" x14ac:dyDescent="0.2">
      <c r="A11" t="s">
        <v>39</v>
      </c>
      <c r="B11" t="s">
        <v>33</v>
      </c>
      <c r="C11">
        <v>1100</v>
      </c>
      <c r="D11">
        <v>0.05</v>
      </c>
      <c r="E11">
        <f>5/12</f>
        <v>0.41666666666666669</v>
      </c>
      <c r="F11">
        <f>C11*D11*E11</f>
        <v>22.916666666666668</v>
      </c>
    </row>
    <row r="12" spans="1:7" x14ac:dyDescent="0.2">
      <c r="B12" t="s">
        <v>23</v>
      </c>
      <c r="C12">
        <v>3500</v>
      </c>
      <c r="D12">
        <f>F12/(C12*E12)</f>
        <v>0.04</v>
      </c>
      <c r="E12">
        <v>0.5</v>
      </c>
      <c r="F12">
        <v>70</v>
      </c>
    </row>
    <row r="13" spans="1:7" x14ac:dyDescent="0.2">
      <c r="B13" t="s">
        <v>34</v>
      </c>
      <c r="C13">
        <f>F13/(D13*E13)</f>
        <v>37000.000000000007</v>
      </c>
      <c r="D13">
        <v>0.06</v>
      </c>
      <c r="E13">
        <f>11/12</f>
        <v>0.91666666666666663</v>
      </c>
      <c r="F13">
        <v>2035</v>
      </c>
    </row>
    <row r="14" spans="1:7" x14ac:dyDescent="0.2">
      <c r="B14" t="s">
        <v>13</v>
      </c>
      <c r="C14">
        <v>95000</v>
      </c>
      <c r="D14">
        <v>0.05</v>
      </c>
      <c r="E14">
        <f>F14/(C14*D14)</f>
        <v>0.25</v>
      </c>
      <c r="F14">
        <v>1187.5</v>
      </c>
    </row>
    <row r="15" spans="1:7" x14ac:dyDescent="0.2">
      <c r="B15" t="s">
        <v>40</v>
      </c>
      <c r="C15">
        <v>15000</v>
      </c>
      <c r="D15">
        <v>7.2499999999999995E-2</v>
      </c>
      <c r="E15">
        <f>4/12</f>
        <v>0.33333333333333331</v>
      </c>
      <c r="F15">
        <f>C15*D15*E15</f>
        <v>362.5</v>
      </c>
    </row>
    <row r="16" spans="1:7" x14ac:dyDescent="0.2">
      <c r="B16" t="s">
        <v>41</v>
      </c>
      <c r="C16">
        <v>15000</v>
      </c>
      <c r="D16">
        <v>0.08</v>
      </c>
      <c r="E16">
        <f>4/12</f>
        <v>0.33333333333333331</v>
      </c>
      <c r="F16">
        <f>C16*D16*E16</f>
        <v>400</v>
      </c>
    </row>
    <row r="17" spans="1:10" x14ac:dyDescent="0.2">
      <c r="B17" t="s">
        <v>42</v>
      </c>
      <c r="C17">
        <v>8000</v>
      </c>
      <c r="D17">
        <v>0.125</v>
      </c>
      <c r="E17">
        <f>7/12</f>
        <v>0.58333333333333337</v>
      </c>
      <c r="G17">
        <f>C17*(1+D17*E17)</f>
        <v>8583.3333333333339</v>
      </c>
    </row>
    <row r="18" spans="1:10" x14ac:dyDescent="0.2">
      <c r="B18" t="s">
        <v>43</v>
      </c>
      <c r="C18">
        <v>8000</v>
      </c>
      <c r="D18">
        <v>0.125</v>
      </c>
      <c r="E18">
        <v>0.5</v>
      </c>
      <c r="G18">
        <f>C18*(1+D18*E18)</f>
        <v>8500</v>
      </c>
    </row>
    <row r="19" spans="1:10" x14ac:dyDescent="0.2">
      <c r="B19" t="s">
        <v>44</v>
      </c>
      <c r="C19">
        <f>F19/(D19*E19)</f>
        <v>1297.2972972972973</v>
      </c>
      <c r="D19">
        <v>0.92500000000000004</v>
      </c>
      <c r="E19">
        <v>1</v>
      </c>
      <c r="F19">
        <v>1200</v>
      </c>
    </row>
    <row r="20" spans="1:10" x14ac:dyDescent="0.2">
      <c r="B20" t="s">
        <v>45</v>
      </c>
      <c r="C20">
        <f>F20/(D20*E20)</f>
        <v>15000</v>
      </c>
      <c r="D20">
        <v>0.08</v>
      </c>
      <c r="E20">
        <v>1</v>
      </c>
      <c r="F20">
        <v>1200</v>
      </c>
    </row>
    <row r="21" spans="1:10" x14ac:dyDescent="0.2">
      <c r="B21" t="s">
        <v>46</v>
      </c>
      <c r="C21">
        <v>20000</v>
      </c>
      <c r="D21">
        <f>F21/(C21*E21)</f>
        <v>0.09</v>
      </c>
      <c r="E21">
        <f>10/12</f>
        <v>0.83333333333333337</v>
      </c>
      <c r="F21">
        <f>G21-C21</f>
        <v>1500</v>
      </c>
      <c r="G21">
        <v>21500</v>
      </c>
    </row>
    <row r="24" spans="1:10" x14ac:dyDescent="0.2">
      <c r="C24" s="5" t="s">
        <v>66</v>
      </c>
    </row>
    <row r="25" spans="1:10" x14ac:dyDescent="0.2">
      <c r="A25" t="s">
        <v>47</v>
      </c>
    </row>
    <row r="26" spans="1:10" x14ac:dyDescent="0.2">
      <c r="A26" t="s">
        <v>48</v>
      </c>
      <c r="B26" t="s">
        <v>49</v>
      </c>
    </row>
    <row r="28" spans="1:10" x14ac:dyDescent="0.2">
      <c r="C28" t="s">
        <v>0</v>
      </c>
      <c r="D28" t="s">
        <v>2</v>
      </c>
      <c r="E28" t="s">
        <v>4</v>
      </c>
      <c r="F28" t="s">
        <v>38</v>
      </c>
      <c r="G28" t="s">
        <v>3</v>
      </c>
    </row>
    <row r="29" spans="1:10" x14ac:dyDescent="0.2">
      <c r="C29">
        <v>4000</v>
      </c>
      <c r="D29">
        <v>0.05</v>
      </c>
      <c r="E29" s="2">
        <f>_xlfn.DAYS(I29,J29)/365</f>
        <v>0.61643835616438358</v>
      </c>
      <c r="G29">
        <f>C29/(1+D29*E29)</f>
        <v>3880.3986710963454</v>
      </c>
      <c r="I29" s="4">
        <v>44457</v>
      </c>
      <c r="J29" s="4">
        <v>44232</v>
      </c>
    </row>
    <row r="30" spans="1:10" x14ac:dyDescent="0.2">
      <c r="C30">
        <v>5000</v>
      </c>
      <c r="D30">
        <v>0.08</v>
      </c>
      <c r="E30">
        <f>7/12</f>
        <v>0.58333333333333337</v>
      </c>
      <c r="G30">
        <f>C30/(1+D30*E30)</f>
        <v>4777.0700636942674</v>
      </c>
    </row>
    <row r="32" spans="1:10" x14ac:dyDescent="0.2">
      <c r="A32" t="s">
        <v>50</v>
      </c>
      <c r="B32">
        <v>1</v>
      </c>
      <c r="C32">
        <v>3000</v>
      </c>
      <c r="D32">
        <v>0.12</v>
      </c>
      <c r="E32">
        <f>4/12</f>
        <v>0.33333333333333331</v>
      </c>
      <c r="G32">
        <f>C32/(1+D32*E32)</f>
        <v>2884.6153846153843</v>
      </c>
    </row>
    <row r="33" spans="1:10" x14ac:dyDescent="0.2">
      <c r="B33">
        <v>2</v>
      </c>
      <c r="C33">
        <v>20000</v>
      </c>
      <c r="D33">
        <v>0.08</v>
      </c>
      <c r="E33" s="2">
        <f>_xlfn.DAYS(I33,J33)/365</f>
        <v>0.15342465753424658</v>
      </c>
      <c r="G33">
        <f>C33/(1+D33*E33)</f>
        <v>19757.497022842916</v>
      </c>
      <c r="I33" s="3">
        <v>45606</v>
      </c>
      <c r="J33" s="3">
        <v>45550</v>
      </c>
    </row>
    <row r="34" spans="1:10" x14ac:dyDescent="0.2">
      <c r="B34">
        <v>3</v>
      </c>
      <c r="C34">
        <v>2500</v>
      </c>
      <c r="D34">
        <v>0.15</v>
      </c>
      <c r="E34" s="2">
        <f>_xlfn.DAYS(I34,J34)/365</f>
        <v>0.17808219178082191</v>
      </c>
      <c r="G34">
        <f>C34/(1+D34*E34)</f>
        <v>2434.9566377585056</v>
      </c>
      <c r="I34" s="4">
        <v>42592</v>
      </c>
      <c r="J34" s="4">
        <v>42527</v>
      </c>
    </row>
    <row r="37" spans="1:10" x14ac:dyDescent="0.2">
      <c r="C37" s="5" t="s">
        <v>67</v>
      </c>
    </row>
    <row r="38" spans="1:10" x14ac:dyDescent="0.2">
      <c r="A38" t="s">
        <v>52</v>
      </c>
    </row>
    <row r="40" spans="1:10" x14ac:dyDescent="0.2">
      <c r="C40" t="s">
        <v>3</v>
      </c>
      <c r="D40" t="s">
        <v>2</v>
      </c>
      <c r="E40" t="s">
        <v>4</v>
      </c>
      <c r="F40" t="s">
        <v>38</v>
      </c>
      <c r="G40" t="s">
        <v>51</v>
      </c>
      <c r="H40" t="s">
        <v>12</v>
      </c>
    </row>
    <row r="41" spans="1:10" x14ac:dyDescent="0.2">
      <c r="C41">
        <v>15000</v>
      </c>
      <c r="D41">
        <v>8.5000000000000006E-2</v>
      </c>
      <c r="E41">
        <f>4/12</f>
        <v>0.33333333333333331</v>
      </c>
      <c r="G41">
        <f>C41*(1+D41*E41)</f>
        <v>15425</v>
      </c>
    </row>
    <row r="42" spans="1:10" x14ac:dyDescent="0.2">
      <c r="D42">
        <v>0.06</v>
      </c>
      <c r="E42">
        <f>4/12</f>
        <v>0.33333333333333331</v>
      </c>
      <c r="H42">
        <f>G41/(1+D42*E42)</f>
        <v>15122.549019607843</v>
      </c>
    </row>
    <row r="44" spans="1:10" x14ac:dyDescent="0.2">
      <c r="C44">
        <v>5000</v>
      </c>
      <c r="D44">
        <v>0.2</v>
      </c>
      <c r="E44">
        <v>1</v>
      </c>
      <c r="G44">
        <f>C44*(1+D44*E44)</f>
        <v>6000</v>
      </c>
    </row>
    <row r="45" spans="1:10" x14ac:dyDescent="0.2">
      <c r="D45">
        <v>0.08</v>
      </c>
      <c r="E45">
        <f>5/12</f>
        <v>0.41666666666666669</v>
      </c>
      <c r="H45">
        <f>G44/(1+D45*E45)</f>
        <v>5806.4516129032254</v>
      </c>
    </row>
    <row r="47" spans="1:10" x14ac:dyDescent="0.2">
      <c r="C47">
        <v>12500</v>
      </c>
      <c r="D47">
        <v>0.24</v>
      </c>
      <c r="E47">
        <f>90/365</f>
        <v>0.24657534246575341</v>
      </c>
      <c r="G47">
        <f>C47*(1+D47*E47)</f>
        <v>13239.726027397261</v>
      </c>
    </row>
    <row r="48" spans="1:10" x14ac:dyDescent="0.2">
      <c r="D48">
        <v>0.1</v>
      </c>
      <c r="E48">
        <f>60/365</f>
        <v>0.16438356164383561</v>
      </c>
      <c r="H48">
        <f>G47/(1+D48*E48)</f>
        <v>13025.606469002696</v>
      </c>
    </row>
    <row r="50" spans="1:11" x14ac:dyDescent="0.2">
      <c r="C50">
        <v>850</v>
      </c>
      <c r="D50">
        <v>0.25</v>
      </c>
      <c r="E50">
        <v>1</v>
      </c>
      <c r="G50">
        <f>C50*(1+D50*E50)</f>
        <v>1062.5</v>
      </c>
    </row>
    <row r="51" spans="1:11" x14ac:dyDescent="0.2">
      <c r="D51">
        <v>0.35</v>
      </c>
      <c r="E51">
        <v>1</v>
      </c>
      <c r="H51">
        <f>G50/(1+D51*E51)</f>
        <v>787.03703703703695</v>
      </c>
    </row>
    <row r="53" spans="1:11" x14ac:dyDescent="0.2">
      <c r="A53" t="s">
        <v>53</v>
      </c>
      <c r="B53">
        <v>1</v>
      </c>
      <c r="C53">
        <v>6000</v>
      </c>
      <c r="D53">
        <v>0.06</v>
      </c>
      <c r="E53">
        <v>0.5</v>
      </c>
      <c r="G53">
        <f>C53*(1+D53*E53)</f>
        <v>6180</v>
      </c>
    </row>
    <row r="54" spans="1:11" x14ac:dyDescent="0.2">
      <c r="D54">
        <v>0.05</v>
      </c>
      <c r="E54">
        <f>1/12</f>
        <v>8.3333333333333329E-2</v>
      </c>
      <c r="H54">
        <f>G53/(1+D54*E54)</f>
        <v>6154.3568464730288</v>
      </c>
    </row>
    <row r="55" spans="1:11" x14ac:dyDescent="0.2">
      <c r="B55">
        <v>2</v>
      </c>
      <c r="C55">
        <v>5000</v>
      </c>
      <c r="D55">
        <v>0.15</v>
      </c>
      <c r="E55">
        <f>10/12</f>
        <v>0.83333333333333337</v>
      </c>
      <c r="G55">
        <f>C55*(1+D55*E55)</f>
        <v>5625</v>
      </c>
    </row>
    <row r="56" spans="1:11" x14ac:dyDescent="0.2">
      <c r="E56">
        <f>5/12</f>
        <v>0.41666666666666669</v>
      </c>
      <c r="G56">
        <v>5000</v>
      </c>
    </row>
    <row r="57" spans="1:11" x14ac:dyDescent="0.2">
      <c r="B57">
        <v>3</v>
      </c>
      <c r="C57">
        <v>5500</v>
      </c>
      <c r="D57">
        <v>0.14499999999999999</v>
      </c>
      <c r="E57">
        <f>8/12</f>
        <v>0.66666666666666663</v>
      </c>
      <c r="G57">
        <f>C57*(1+D57*E57)</f>
        <v>6031.666666666667</v>
      </c>
    </row>
    <row r="58" spans="1:11" x14ac:dyDescent="0.2">
      <c r="C58">
        <v>5500</v>
      </c>
      <c r="D58">
        <v>0.2</v>
      </c>
      <c r="E58">
        <f>8/12</f>
        <v>0.66666666666666663</v>
      </c>
      <c r="G58">
        <f>C58*(1+D58*E58)</f>
        <v>6233.333333333333</v>
      </c>
      <c r="H58">
        <f>G58-G57</f>
        <v>201.66666666666606</v>
      </c>
    </row>
    <row r="59" spans="1:11" x14ac:dyDescent="0.2">
      <c r="B59">
        <v>4</v>
      </c>
      <c r="C59">
        <v>20000</v>
      </c>
      <c r="D59">
        <v>0.08</v>
      </c>
      <c r="E59">
        <f>180/365</f>
        <v>0.49315068493150682</v>
      </c>
      <c r="G59">
        <f>C59*(1+D59*E59)</f>
        <v>20789.04109589041</v>
      </c>
    </row>
    <row r="60" spans="1:11" x14ac:dyDescent="0.2">
      <c r="D60">
        <v>0.06</v>
      </c>
      <c r="E60" s="2">
        <f>_xlfn.DAYS(J60,K60)/365</f>
        <v>0.18356164383561643</v>
      </c>
      <c r="H60">
        <f>G59/(1+D60*E60)</f>
        <v>20562.571134355861</v>
      </c>
      <c r="J60" s="4">
        <v>42685</v>
      </c>
      <c r="K60" s="4">
        <v>42618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906C-947A-4440-A398-6A7705D2FFA0}">
  <dimension ref="A2:L81"/>
  <sheetViews>
    <sheetView workbookViewId="0">
      <selection activeCell="C67" sqref="C67"/>
    </sheetView>
  </sheetViews>
  <sheetFormatPr baseColWidth="10" defaultRowHeight="16" x14ac:dyDescent="0.2"/>
  <cols>
    <col min="9" max="9" width="23.6640625" customWidth="1"/>
    <col min="10" max="11" width="23.83203125" bestFit="1" customWidth="1"/>
  </cols>
  <sheetData>
    <row r="2" spans="1:12" x14ac:dyDescent="0.2">
      <c r="C2" s="5" t="s">
        <v>68</v>
      </c>
    </row>
    <row r="3" spans="1:12" x14ac:dyDescent="0.2">
      <c r="A3" t="s">
        <v>5</v>
      </c>
      <c r="B3">
        <v>1</v>
      </c>
    </row>
    <row r="4" spans="1:12" x14ac:dyDescent="0.2">
      <c r="A4" t="s">
        <v>6</v>
      </c>
      <c r="B4">
        <v>2</v>
      </c>
    </row>
    <row r="5" spans="1:12" x14ac:dyDescent="0.2">
      <c r="A5" t="s">
        <v>7</v>
      </c>
      <c r="B5">
        <v>4</v>
      </c>
    </row>
    <row r="6" spans="1:12" x14ac:dyDescent="0.2">
      <c r="A6" t="s">
        <v>8</v>
      </c>
      <c r="B6">
        <v>12</v>
      </c>
    </row>
    <row r="8" spans="1:12" x14ac:dyDescent="0.2">
      <c r="A8" t="s">
        <v>54</v>
      </c>
    </row>
    <row r="10" spans="1:12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0</v>
      </c>
      <c r="I10" t="s">
        <v>9</v>
      </c>
      <c r="J10" t="s">
        <v>10</v>
      </c>
      <c r="K10" t="s">
        <v>11</v>
      </c>
      <c r="L10" t="s">
        <v>55</v>
      </c>
    </row>
    <row r="11" spans="1:12" x14ac:dyDescent="0.2">
      <c r="C11">
        <v>6000</v>
      </c>
      <c r="D11">
        <v>0.15</v>
      </c>
      <c r="E11">
        <f>D11/1</f>
        <v>0.15</v>
      </c>
      <c r="F11">
        <v>8</v>
      </c>
      <c r="G11">
        <f>F11*1</f>
        <v>8</v>
      </c>
      <c r="H11">
        <f>C11*(1+E11)^G11</f>
        <v>18354.137175234362</v>
      </c>
    </row>
    <row r="12" spans="1:12" x14ac:dyDescent="0.2">
      <c r="C12">
        <v>6000</v>
      </c>
      <c r="D12">
        <v>0.15</v>
      </c>
      <c r="E12">
        <f>D12/2</f>
        <v>7.4999999999999997E-2</v>
      </c>
      <c r="F12">
        <v>8</v>
      </c>
      <c r="G12">
        <f>F12*2</f>
        <v>16</v>
      </c>
      <c r="H12">
        <f>C12*(1+E12)^G12</f>
        <v>19084.758925621216</v>
      </c>
    </row>
    <row r="13" spans="1:12" x14ac:dyDescent="0.2">
      <c r="C13">
        <v>6000</v>
      </c>
      <c r="D13">
        <v>0.15</v>
      </c>
      <c r="E13">
        <f>D13/4</f>
        <v>3.7499999999999999E-2</v>
      </c>
      <c r="F13">
        <v>8</v>
      </c>
      <c r="G13">
        <f>F13*4</f>
        <v>32</v>
      </c>
      <c r="H13">
        <f>C13*(1+E13)^G13</f>
        <v>19488.150401704977</v>
      </c>
    </row>
    <row r="14" spans="1:12" x14ac:dyDescent="0.2">
      <c r="C14">
        <v>6000</v>
      </c>
      <c r="D14">
        <v>0.15</v>
      </c>
      <c r="E14">
        <f>D14/12</f>
        <v>1.2499999999999999E-2</v>
      </c>
      <c r="F14">
        <v>8</v>
      </c>
      <c r="G14">
        <f>F14*12</f>
        <v>96</v>
      </c>
      <c r="H14">
        <f>C14*(1+E14)^G14</f>
        <v>19773.079455010957</v>
      </c>
    </row>
    <row r="16" spans="1:12" x14ac:dyDescent="0.2">
      <c r="C16">
        <f>H16/(1+E16)^G16</f>
        <v>6408.1647167554256</v>
      </c>
      <c r="D16">
        <v>0.09</v>
      </c>
      <c r="E16">
        <f>D16/4</f>
        <v>2.2499999999999999E-2</v>
      </c>
      <c r="F16">
        <v>5</v>
      </c>
      <c r="G16">
        <f>5*4</f>
        <v>20</v>
      </c>
      <c r="H16">
        <v>10000</v>
      </c>
    </row>
    <row r="18" spans="1:12" x14ac:dyDescent="0.2">
      <c r="H18">
        <v>2</v>
      </c>
      <c r="I18" t="s">
        <v>57</v>
      </c>
      <c r="J18" t="s">
        <v>58</v>
      </c>
      <c r="K18" t="s">
        <v>59</v>
      </c>
      <c r="L18" t="s">
        <v>60</v>
      </c>
    </row>
    <row r="19" spans="1:12" x14ac:dyDescent="0.2">
      <c r="A19" t="s">
        <v>56</v>
      </c>
      <c r="B19">
        <v>1.1000000000000001</v>
      </c>
      <c r="C19">
        <v>5000</v>
      </c>
      <c r="D19">
        <v>0.08</v>
      </c>
      <c r="E19">
        <f>D19/12</f>
        <v>6.6666666666666671E-3</v>
      </c>
      <c r="F19">
        <v>1.5</v>
      </c>
      <c r="G19">
        <f>F19*12</f>
        <v>18</v>
      </c>
      <c r="H19">
        <f>C19*(1+E19)^G19</f>
        <v>5635.23968350205</v>
      </c>
      <c r="I19">
        <f>E19</f>
        <v>6.6666666666666671E-3</v>
      </c>
      <c r="J19">
        <v>1</v>
      </c>
      <c r="K19">
        <v>12</v>
      </c>
      <c r="L19">
        <f>G19</f>
        <v>18</v>
      </c>
    </row>
    <row r="20" spans="1:12" x14ac:dyDescent="0.2">
      <c r="B20">
        <v>1.2</v>
      </c>
      <c r="C20">
        <v>25000</v>
      </c>
      <c r="D20">
        <v>0.875</v>
      </c>
      <c r="E20">
        <f>D20/4</f>
        <v>0.21875</v>
      </c>
      <c r="F20">
        <v>2</v>
      </c>
      <c r="G20">
        <f>F20*4</f>
        <v>8</v>
      </c>
      <c r="H20">
        <f t="shared" ref="H20:H22" si="0">C20*(1+E20)^G20</f>
        <v>121690.60165617793</v>
      </c>
      <c r="I20">
        <f>E20</f>
        <v>0.21875</v>
      </c>
      <c r="J20">
        <v>3</v>
      </c>
      <c r="K20">
        <v>4</v>
      </c>
      <c r="L20">
        <f>G20</f>
        <v>8</v>
      </c>
    </row>
    <row r="21" spans="1:12" x14ac:dyDescent="0.2">
      <c r="B21">
        <v>1.3</v>
      </c>
      <c r="C21">
        <v>52000</v>
      </c>
      <c r="D21">
        <v>0.09</v>
      </c>
      <c r="E21">
        <f>D21/2</f>
        <v>4.4999999999999998E-2</v>
      </c>
      <c r="F21">
        <v>2.25</v>
      </c>
      <c r="G21">
        <f>F21*2</f>
        <v>4.5</v>
      </c>
      <c r="H21">
        <f t="shared" si="0"/>
        <v>63390.861010717825</v>
      </c>
      <c r="I21">
        <f>E21</f>
        <v>4.4999999999999998E-2</v>
      </c>
      <c r="J21">
        <v>6</v>
      </c>
      <c r="K21">
        <v>2</v>
      </c>
      <c r="L21">
        <f>G21</f>
        <v>4.5</v>
      </c>
    </row>
    <row r="22" spans="1:12" x14ac:dyDescent="0.2">
      <c r="B22">
        <v>1.4</v>
      </c>
      <c r="C22">
        <v>4000</v>
      </c>
      <c r="D22">
        <v>0.11</v>
      </c>
      <c r="E22">
        <f>D22/1</f>
        <v>0.11</v>
      </c>
      <c r="F22">
        <v>4</v>
      </c>
      <c r="G22">
        <f>F22*1</f>
        <v>4</v>
      </c>
      <c r="H22">
        <f t="shared" si="0"/>
        <v>6072.281640000002</v>
      </c>
      <c r="I22">
        <f>E22</f>
        <v>0.11</v>
      </c>
      <c r="J22">
        <v>1</v>
      </c>
      <c r="K22">
        <v>1</v>
      </c>
      <c r="L22">
        <f>G22</f>
        <v>4</v>
      </c>
    </row>
    <row r="23" spans="1:12" x14ac:dyDescent="0.2">
      <c r="B23">
        <v>3</v>
      </c>
      <c r="C23">
        <f>H23/(1+E23)^G23</f>
        <v>3720.4695744836258</v>
      </c>
      <c r="D23">
        <v>0.06</v>
      </c>
      <c r="E23">
        <f>D23/2</f>
        <v>0.03</v>
      </c>
      <c r="F23">
        <v>5</v>
      </c>
      <c r="G23">
        <f>F23*2</f>
        <v>10</v>
      </c>
      <c r="H23">
        <v>5000</v>
      </c>
    </row>
    <row r="24" spans="1:12" x14ac:dyDescent="0.2">
      <c r="B24">
        <v>4</v>
      </c>
      <c r="C24">
        <v>2000</v>
      </c>
      <c r="D24">
        <v>0.08</v>
      </c>
      <c r="E24">
        <f>D24/1</f>
        <v>0.08</v>
      </c>
      <c r="F24">
        <v>10</v>
      </c>
      <c r="G24">
        <f>F24*1</f>
        <v>10</v>
      </c>
      <c r="H24">
        <f>C24*(1+E24)^G24</f>
        <v>4317.8499945455751</v>
      </c>
    </row>
    <row r="25" spans="1:12" x14ac:dyDescent="0.2">
      <c r="C25">
        <f>H25/(1+E25)^G25</f>
        <v>5402.6888450197575</v>
      </c>
      <c r="D25">
        <v>0.08</v>
      </c>
      <c r="E25">
        <f>D25/1</f>
        <v>0.08</v>
      </c>
      <c r="F25">
        <v>8</v>
      </c>
      <c r="G25">
        <f>F25*1</f>
        <v>8</v>
      </c>
      <c r="H25">
        <v>10000</v>
      </c>
      <c r="I25">
        <f>C25-H24</f>
        <v>1084.8388504741824</v>
      </c>
    </row>
    <row r="28" spans="1:12" x14ac:dyDescent="0.2">
      <c r="C28">
        <v>100000</v>
      </c>
      <c r="E28">
        <v>0.06</v>
      </c>
      <c r="F28">
        <v>2</v>
      </c>
      <c r="G28">
        <v>2</v>
      </c>
      <c r="H28" s="2">
        <f t="shared" ref="H28:H36" si="1">C28*(1+(E28/G28))^(G28*F28)</f>
        <v>112550.88099999999</v>
      </c>
      <c r="I28" s="1" t="e">
        <f>#REF!*H29*H30</f>
        <v>#REF!</v>
      </c>
      <c r="J28" s="1">
        <f>H31*H32*H33</f>
        <v>2080744619416121</v>
      </c>
      <c r="K28" s="1">
        <f>H34*H35*H36</f>
        <v>1836251861014786.5</v>
      </c>
    </row>
    <row r="29" spans="1:12" x14ac:dyDescent="0.2">
      <c r="C29">
        <v>100000</v>
      </c>
      <c r="E29">
        <v>0.1</v>
      </c>
      <c r="F29">
        <v>3</v>
      </c>
      <c r="G29">
        <v>4</v>
      </c>
      <c r="H29" s="2">
        <f t="shared" si="1"/>
        <v>134488.88242462976</v>
      </c>
    </row>
    <row r="30" spans="1:12" x14ac:dyDescent="0.2">
      <c r="C30">
        <v>100000</v>
      </c>
      <c r="E30">
        <v>0.15</v>
      </c>
      <c r="F30">
        <v>2</v>
      </c>
      <c r="G30">
        <v>12</v>
      </c>
      <c r="H30" s="2">
        <f t="shared" si="1"/>
        <v>134735.10504143508</v>
      </c>
    </row>
    <row r="31" spans="1:12" x14ac:dyDescent="0.2">
      <c r="C31">
        <v>100000</v>
      </c>
      <c r="E31">
        <v>0.08</v>
      </c>
      <c r="F31">
        <v>3</v>
      </c>
      <c r="G31">
        <v>2</v>
      </c>
      <c r="H31" s="2">
        <f t="shared" si="1"/>
        <v>126531.90184960004</v>
      </c>
    </row>
    <row r="32" spans="1:12" x14ac:dyDescent="0.2">
      <c r="C32">
        <v>100000</v>
      </c>
      <c r="E32">
        <v>0.12</v>
      </c>
      <c r="F32">
        <v>3</v>
      </c>
      <c r="G32">
        <v>12</v>
      </c>
      <c r="H32" s="2">
        <f t="shared" si="1"/>
        <v>143076.87835915809</v>
      </c>
    </row>
    <row r="33" spans="1:8" x14ac:dyDescent="0.2">
      <c r="C33">
        <v>100000</v>
      </c>
      <c r="E33">
        <v>0.14000000000000001</v>
      </c>
      <c r="F33">
        <v>1</v>
      </c>
      <c r="G33">
        <v>12</v>
      </c>
      <c r="H33" s="2">
        <f t="shared" si="1"/>
        <v>114934.20292071576</v>
      </c>
    </row>
    <row r="34" spans="1:8" x14ac:dyDescent="0.2">
      <c r="C34">
        <v>100000</v>
      </c>
      <c r="E34">
        <v>0.06</v>
      </c>
      <c r="F34">
        <v>2</v>
      </c>
      <c r="G34">
        <v>1</v>
      </c>
      <c r="H34" s="2">
        <f t="shared" si="1"/>
        <v>112360.00000000001</v>
      </c>
    </row>
    <row r="35" spans="1:8" x14ac:dyDescent="0.2">
      <c r="C35">
        <v>100000</v>
      </c>
      <c r="E35">
        <v>0.08</v>
      </c>
      <c r="F35">
        <v>3</v>
      </c>
      <c r="G35">
        <v>2</v>
      </c>
      <c r="H35" s="2">
        <f t="shared" si="1"/>
        <v>126531.90184960004</v>
      </c>
    </row>
    <row r="36" spans="1:8" x14ac:dyDescent="0.2">
      <c r="C36">
        <v>100000</v>
      </c>
      <c r="E36">
        <v>0.13</v>
      </c>
      <c r="F36">
        <v>2</v>
      </c>
      <c r="G36">
        <v>4</v>
      </c>
      <c r="H36" s="2">
        <f t="shared" si="1"/>
        <v>129157.75352963673</v>
      </c>
    </row>
    <row r="37" spans="1:8" x14ac:dyDescent="0.2">
      <c r="H37" s="2"/>
    </row>
    <row r="38" spans="1:8" x14ac:dyDescent="0.2">
      <c r="H38" s="2"/>
    </row>
    <row r="39" spans="1:8" x14ac:dyDescent="0.2">
      <c r="C39" s="5" t="s">
        <v>69</v>
      </c>
    </row>
    <row r="40" spans="1:8" x14ac:dyDescent="0.2">
      <c r="A40" t="s">
        <v>61</v>
      </c>
    </row>
    <row r="42" spans="1:8" x14ac:dyDescent="0.2">
      <c r="C42" t="s">
        <v>3</v>
      </c>
      <c r="D42" t="s">
        <v>2</v>
      </c>
      <c r="E42" t="s">
        <v>1</v>
      </c>
      <c r="F42" t="s">
        <v>4</v>
      </c>
      <c r="G42" t="s">
        <v>24</v>
      </c>
      <c r="H42" t="s">
        <v>0</v>
      </c>
    </row>
    <row r="43" spans="1:8" x14ac:dyDescent="0.2">
      <c r="C43">
        <v>10000</v>
      </c>
      <c r="D43">
        <v>0.03</v>
      </c>
      <c r="E43">
        <f>D43/4</f>
        <v>7.4999999999999997E-3</v>
      </c>
      <c r="F43">
        <v>5</v>
      </c>
      <c r="G43">
        <f>F43*4</f>
        <v>20</v>
      </c>
      <c r="H43">
        <f>C43*(1+E43)^G43</f>
        <v>11611.841423032</v>
      </c>
    </row>
    <row r="44" spans="1:8" x14ac:dyDescent="0.2">
      <c r="C44">
        <v>11611.84</v>
      </c>
      <c r="D44">
        <v>0.04</v>
      </c>
      <c r="E44">
        <f>D44/2</f>
        <v>0.02</v>
      </c>
      <c r="F44">
        <v>8</v>
      </c>
      <c r="G44">
        <f>F44*2</f>
        <v>16</v>
      </c>
      <c r="H44">
        <f>C44*(1+E44)^G44</f>
        <v>15940.567961799372</v>
      </c>
    </row>
    <row r="45" spans="1:8" x14ac:dyDescent="0.2">
      <c r="H45">
        <f>H44-C43</f>
        <v>5940.5679617993719</v>
      </c>
    </row>
    <row r="47" spans="1:8" x14ac:dyDescent="0.2">
      <c r="C47">
        <v>20000</v>
      </c>
      <c r="D47">
        <v>0.09</v>
      </c>
      <c r="E47">
        <f>D47/2</f>
        <v>4.4999999999999998E-2</v>
      </c>
      <c r="F47">
        <v>2</v>
      </c>
      <c r="G47">
        <f>F47*2</f>
        <v>4</v>
      </c>
      <c r="H47">
        <f>C47*(1+E47)^G47</f>
        <v>23850.372012499989</v>
      </c>
    </row>
    <row r="48" spans="1:8" x14ac:dyDescent="0.2">
      <c r="C48">
        <v>23850.37</v>
      </c>
      <c r="D48">
        <v>0.1</v>
      </c>
      <c r="E48">
        <f>D48/4</f>
        <v>2.5000000000000001E-2</v>
      </c>
      <c r="F48">
        <v>3</v>
      </c>
      <c r="G48">
        <f>F48*4</f>
        <v>12</v>
      </c>
      <c r="H48">
        <f>C48*(1+E48)^G48</f>
        <v>32076.096067139166</v>
      </c>
    </row>
    <row r="49" spans="1:9" x14ac:dyDescent="0.2">
      <c r="C49">
        <v>32076.1</v>
      </c>
      <c r="D49">
        <v>0.13</v>
      </c>
      <c r="E49">
        <f>D49/12</f>
        <v>1.0833333333333334E-2</v>
      </c>
      <c r="F49">
        <v>4</v>
      </c>
      <c r="G49">
        <f>F49*12</f>
        <v>48</v>
      </c>
      <c r="H49">
        <f>C49*(1+E49)^G49</f>
        <v>53802.219265099862</v>
      </c>
      <c r="I49">
        <f>C47*(1+E47)^G47*(1+E48)^G48*(1+E49)^G49</f>
        <v>53802.217208236354</v>
      </c>
    </row>
    <row r="50" spans="1:9" x14ac:dyDescent="0.2">
      <c r="H50">
        <f>H49-C47</f>
        <v>33802.219265099862</v>
      </c>
    </row>
    <row r="52" spans="1:9" x14ac:dyDescent="0.2">
      <c r="A52" t="s">
        <v>62</v>
      </c>
      <c r="B52">
        <v>1</v>
      </c>
      <c r="C52">
        <v>11500</v>
      </c>
      <c r="D52">
        <v>0.6</v>
      </c>
      <c r="E52">
        <f>D52/12</f>
        <v>4.9999999999999996E-2</v>
      </c>
      <c r="F52">
        <v>5</v>
      </c>
      <c r="G52">
        <f>F52*12</f>
        <v>60</v>
      </c>
    </row>
    <row r="53" spans="1:9" x14ac:dyDescent="0.2">
      <c r="D53">
        <v>0.8</v>
      </c>
      <c r="E53">
        <f>D53/4</f>
        <v>0.2</v>
      </c>
      <c r="F53">
        <v>5</v>
      </c>
      <c r="G53">
        <f>F53*4</f>
        <v>20</v>
      </c>
      <c r="H53">
        <f>C52*(1+E52)^G52*(1+E53)^G53</f>
        <v>8235324.2908234466</v>
      </c>
    </row>
    <row r="54" spans="1:9" x14ac:dyDescent="0.2">
      <c r="B54">
        <v>2</v>
      </c>
      <c r="C54">
        <v>5000</v>
      </c>
      <c r="D54">
        <v>0.7</v>
      </c>
      <c r="F54">
        <v>4.5</v>
      </c>
      <c r="H54">
        <f>C54*(1+D54)^F54</f>
        <v>54449.030408493032</v>
      </c>
    </row>
    <row r="55" spans="1:9" x14ac:dyDescent="0.2">
      <c r="H55">
        <f>H54-C54</f>
        <v>49449.030408493032</v>
      </c>
    </row>
    <row r="56" spans="1:9" x14ac:dyDescent="0.2">
      <c r="B56">
        <v>5</v>
      </c>
      <c r="C56">
        <v>100000</v>
      </c>
      <c r="D56">
        <v>0.6</v>
      </c>
      <c r="E56">
        <f>D56/2</f>
        <v>0.3</v>
      </c>
      <c r="F56">
        <v>2</v>
      </c>
      <c r="G56">
        <f>F56*2</f>
        <v>4</v>
      </c>
    </row>
    <row r="57" spans="1:9" x14ac:dyDescent="0.2">
      <c r="D57">
        <v>0.1</v>
      </c>
      <c r="E57">
        <f>D57/4</f>
        <v>2.5000000000000001E-2</v>
      </c>
      <c r="F57">
        <v>3</v>
      </c>
      <c r="G57">
        <f>F57*4</f>
        <v>12</v>
      </c>
    </row>
    <row r="58" spans="1:9" x14ac:dyDescent="0.2">
      <c r="D58">
        <v>0.15</v>
      </c>
      <c r="E58">
        <f>D58/12</f>
        <v>1.2499999999999999E-2</v>
      </c>
      <c r="F58">
        <v>2</v>
      </c>
      <c r="G58">
        <f>F58*12</f>
        <v>24</v>
      </c>
      <c r="H58" s="1">
        <f>C56*(1+E56)^G56*(1+E57)^G57*(1+E58)^G58</f>
        <v>517535.99325677328</v>
      </c>
    </row>
    <row r="59" spans="1:9" x14ac:dyDescent="0.2">
      <c r="C59">
        <v>100000</v>
      </c>
      <c r="D59">
        <v>0.08</v>
      </c>
      <c r="E59">
        <f>D59/2</f>
        <v>0.04</v>
      </c>
      <c r="F59">
        <v>3</v>
      </c>
      <c r="G59">
        <f>F59*2</f>
        <v>6</v>
      </c>
    </row>
    <row r="60" spans="1:9" x14ac:dyDescent="0.2">
      <c r="D60">
        <v>0.12</v>
      </c>
      <c r="E60">
        <f>D60/12</f>
        <v>0.01</v>
      </c>
      <c r="F60">
        <v>3</v>
      </c>
      <c r="G60">
        <f>F60*12</f>
        <v>36</v>
      </c>
    </row>
    <row r="61" spans="1:9" x14ac:dyDescent="0.2">
      <c r="D61">
        <v>0.14000000000000001</v>
      </c>
      <c r="E61">
        <f>D61/12</f>
        <v>1.1666666666666667E-2</v>
      </c>
      <c r="F61">
        <v>1</v>
      </c>
      <c r="G61">
        <v>12</v>
      </c>
      <c r="H61" s="1">
        <f>C59*(1+E59)^G59*(1+E60)^G60*(1+E61)^G61</f>
        <v>208074.46194161213</v>
      </c>
    </row>
    <row r="62" spans="1:9" x14ac:dyDescent="0.2">
      <c r="C62">
        <v>100000</v>
      </c>
      <c r="D62">
        <v>0.06</v>
      </c>
      <c r="E62">
        <v>0.06</v>
      </c>
      <c r="F62">
        <v>2</v>
      </c>
      <c r="G62">
        <v>2</v>
      </c>
    </row>
    <row r="63" spans="1:9" x14ac:dyDescent="0.2">
      <c r="D63">
        <v>0.08</v>
      </c>
      <c r="E63">
        <f>D63/2</f>
        <v>0.04</v>
      </c>
      <c r="F63">
        <v>3</v>
      </c>
      <c r="G63">
        <f>F63*2</f>
        <v>6</v>
      </c>
    </row>
    <row r="64" spans="1:9" x14ac:dyDescent="0.2">
      <c r="D64">
        <v>0.13</v>
      </c>
      <c r="E64">
        <f>D64/4</f>
        <v>3.2500000000000001E-2</v>
      </c>
      <c r="F64">
        <v>2</v>
      </c>
      <c r="G64">
        <f>F64*4</f>
        <v>8</v>
      </c>
      <c r="H64" s="1">
        <f>C62*(1+E62)^G62*(1+E63)^G63*(1+E64)^G64</f>
        <v>183625.18610147864</v>
      </c>
    </row>
    <row r="67" spans="1:9" x14ac:dyDescent="0.2">
      <c r="C67" s="5" t="s">
        <v>70</v>
      </c>
    </row>
    <row r="68" spans="1:9" x14ac:dyDescent="0.2">
      <c r="A68" t="s">
        <v>54</v>
      </c>
    </row>
    <row r="70" spans="1:9" x14ac:dyDescent="0.2">
      <c r="C70" t="s">
        <v>3</v>
      </c>
      <c r="D70" t="s">
        <v>2</v>
      </c>
      <c r="E70" t="s">
        <v>1</v>
      </c>
      <c r="F70" t="s">
        <v>4</v>
      </c>
      <c r="G70" t="s">
        <v>24</v>
      </c>
      <c r="H70" t="s">
        <v>51</v>
      </c>
      <c r="I70" t="s">
        <v>12</v>
      </c>
    </row>
    <row r="71" spans="1:9" x14ac:dyDescent="0.2">
      <c r="C71">
        <v>4500</v>
      </c>
      <c r="D71">
        <v>0.05</v>
      </c>
      <c r="E71">
        <f>D71/2</f>
        <v>2.5000000000000001E-2</v>
      </c>
      <c r="F71">
        <v>6</v>
      </c>
      <c r="G71">
        <f>F71*2</f>
        <v>12</v>
      </c>
      <c r="H71">
        <f>C71*(1+E71)^G71</f>
        <v>6051.9997091083387</v>
      </c>
    </row>
    <row r="72" spans="1:9" x14ac:dyDescent="0.2">
      <c r="C72">
        <v>6052</v>
      </c>
      <c r="D72">
        <v>4.4999999999999998E-2</v>
      </c>
      <c r="F72">
        <v>6</v>
      </c>
      <c r="I72">
        <f>C72/(1+D72)^F72</f>
        <v>4647.3050080594658</v>
      </c>
    </row>
    <row r="74" spans="1:9" x14ac:dyDescent="0.2">
      <c r="C74">
        <v>1</v>
      </c>
      <c r="D74">
        <v>0.9</v>
      </c>
      <c r="E74">
        <f>D74/2</f>
        <v>0.45</v>
      </c>
      <c r="F74">
        <v>4</v>
      </c>
      <c r="G74">
        <f>F74*2</f>
        <v>8</v>
      </c>
      <c r="I74">
        <f>C74/(1+E74)^G74</f>
        <v>5.1174779741990507E-2</v>
      </c>
    </row>
    <row r="76" spans="1:9" x14ac:dyDescent="0.2">
      <c r="C76">
        <v>15000</v>
      </c>
      <c r="D76">
        <v>0.12</v>
      </c>
      <c r="E76">
        <f>D76/2</f>
        <v>0.06</v>
      </c>
      <c r="F76">
        <v>10</v>
      </c>
      <c r="G76">
        <f>F76*2</f>
        <v>20</v>
      </c>
      <c r="H76">
        <f>C76*(1+E76)^G76</f>
        <v>48107.032083192717</v>
      </c>
    </row>
    <row r="77" spans="1:9" x14ac:dyDescent="0.2">
      <c r="D77">
        <v>0.08</v>
      </c>
      <c r="E77">
        <f>D77/2</f>
        <v>0.04</v>
      </c>
      <c r="F77">
        <v>9</v>
      </c>
      <c r="G77">
        <f>F77*2</f>
        <v>18</v>
      </c>
      <c r="I77">
        <f>H76/(1+E77)^G77</f>
        <v>23746.983854657588</v>
      </c>
    </row>
    <row r="78" spans="1:9" x14ac:dyDescent="0.2">
      <c r="D78">
        <v>0.05</v>
      </c>
      <c r="E78">
        <f>D78/2</f>
        <v>2.5000000000000001E-2</v>
      </c>
      <c r="F78">
        <v>7</v>
      </c>
      <c r="G78">
        <f>F78*2</f>
        <v>14</v>
      </c>
      <c r="I78">
        <f>H76/(1+E78)^G78</f>
        <v>34046.654912572434</v>
      </c>
    </row>
    <row r="80" spans="1:9" x14ac:dyDescent="0.2">
      <c r="A80" t="s">
        <v>63</v>
      </c>
    </row>
    <row r="81" spans="2:9" x14ac:dyDescent="0.2">
      <c r="B81">
        <v>6</v>
      </c>
      <c r="C81">
        <v>32150.880000000001</v>
      </c>
      <c r="D81">
        <v>0.15</v>
      </c>
      <c r="F81">
        <f>3+8/12</f>
        <v>3.6666666666666665</v>
      </c>
      <c r="I81">
        <f>C81/(1+D81)^F81</f>
        <v>19259.01699966782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484A-AD42-7F40-B7FA-6AB99781CD2F}">
  <dimension ref="A3:M13"/>
  <sheetViews>
    <sheetView workbookViewId="0">
      <selection activeCell="K17" sqref="K17"/>
    </sheetView>
  </sheetViews>
  <sheetFormatPr baseColWidth="10" defaultRowHeight="16" x14ac:dyDescent="0.2"/>
  <cols>
    <col min="2" max="2" width="15.33203125" customWidth="1"/>
  </cols>
  <sheetData>
    <row r="3" spans="1:13" x14ac:dyDescent="0.2">
      <c r="C3" t="s">
        <v>3</v>
      </c>
      <c r="D3" t="s">
        <v>0</v>
      </c>
      <c r="E3" t="s">
        <v>1</v>
      </c>
      <c r="F3" t="s">
        <v>2</v>
      </c>
      <c r="G3" t="s">
        <v>4</v>
      </c>
      <c r="I3" t="s">
        <v>12</v>
      </c>
    </row>
    <row r="4" spans="1:13" x14ac:dyDescent="0.2">
      <c r="A4" t="s">
        <v>64</v>
      </c>
    </row>
    <row r="5" spans="1:13" x14ac:dyDescent="0.2">
      <c r="B5" t="s">
        <v>13</v>
      </c>
      <c r="C5">
        <v>15000</v>
      </c>
      <c r="E5">
        <v>187.5</v>
      </c>
      <c r="F5">
        <v>0.05</v>
      </c>
      <c r="G5">
        <f>E5/(C5*F5)</f>
        <v>0.25</v>
      </c>
      <c r="H5" t="s">
        <v>15</v>
      </c>
    </row>
    <row r="6" spans="1:13" x14ac:dyDescent="0.2">
      <c r="B6" t="s">
        <v>14</v>
      </c>
      <c r="D6">
        <v>15000</v>
      </c>
      <c r="F6">
        <v>0.08</v>
      </c>
      <c r="G6">
        <f>33/365</f>
        <v>9.0410958904109592E-2</v>
      </c>
      <c r="I6" s="2">
        <f>D6*(1+F6*G6)^(-1)</f>
        <v>14892.28593188989</v>
      </c>
      <c r="J6" s="2"/>
    </row>
    <row r="7" spans="1:13" x14ac:dyDescent="0.2">
      <c r="B7" t="s">
        <v>16</v>
      </c>
      <c r="D7">
        <v>50000</v>
      </c>
      <c r="F7">
        <v>0.65</v>
      </c>
      <c r="G7">
        <v>5</v>
      </c>
      <c r="H7">
        <v>2</v>
      </c>
      <c r="I7">
        <f>D7*(1+(F7/H7))^(-(H7*G7))</f>
        <v>2997.8591313845604</v>
      </c>
    </row>
    <row r="8" spans="1:13" x14ac:dyDescent="0.2">
      <c r="B8" t="s">
        <v>17</v>
      </c>
    </row>
    <row r="10" spans="1:13" x14ac:dyDescent="0.2">
      <c r="C10" t="s">
        <v>3</v>
      </c>
      <c r="D10" t="s">
        <v>2</v>
      </c>
      <c r="E10" t="s">
        <v>1</v>
      </c>
      <c r="F10" t="s">
        <v>4</v>
      </c>
      <c r="G10" t="s">
        <v>24</v>
      </c>
      <c r="H10" t="s">
        <v>51</v>
      </c>
      <c r="I10" t="s">
        <v>38</v>
      </c>
      <c r="J10" t="s">
        <v>12</v>
      </c>
    </row>
    <row r="11" spans="1:13" x14ac:dyDescent="0.2">
      <c r="B11">
        <v>4</v>
      </c>
      <c r="C11">
        <v>15000</v>
      </c>
      <c r="D11">
        <v>0.05</v>
      </c>
      <c r="F11">
        <f>I11/(C11*D11)</f>
        <v>0.25</v>
      </c>
      <c r="I11">
        <v>187.5</v>
      </c>
    </row>
    <row r="12" spans="1:13" x14ac:dyDescent="0.2">
      <c r="B12">
        <v>6</v>
      </c>
      <c r="C12">
        <v>15000</v>
      </c>
      <c r="D12">
        <v>0.08</v>
      </c>
      <c r="F12">
        <f>3/12</f>
        <v>0.25</v>
      </c>
      <c r="J12">
        <f>C12/(1+D12*K12)</f>
        <v>14892.28593188989</v>
      </c>
      <c r="K12" s="2">
        <f>_xlfn.DAYS(L12,M12)/365</f>
        <v>9.0410958904109592E-2</v>
      </c>
      <c r="L12" s="3">
        <v>45598</v>
      </c>
      <c r="M12" s="3">
        <v>45565</v>
      </c>
    </row>
    <row r="13" spans="1:13" x14ac:dyDescent="0.2">
      <c r="B13">
        <v>10</v>
      </c>
      <c r="C13">
        <f>H13/(1+E13)^G13</f>
        <v>36313.607994271159</v>
      </c>
      <c r="D13">
        <v>6.5000000000000002E-2</v>
      </c>
      <c r="E13">
        <f>D13/2</f>
        <v>3.2500000000000001E-2</v>
      </c>
      <c r="F13">
        <v>5</v>
      </c>
      <c r="G13">
        <f>F13*2</f>
        <v>10</v>
      </c>
      <c r="H13"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A999-3EE4-1A49-8821-5B7514BE5F5A}">
  <dimension ref="A2:T82"/>
  <sheetViews>
    <sheetView tabSelected="1" topLeftCell="A50" workbookViewId="0">
      <selection activeCell="Q69" sqref="Q69"/>
    </sheetView>
  </sheetViews>
  <sheetFormatPr baseColWidth="10" defaultRowHeight="16" x14ac:dyDescent="0.2"/>
  <sheetData>
    <row r="2" spans="1:15" x14ac:dyDescent="0.2">
      <c r="C2" s="5" t="s">
        <v>18</v>
      </c>
    </row>
    <row r="3" spans="1:15" x14ac:dyDescent="0.2">
      <c r="A3" t="s">
        <v>19</v>
      </c>
      <c r="O3" t="s">
        <v>19</v>
      </c>
    </row>
    <row r="5" spans="1:15" x14ac:dyDescent="0.2">
      <c r="C5" t="s">
        <v>21</v>
      </c>
      <c r="F5" t="s">
        <v>20</v>
      </c>
      <c r="G5" t="s">
        <v>24</v>
      </c>
      <c r="H5" t="s">
        <v>18</v>
      </c>
    </row>
    <row r="6" spans="1:15" x14ac:dyDescent="0.2">
      <c r="C6">
        <f>157+350+135+77.65+22.79+23.2</f>
        <v>765.64</v>
      </c>
      <c r="D6">
        <f>0.14*540</f>
        <v>75.600000000000009</v>
      </c>
      <c r="E6">
        <f>196.952*0.0993</f>
        <v>19.5573336</v>
      </c>
      <c r="F6" s="2">
        <f>D6+E6</f>
        <v>95.157333600000015</v>
      </c>
      <c r="G6" s="2"/>
    </row>
    <row r="7" spans="1:15" x14ac:dyDescent="0.2">
      <c r="A7" t="s">
        <v>22</v>
      </c>
      <c r="C7">
        <f>214.48+186.67+166.88+13+20+27+10</f>
        <v>638.03</v>
      </c>
      <c r="F7">
        <f>(30*80)+(0.2*80)+(34890*0.01)</f>
        <v>2764.9</v>
      </c>
      <c r="G7">
        <v>430</v>
      </c>
      <c r="H7">
        <f>F7/G7</f>
        <v>6.4300000000000006</v>
      </c>
    </row>
    <row r="10" spans="1:15" x14ac:dyDescent="0.2">
      <c r="C10" s="5" t="s">
        <v>71</v>
      </c>
    </row>
    <row r="11" spans="1:15" x14ac:dyDescent="0.2">
      <c r="A11" t="s">
        <v>31</v>
      </c>
      <c r="O11" t="s">
        <v>31</v>
      </c>
    </row>
    <row r="12" spans="1:15" x14ac:dyDescent="0.2">
      <c r="A12" t="s">
        <v>25</v>
      </c>
      <c r="O12" t="s">
        <v>25</v>
      </c>
    </row>
    <row r="13" spans="1:15" x14ac:dyDescent="0.2">
      <c r="A13" t="s">
        <v>26</v>
      </c>
      <c r="O13" t="s">
        <v>26</v>
      </c>
    </row>
    <row r="14" spans="1:15" x14ac:dyDescent="0.2">
      <c r="A14" t="s">
        <v>27</v>
      </c>
      <c r="O14" t="s">
        <v>27</v>
      </c>
    </row>
    <row r="16" spans="1:15" x14ac:dyDescent="0.2">
      <c r="C16" t="s">
        <v>0</v>
      </c>
      <c r="D16" t="s">
        <v>24</v>
      </c>
      <c r="E16" t="s">
        <v>18</v>
      </c>
      <c r="F16" t="s">
        <v>20</v>
      </c>
      <c r="G16" t="s">
        <v>21</v>
      </c>
      <c r="H16" t="s">
        <v>30</v>
      </c>
    </row>
    <row r="17" spans="1:20" x14ac:dyDescent="0.2">
      <c r="D17">
        <v>1000</v>
      </c>
      <c r="E17">
        <f>F17/D17</f>
        <v>10</v>
      </c>
      <c r="F17">
        <v>10000</v>
      </c>
      <c r="I17" t="s">
        <v>28</v>
      </c>
    </row>
    <row r="18" spans="1:20" x14ac:dyDescent="0.2">
      <c r="C18">
        <v>25</v>
      </c>
      <c r="D18">
        <v>1200</v>
      </c>
      <c r="E18">
        <v>10</v>
      </c>
      <c r="G18">
        <v>5000</v>
      </c>
      <c r="H18">
        <f>(D18*C18) - (G18+(D18*E18))</f>
        <v>13000</v>
      </c>
      <c r="I18" t="s">
        <v>29</v>
      </c>
    </row>
    <row r="19" spans="1:20" x14ac:dyDescent="0.2">
      <c r="A19" t="s">
        <v>32</v>
      </c>
      <c r="B19" t="s">
        <v>33</v>
      </c>
      <c r="C19">
        <v>10</v>
      </c>
      <c r="D19">
        <v>430</v>
      </c>
      <c r="E19">
        <v>6.43</v>
      </c>
      <c r="F19">
        <f>D19*E19</f>
        <v>2764.9</v>
      </c>
      <c r="G19">
        <v>638.03</v>
      </c>
      <c r="H19">
        <f>(C19*D19) - (G19+F19)</f>
        <v>897.06999999999971</v>
      </c>
    </row>
    <row r="20" spans="1:20" x14ac:dyDescent="0.2">
      <c r="B20" t="s">
        <v>23</v>
      </c>
      <c r="C20">
        <v>10</v>
      </c>
      <c r="D20">
        <v>430</v>
      </c>
      <c r="F20">
        <f>364.9+(35.38*80)</f>
        <v>3195.3</v>
      </c>
      <c r="G20">
        <v>638.03</v>
      </c>
      <c r="H20">
        <f>(C20*D20)-(F20+G20)</f>
        <v>466.67000000000007</v>
      </c>
    </row>
    <row r="21" spans="1:20" x14ac:dyDescent="0.2">
      <c r="B21" t="s">
        <v>34</v>
      </c>
      <c r="C21">
        <v>7</v>
      </c>
    </row>
    <row r="24" spans="1:20" x14ac:dyDescent="0.2">
      <c r="C24" s="5" t="s">
        <v>90</v>
      </c>
    </row>
    <row r="25" spans="1:20" x14ac:dyDescent="0.2">
      <c r="A25" t="s">
        <v>75</v>
      </c>
      <c r="C25" s="5"/>
      <c r="E25" t="s">
        <v>94</v>
      </c>
      <c r="O25" t="s">
        <v>75</v>
      </c>
      <c r="Q25" s="5"/>
      <c r="S25" t="s">
        <v>94</v>
      </c>
    </row>
    <row r="26" spans="1:20" x14ac:dyDescent="0.2">
      <c r="A26" t="s">
        <v>74</v>
      </c>
      <c r="C26" s="5"/>
      <c r="E26" t="s">
        <v>81</v>
      </c>
      <c r="O26" t="s">
        <v>74</v>
      </c>
      <c r="Q26" s="5"/>
      <c r="S26" t="s">
        <v>81</v>
      </c>
    </row>
    <row r="27" spans="1:20" x14ac:dyDescent="0.2">
      <c r="A27" t="s">
        <v>72</v>
      </c>
      <c r="C27" s="5"/>
      <c r="O27" t="s">
        <v>72</v>
      </c>
      <c r="Q27" s="5"/>
      <c r="S27" t="s">
        <v>96</v>
      </c>
      <c r="T27" t="s">
        <v>95</v>
      </c>
    </row>
    <row r="28" spans="1:20" x14ac:dyDescent="0.2">
      <c r="A28" t="s">
        <v>73</v>
      </c>
      <c r="C28" s="5"/>
      <c r="O28" t="s">
        <v>73</v>
      </c>
      <c r="Q28" s="5"/>
    </row>
    <row r="29" spans="1:20" x14ac:dyDescent="0.2">
      <c r="A29" t="s">
        <v>82</v>
      </c>
      <c r="C29" s="5"/>
      <c r="O29" t="s">
        <v>82</v>
      </c>
      <c r="Q29" s="5"/>
    </row>
    <row r="30" spans="1:20" x14ac:dyDescent="0.2">
      <c r="C30" s="5"/>
    </row>
    <row r="31" spans="1:20" x14ac:dyDescent="0.2">
      <c r="C31" s="10" t="s">
        <v>0</v>
      </c>
      <c r="D31" t="s">
        <v>24</v>
      </c>
      <c r="E31" t="s">
        <v>18</v>
      </c>
      <c r="F31" t="s">
        <v>20</v>
      </c>
      <c r="G31" t="s">
        <v>21</v>
      </c>
      <c r="H31" t="s">
        <v>78</v>
      </c>
      <c r="I31" t="s">
        <v>30</v>
      </c>
      <c r="J31" t="s">
        <v>76</v>
      </c>
    </row>
    <row r="32" spans="1:20" x14ac:dyDescent="0.2">
      <c r="C32" s="10">
        <v>75</v>
      </c>
      <c r="D32">
        <v>800</v>
      </c>
      <c r="E32">
        <v>31</v>
      </c>
      <c r="G32">
        <v>23000</v>
      </c>
      <c r="H32">
        <f>C32-E32</f>
        <v>44</v>
      </c>
      <c r="I32">
        <f>D32*H32-G32</f>
        <v>12200</v>
      </c>
    </row>
    <row r="33" spans="1:11" x14ac:dyDescent="0.2">
      <c r="C33" s="10">
        <v>15</v>
      </c>
      <c r="D33">
        <v>225</v>
      </c>
      <c r="E33">
        <v>6</v>
      </c>
      <c r="G33">
        <v>2300</v>
      </c>
      <c r="H33">
        <f>C33-E33</f>
        <v>9</v>
      </c>
      <c r="I33">
        <f>D33*H33-G33</f>
        <v>-275</v>
      </c>
    </row>
    <row r="34" spans="1:11" x14ac:dyDescent="0.2">
      <c r="C34" s="10">
        <f>10/100</f>
        <v>0.1</v>
      </c>
      <c r="D34">
        <v>100</v>
      </c>
      <c r="E34">
        <f>3.5/100</f>
        <v>3.5000000000000003E-2</v>
      </c>
      <c r="G34">
        <v>1500</v>
      </c>
      <c r="H34">
        <f>C34-E34</f>
        <v>6.5000000000000002E-2</v>
      </c>
      <c r="I34">
        <f>D34*H34-G34</f>
        <v>-1493.5</v>
      </c>
    </row>
    <row r="35" spans="1:11" x14ac:dyDescent="0.2">
      <c r="C35" s="10">
        <v>0.1</v>
      </c>
      <c r="D35">
        <v>25000</v>
      </c>
      <c r="E35">
        <v>3.5000000000000003E-2</v>
      </c>
      <c r="G35">
        <v>1500</v>
      </c>
      <c r="H35">
        <f>C35-E35</f>
        <v>6.5000000000000002E-2</v>
      </c>
      <c r="I35">
        <f>D35*H35-G35</f>
        <v>125</v>
      </c>
    </row>
    <row r="36" spans="1:11" x14ac:dyDescent="0.2">
      <c r="C36" s="10"/>
    </row>
    <row r="37" spans="1:11" x14ac:dyDescent="0.2">
      <c r="B37" t="s">
        <v>80</v>
      </c>
      <c r="C37" s="10">
        <v>10</v>
      </c>
      <c r="D37">
        <v>430</v>
      </c>
      <c r="E37">
        <v>6.43</v>
      </c>
      <c r="F37">
        <f>D37*E37</f>
        <v>2764.9</v>
      </c>
      <c r="G37">
        <v>638.03</v>
      </c>
      <c r="H37">
        <f>C37-E37</f>
        <v>3.5700000000000003</v>
      </c>
      <c r="I37">
        <f>D37*H37-G37</f>
        <v>897.07000000000016</v>
      </c>
      <c r="J37">
        <f>C37*D37</f>
        <v>4300</v>
      </c>
      <c r="K37">
        <f>J37-F37-G37</f>
        <v>897.06999999999994</v>
      </c>
    </row>
    <row r="39" spans="1:11" x14ac:dyDescent="0.2">
      <c r="C39" t="s">
        <v>0</v>
      </c>
      <c r="D39" t="s">
        <v>24</v>
      </c>
      <c r="E39" t="s">
        <v>18</v>
      </c>
      <c r="F39" t="s">
        <v>20</v>
      </c>
      <c r="G39" t="s">
        <v>21</v>
      </c>
      <c r="H39" t="s">
        <v>78</v>
      </c>
      <c r="I39" t="s">
        <v>30</v>
      </c>
      <c r="J39" t="s">
        <v>76</v>
      </c>
      <c r="K39" t="s">
        <v>77</v>
      </c>
    </row>
    <row r="40" spans="1:11" x14ac:dyDescent="0.2">
      <c r="C40">
        <v>2599.9899999999998</v>
      </c>
      <c r="H40">
        <v>1390</v>
      </c>
      <c r="K40">
        <f>(H40/C40)*100</f>
        <v>53.461744083631089</v>
      </c>
    </row>
    <row r="41" spans="1:11" x14ac:dyDescent="0.2">
      <c r="C41">
        <v>0.67</v>
      </c>
      <c r="H41">
        <v>0.33</v>
      </c>
      <c r="K41">
        <f>(H41/C41)*100</f>
        <v>49.253731343283583</v>
      </c>
    </row>
    <row r="42" spans="1:11" x14ac:dyDescent="0.2">
      <c r="F42">
        <v>60499.5</v>
      </c>
      <c r="J42">
        <v>129999.5</v>
      </c>
      <c r="K42">
        <f>((J42-F42)/J42)*100</f>
        <v>53.461744083631089</v>
      </c>
    </row>
    <row r="43" spans="1:11" x14ac:dyDescent="0.2">
      <c r="F43">
        <v>1972</v>
      </c>
      <c r="J43">
        <v>3886</v>
      </c>
      <c r="K43">
        <f>((J43-F43)/J43)*100</f>
        <v>49.253731343283583</v>
      </c>
    </row>
    <row r="44" spans="1:11" x14ac:dyDescent="0.2">
      <c r="F44">
        <f>J44-I44-G44</f>
        <v>340000</v>
      </c>
      <c r="G44">
        <v>322000</v>
      </c>
      <c r="I44">
        <v>81000</v>
      </c>
      <c r="J44">
        <v>743000</v>
      </c>
      <c r="K44">
        <f>((J44-F44)/J44)*100</f>
        <v>54.239569313593542</v>
      </c>
    </row>
    <row r="45" spans="1:11" x14ac:dyDescent="0.2">
      <c r="F45">
        <v>3200000</v>
      </c>
      <c r="G45">
        <v>2000000</v>
      </c>
      <c r="I45">
        <v>800000</v>
      </c>
      <c r="J45">
        <v>6000000</v>
      </c>
      <c r="K45">
        <f>((J45-F45)/J45)*100</f>
        <v>46.666666666666664</v>
      </c>
    </row>
    <row r="47" spans="1:11" x14ac:dyDescent="0.2">
      <c r="A47" t="s">
        <v>79</v>
      </c>
      <c r="B47" t="s">
        <v>80</v>
      </c>
      <c r="C47" t="s">
        <v>21</v>
      </c>
      <c r="D47" t="s">
        <v>20</v>
      </c>
      <c r="E47" t="s">
        <v>18</v>
      </c>
      <c r="F47" t="s">
        <v>0</v>
      </c>
      <c r="G47" t="s">
        <v>76</v>
      </c>
      <c r="H47" t="s">
        <v>24</v>
      </c>
      <c r="I47" t="s">
        <v>30</v>
      </c>
      <c r="J47" t="s">
        <v>77</v>
      </c>
      <c r="K47" t="s">
        <v>78</v>
      </c>
    </row>
    <row r="48" spans="1:11" x14ac:dyDescent="0.2">
      <c r="C48">
        <v>5000</v>
      </c>
      <c r="D48">
        <v>6600</v>
      </c>
      <c r="E48" s="6">
        <f>F48-K48</f>
        <v>5.5</v>
      </c>
      <c r="F48">
        <v>13</v>
      </c>
      <c r="G48" s="6">
        <f>F48*H48</f>
        <v>15600</v>
      </c>
      <c r="H48" s="6">
        <f>D48/E48</f>
        <v>1200</v>
      </c>
      <c r="I48">
        <v>4000</v>
      </c>
      <c r="J48" s="6">
        <f>(K48/F48)*100</f>
        <v>57.692307692307686</v>
      </c>
      <c r="K48">
        <v>7.5</v>
      </c>
    </row>
    <row r="49" spans="1:16" x14ac:dyDescent="0.2">
      <c r="C49">
        <v>2000</v>
      </c>
      <c r="D49" s="7">
        <f>G49-(G49*J49/100)</f>
        <v>5000</v>
      </c>
      <c r="E49">
        <v>5</v>
      </c>
      <c r="F49">
        <v>10</v>
      </c>
      <c r="G49">
        <v>10000</v>
      </c>
      <c r="H49" s="7">
        <f>D49/E49</f>
        <v>1000</v>
      </c>
      <c r="I49" s="7">
        <f>H49*K49-C49</f>
        <v>3000</v>
      </c>
      <c r="J49" s="7">
        <f>(K49/F49)*100</f>
        <v>50</v>
      </c>
      <c r="K49" s="7">
        <f>F49-E49</f>
        <v>5</v>
      </c>
    </row>
    <row r="50" spans="1:16" x14ac:dyDescent="0.2">
      <c r="C50" s="12">
        <f>(H50*K50)-I50</f>
        <v>6500</v>
      </c>
      <c r="D50" s="12">
        <f>G50-I50-C50</f>
        <v>39000</v>
      </c>
      <c r="E50" s="12">
        <f>D50/H50</f>
        <v>48.75</v>
      </c>
      <c r="F50">
        <v>75</v>
      </c>
      <c r="G50">
        <v>60000</v>
      </c>
      <c r="H50" s="12">
        <f>G50/F50</f>
        <v>800</v>
      </c>
      <c r="I50">
        <v>14500</v>
      </c>
      <c r="J50">
        <v>35</v>
      </c>
      <c r="K50" s="12">
        <f>J50*F50/100</f>
        <v>26.25</v>
      </c>
    </row>
    <row r="51" spans="1:16" x14ac:dyDescent="0.2">
      <c r="C51">
        <v>18000</v>
      </c>
      <c r="D51">
        <v>45000</v>
      </c>
      <c r="E51" s="11"/>
      <c r="F51" s="11"/>
      <c r="G51">
        <v>84600</v>
      </c>
      <c r="H51">
        <v>1800</v>
      </c>
      <c r="I51" s="11"/>
      <c r="J51" s="11"/>
      <c r="K51" s="11"/>
    </row>
    <row r="52" spans="1:16" x14ac:dyDescent="0.2">
      <c r="C52" s="8"/>
      <c r="D52" s="8"/>
      <c r="E52" s="8"/>
      <c r="F52" s="8"/>
      <c r="G52">
        <v>78000</v>
      </c>
      <c r="H52">
        <v>3000</v>
      </c>
      <c r="I52">
        <v>18000</v>
      </c>
      <c r="J52" s="8"/>
      <c r="K52">
        <v>13</v>
      </c>
    </row>
    <row r="53" spans="1:16" x14ac:dyDescent="0.2">
      <c r="C53" s="9"/>
      <c r="D53">
        <v>94050</v>
      </c>
      <c r="E53">
        <v>75.239999999999995</v>
      </c>
      <c r="F53" s="9"/>
      <c r="G53" s="9"/>
      <c r="H53" s="9"/>
      <c r="I53">
        <v>-19500</v>
      </c>
      <c r="J53">
        <v>38</v>
      </c>
      <c r="K53" s="9"/>
    </row>
    <row r="56" spans="1:16" x14ac:dyDescent="0.2">
      <c r="C56" s="5" t="s">
        <v>84</v>
      </c>
    </row>
    <row r="57" spans="1:16" x14ac:dyDescent="0.2">
      <c r="A57" t="s">
        <v>91</v>
      </c>
      <c r="C57" s="5"/>
    </row>
    <row r="58" spans="1:16" x14ac:dyDescent="0.2">
      <c r="A58" t="s">
        <v>92</v>
      </c>
    </row>
    <row r="59" spans="1:16" x14ac:dyDescent="0.2">
      <c r="A59" t="s">
        <v>93</v>
      </c>
      <c r="O59" t="s">
        <v>93</v>
      </c>
    </row>
    <row r="60" spans="1:16" x14ac:dyDescent="0.2">
      <c r="A60" t="s">
        <v>83</v>
      </c>
      <c r="O60" t="s">
        <v>83</v>
      </c>
    </row>
    <row r="61" spans="1:16" x14ac:dyDescent="0.2">
      <c r="C61" t="s">
        <v>21</v>
      </c>
      <c r="E61" t="s">
        <v>18</v>
      </c>
      <c r="F61" t="s">
        <v>0</v>
      </c>
      <c r="H61" t="s">
        <v>24</v>
      </c>
    </row>
    <row r="62" spans="1:16" x14ac:dyDescent="0.2">
      <c r="C62">
        <v>400</v>
      </c>
      <c r="E62">
        <v>60</v>
      </c>
      <c r="F62">
        <v>100</v>
      </c>
      <c r="H62">
        <f>C62/(F62-E62)</f>
        <v>10</v>
      </c>
      <c r="O62" t="s">
        <v>98</v>
      </c>
      <c r="P62" t="s">
        <v>97</v>
      </c>
    </row>
    <row r="63" spans="1:16" x14ac:dyDescent="0.2">
      <c r="C63">
        <f>(F63-E63)*H63</f>
        <v>300000</v>
      </c>
      <c r="E63">
        <v>75</v>
      </c>
      <c r="F63">
        <v>95</v>
      </c>
      <c r="H63">
        <v>15000</v>
      </c>
    </row>
    <row r="64" spans="1:16" x14ac:dyDescent="0.2">
      <c r="C64">
        <v>3000</v>
      </c>
      <c r="E64">
        <v>2.5</v>
      </c>
      <c r="F64">
        <v>5</v>
      </c>
      <c r="H64">
        <f>C64/(F64-E64)</f>
        <v>1200</v>
      </c>
    </row>
    <row r="65" spans="1:15" x14ac:dyDescent="0.2">
      <c r="C65">
        <v>5000</v>
      </c>
      <c r="E65">
        <v>4.5</v>
      </c>
      <c r="F65">
        <v>9.9499999999999993</v>
      </c>
      <c r="H65">
        <f>C65/(F65-E65)</f>
        <v>917.43119266055055</v>
      </c>
    </row>
    <row r="66" spans="1:15" x14ac:dyDescent="0.2">
      <c r="F66">
        <v>8.9499999999999993</v>
      </c>
      <c r="H66">
        <f>C65/(F66-E65)</f>
        <v>1123.5955056179778</v>
      </c>
    </row>
    <row r="67" spans="1:15" x14ac:dyDescent="0.2">
      <c r="C67">
        <v>6000</v>
      </c>
      <c r="E67">
        <v>4.5</v>
      </c>
      <c r="F67">
        <v>9.9499999999999993</v>
      </c>
      <c r="H67">
        <f>C67/(F67-E67)</f>
        <v>1100.9174311926606</v>
      </c>
    </row>
    <row r="68" spans="1:15" x14ac:dyDescent="0.2">
      <c r="C68">
        <v>6000</v>
      </c>
      <c r="E68">
        <v>4.5</v>
      </c>
      <c r="F68">
        <f>(C68/H68)+E68</f>
        <v>11.035947712418301</v>
      </c>
      <c r="H68">
        <v>918</v>
      </c>
    </row>
    <row r="71" spans="1:15" x14ac:dyDescent="0.2">
      <c r="C71" s="5" t="s">
        <v>85</v>
      </c>
    </row>
    <row r="72" spans="1:15" x14ac:dyDescent="0.2">
      <c r="A72" t="s">
        <v>86</v>
      </c>
      <c r="O72" t="s">
        <v>86</v>
      </c>
    </row>
    <row r="73" spans="1:15" x14ac:dyDescent="0.2">
      <c r="A73" t="s">
        <v>87</v>
      </c>
    </row>
    <row r="74" spans="1:15" x14ac:dyDescent="0.2">
      <c r="C74" t="s">
        <v>21</v>
      </c>
      <c r="D74" t="s">
        <v>20</v>
      </c>
      <c r="E74" t="s">
        <v>18</v>
      </c>
      <c r="F74" t="s">
        <v>0</v>
      </c>
      <c r="H74" t="s">
        <v>24</v>
      </c>
      <c r="I74" t="s">
        <v>30</v>
      </c>
      <c r="J74" t="s">
        <v>77</v>
      </c>
    </row>
    <row r="75" spans="1:15" x14ac:dyDescent="0.2">
      <c r="C75">
        <v>420000</v>
      </c>
      <c r="H75">
        <f>C75/J75</f>
        <v>1200000</v>
      </c>
      <c r="J75">
        <v>0.35</v>
      </c>
    </row>
    <row r="76" spans="1:15" x14ac:dyDescent="0.2">
      <c r="C76">
        <f>H76*J76</f>
        <v>91125</v>
      </c>
      <c r="H76">
        <v>202500</v>
      </c>
      <c r="J76">
        <v>0.45</v>
      </c>
    </row>
    <row r="77" spans="1:15" x14ac:dyDescent="0.2">
      <c r="C77">
        <v>1800000</v>
      </c>
      <c r="H77">
        <v>360000</v>
      </c>
      <c r="J77">
        <f>C77/H77</f>
        <v>5</v>
      </c>
    </row>
    <row r="78" spans="1:15" x14ac:dyDescent="0.2">
      <c r="C78">
        <f>865+135+500</f>
        <v>1500</v>
      </c>
      <c r="D78">
        <f>E78*H78</f>
        <v>3000</v>
      </c>
      <c r="E78">
        <v>10</v>
      </c>
      <c r="F78">
        <f>(C78+D78+I78)/H78</f>
        <v>25</v>
      </c>
      <c r="H78">
        <v>300</v>
      </c>
      <c r="I78">
        <v>3000</v>
      </c>
    </row>
    <row r="81" spans="1:15" x14ac:dyDescent="0.2">
      <c r="C81" s="5" t="s">
        <v>88</v>
      </c>
    </row>
    <row r="82" spans="1:15" x14ac:dyDescent="0.2">
      <c r="A82" t="s">
        <v>89</v>
      </c>
      <c r="O82" t="s">
        <v>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2418-BE1C-7E42-B148-9DFF26F1B10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LO1</vt:lpstr>
      <vt:lpstr>LO2</vt:lpstr>
      <vt:lpstr>LO1-2 Review</vt:lpstr>
      <vt:lpstr>LO3</vt:lpstr>
      <vt:lpstr>L04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Tai Nguyen</cp:lastModifiedBy>
  <dcterms:created xsi:type="dcterms:W3CDTF">2024-09-12T15:14:40Z</dcterms:created>
  <dcterms:modified xsi:type="dcterms:W3CDTF">2024-10-17T13:52:32Z</dcterms:modified>
</cp:coreProperties>
</file>