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Test2/"/>
    </mc:Choice>
  </mc:AlternateContent>
  <xr:revisionPtr revIDLastSave="869" documentId="11_F25DC773A252ABDACC1048FA891C6BB65BDE58E8" xr6:coauthVersionLast="47" xr6:coauthVersionMax="47" xr10:uidLastSave="{46AA3264-1CE5-E14E-972A-1E09BC2997B2}"/>
  <bookViews>
    <workbookView xWindow="880" yWindow="500" windowWidth="27920" windowHeight="17500" xr2:uid="{00000000-000D-0000-FFFF-FFFF00000000}"/>
  </bookViews>
  <sheets>
    <sheet name="Business Math" sheetId="2" r:id="rId1"/>
    <sheet name="Time Series Forecast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4" l="1"/>
  <c r="X5" i="4"/>
  <c r="W16" i="4"/>
  <c r="W5" i="4"/>
  <c r="W6" i="4"/>
  <c r="W7" i="4"/>
  <c r="W8" i="4"/>
  <c r="W9" i="4"/>
  <c r="W10" i="4"/>
  <c r="W11" i="4"/>
  <c r="W12" i="4"/>
  <c r="W13" i="4"/>
  <c r="W14" i="4"/>
  <c r="W15" i="4"/>
  <c r="W4" i="4"/>
  <c r="V5" i="4" l="1"/>
  <c r="V6" i="4"/>
  <c r="V7" i="4"/>
  <c r="V8" i="4"/>
  <c r="V9" i="4"/>
  <c r="V10" i="4"/>
  <c r="V11" i="4"/>
  <c r="V12" i="4"/>
  <c r="V13" i="4"/>
  <c r="V14" i="4"/>
  <c r="V15" i="4"/>
  <c r="V4" i="4"/>
  <c r="U5" i="4"/>
  <c r="U6" i="4"/>
  <c r="U7" i="4"/>
  <c r="U8" i="4"/>
  <c r="U9" i="4"/>
  <c r="U10" i="4"/>
  <c r="U11" i="4"/>
  <c r="U12" i="4"/>
  <c r="U13" i="4"/>
  <c r="U14" i="4"/>
  <c r="U15" i="4"/>
  <c r="U4" i="4"/>
  <c r="T5" i="4"/>
  <c r="T6" i="4"/>
  <c r="T7" i="4"/>
  <c r="T8" i="4"/>
  <c r="T9" i="4"/>
  <c r="T10" i="4"/>
  <c r="T11" i="4"/>
  <c r="T12" i="4"/>
  <c r="T13" i="4"/>
  <c r="T14" i="4"/>
  <c r="T15" i="4"/>
  <c r="T4" i="4"/>
  <c r="P17" i="4" l="1"/>
  <c r="Q17" i="4"/>
  <c r="O17" i="4"/>
  <c r="P16" i="4"/>
  <c r="Q16" i="4"/>
  <c r="O16" i="4"/>
  <c r="K40" i="4" l="1"/>
  <c r="K41" i="4"/>
  <c r="K42" i="4"/>
  <c r="K43" i="4"/>
  <c r="K44" i="4"/>
  <c r="K45" i="4"/>
  <c r="K46" i="4"/>
  <c r="K47" i="4"/>
  <c r="K48" i="4"/>
  <c r="K49" i="4"/>
  <c r="K50" i="4"/>
  <c r="K51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" i="4"/>
  <c r="J40" i="4"/>
  <c r="J41" i="4"/>
  <c r="J42" i="4"/>
  <c r="J43" i="4"/>
  <c r="J44" i="4"/>
  <c r="J45" i="4"/>
  <c r="J46" i="4"/>
  <c r="J47" i="4"/>
  <c r="J48" i="4"/>
  <c r="J49" i="4"/>
  <c r="J50" i="4"/>
  <c r="J51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" i="4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" i="4"/>
  <c r="O65" i="4"/>
  <c r="O54" i="4"/>
  <c r="O55" i="4"/>
  <c r="O56" i="4"/>
  <c r="O57" i="4"/>
  <c r="O58" i="4"/>
  <c r="O59" i="4"/>
  <c r="O60" i="4"/>
  <c r="O61" i="4"/>
  <c r="O62" i="4"/>
  <c r="O63" i="4"/>
  <c r="O64" i="4"/>
  <c r="O53" i="4"/>
  <c r="N65" i="4" l="1"/>
  <c r="N64" i="4"/>
  <c r="N63" i="4"/>
  <c r="N62" i="4"/>
  <c r="N61" i="4"/>
  <c r="N60" i="4"/>
  <c r="N59" i="4"/>
  <c r="N58" i="4"/>
  <c r="N57" i="4"/>
  <c r="N56" i="4"/>
  <c r="N55" i="4"/>
  <c r="N54" i="4"/>
  <c r="N53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10" i="4"/>
  <c r="R15" i="2" l="1"/>
  <c r="F15" i="2" l="1"/>
  <c r="Q15" i="2"/>
  <c r="Q16" i="2"/>
  <c r="Q17" i="2"/>
  <c r="Q18" i="2"/>
  <c r="N18" i="2"/>
  <c r="O18" i="2"/>
  <c r="P18" i="2"/>
  <c r="M18" i="2"/>
  <c r="P6" i="2"/>
  <c r="P17" i="2" s="1"/>
  <c r="N17" i="2"/>
  <c r="O17" i="2"/>
  <c r="M17" i="2"/>
  <c r="N16" i="2"/>
  <c r="O16" i="2"/>
  <c r="M16" i="2"/>
  <c r="N15" i="2"/>
  <c r="O15" i="2"/>
  <c r="M15" i="2"/>
  <c r="P12" i="2"/>
  <c r="O11" i="2"/>
  <c r="N11" i="2"/>
  <c r="P11" i="2" s="1"/>
  <c r="M11" i="2"/>
  <c r="O10" i="2"/>
  <c r="N10" i="2"/>
  <c r="P10" i="2" s="1"/>
  <c r="M10" i="2"/>
  <c r="O9" i="2"/>
  <c r="O12" i="2" s="1"/>
  <c r="N9" i="2"/>
  <c r="N12" i="2" s="1"/>
  <c r="M9" i="2"/>
  <c r="M12" i="2" s="1"/>
  <c r="O6" i="2"/>
  <c r="N6" i="2"/>
  <c r="M6" i="2"/>
  <c r="O4" i="2"/>
  <c r="N4" i="2"/>
  <c r="M4" i="2"/>
  <c r="P4" i="2" s="1"/>
  <c r="P16" i="2" l="1"/>
  <c r="P15" i="2"/>
  <c r="P9" i="2"/>
  <c r="B17" i="2"/>
  <c r="B18" i="2" s="1"/>
  <c r="C17" i="2"/>
  <c r="D17" i="2"/>
  <c r="D18" i="2" s="1"/>
  <c r="C16" i="2"/>
  <c r="D16" i="2"/>
  <c r="B16" i="2"/>
  <c r="C15" i="2"/>
  <c r="D15" i="2"/>
  <c r="B15" i="2"/>
  <c r="D12" i="2"/>
  <c r="C12" i="2"/>
  <c r="C18" i="2" s="1"/>
  <c r="B12" i="2"/>
  <c r="E11" i="2"/>
  <c r="E10" i="2"/>
  <c r="E9" i="2"/>
  <c r="E12" i="2" s="1"/>
  <c r="E6" i="2"/>
  <c r="E4" i="2"/>
  <c r="E16" i="2" s="1"/>
  <c r="E18" i="2" l="1"/>
  <c r="E17" i="2"/>
  <c r="E15" i="2"/>
</calcChain>
</file>

<file path=xl/sharedStrings.xml><?xml version="1.0" encoding="utf-8"?>
<sst xmlns="http://schemas.openxmlformats.org/spreadsheetml/2006/main" count="248" uniqueCount="83">
  <si>
    <t>TFC</t>
  </si>
  <si>
    <t>NI</t>
  </si>
  <si>
    <t>TCM</t>
  </si>
  <si>
    <t>CR</t>
  </si>
  <si>
    <t>TR(BE)</t>
  </si>
  <si>
    <t>Total</t>
  </si>
  <si>
    <t>Sporting Goods</t>
  </si>
  <si>
    <t>Outdoor Clothing</t>
  </si>
  <si>
    <t>Indoor Clothing</t>
  </si>
  <si>
    <t>Sales Revenue</t>
  </si>
  <si>
    <t>Cost of Goods Sold</t>
  </si>
  <si>
    <t>Operating Expenses</t>
  </si>
  <si>
    <t>Payroll</t>
  </si>
  <si>
    <t>General and Administrative</t>
  </si>
  <si>
    <t>Sales and Marketing</t>
  </si>
  <si>
    <t>Table A</t>
  </si>
  <si>
    <t>Table B</t>
  </si>
  <si>
    <t>Monthly data for three years shampoo sales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</si>
  <si>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</si>
  <si>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</si>
  <si>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t>Deseasonalize</t>
  </si>
  <si>
    <t>Trend</t>
  </si>
  <si>
    <t>t</t>
  </si>
  <si>
    <t>Month</t>
  </si>
  <si>
    <t>Sales(1000s)</t>
  </si>
  <si>
    <t>MA(12)</t>
  </si>
  <si>
    <t>CMA(12)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</si>
  <si>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</si>
  <si>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</si>
  <si>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</si>
  <si>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vertAlign val="subscript"/>
        <sz val="11"/>
        <color theme="1"/>
        <rFont val="Calibri"/>
        <family val="2"/>
        <scheme val="minor"/>
      </rPr>
      <t>t</t>
    </r>
  </si>
  <si>
    <t>Forecast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</si>
  <si>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</si>
  <si>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</si>
  <si>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</si>
  <si>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</si>
  <si>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</si>
  <si>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</si>
  <si>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</si>
  <si>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</si>
  <si>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</si>
  <si>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</si>
  <si>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</si>
  <si>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</si>
  <si>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</si>
  <si>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Adj St</t>
  </si>
  <si>
    <t>Year/Month</t>
  </si>
  <si>
    <t>Year 2020</t>
  </si>
  <si>
    <t>Year 2021</t>
  </si>
  <si>
    <t>Year 2022</t>
  </si>
  <si>
    <t>Average</t>
  </si>
  <si>
    <t>Summary</t>
  </si>
  <si>
    <t>Tabel C: Monthly Seasonal Indices</t>
  </si>
  <si>
    <t>Table D</t>
  </si>
  <si>
    <t>Table for the percentage changes forecast for 2024</t>
  </si>
  <si>
    <t>ROI</t>
  </si>
  <si>
    <t>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</si>
  <si>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</si>
  <si>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</si>
  <si>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</si>
  <si>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</si>
  <si>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</si>
  <si>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</si>
  <si>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</si>
  <si>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</si>
  <si>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</si>
  <si>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</si>
  <si>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</si>
  <si>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</si>
  <si>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</si>
  <si>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</si>
  <si>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</si>
  <si>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</si>
  <si>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</si>
  <si>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</si>
  <si>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</si>
  <si>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</si>
  <si>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</si>
  <si>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</si>
  <si>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</si>
  <si>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</si>
  <si>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Year 2023</t>
  </si>
  <si>
    <t>Forecasted sale (1000s)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</si>
</sst>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4" fontId="0" fillId="0" borderId="0" xfId="0" applyNumberFormat="1"/>
    <xf numFmtId="16" fontId="0" fillId="5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4" fontId="0" fillId="5" borderId="0" xfId="0" applyNumberFormat="1" applyFill="1"/>
    <xf numFmtId="0" fontId="0" fillId="8" borderId="0" xfId="0" applyFill="1" applyAlignment="1">
      <alignment horizontal="center"/>
    </xf>
    <xf numFmtId="16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" fontId="0" fillId="10" borderId="0" xfId="0" applyNumberFormat="1" applyFill="1" applyAlignment="1">
      <alignment horizontal="center"/>
    </xf>
    <xf numFmtId="4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" fontId="0" fillId="9" borderId="0" xfId="0" applyNumberFormat="1" applyFill="1"/>
    <xf numFmtId="4" fontId="0" fillId="9" borderId="0" xfId="0" applyNumberFormat="1" applyFill="1"/>
    <xf numFmtId="0" fontId="0" fillId="10" borderId="0" xfId="0" applyFill="1"/>
    <xf numFmtId="0" fontId="0" fillId="1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10" borderId="0" xfId="0" applyNumberFormat="1" applyFill="1"/>
    <xf numFmtId="165" fontId="0" fillId="10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0" borderId="0" xfId="1" applyFont="1"/>
    <xf numFmtId="165" fontId="0" fillId="0" borderId="0" xfId="0" applyNumberFormat="1"/>
    <xf numFmtId="10" fontId="0" fillId="5" borderId="0" xfId="1" applyNumberFormat="1" applyFont="1" applyFill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monthly sales for next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Forecasting'!$C$87</c:f>
              <c:strCache>
                <c:ptCount val="1"/>
                <c:pt idx="0">
                  <c:v>Forecasted sale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 Series Forecasting'!$A$88:$B$135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Year 2020</c:v>
                  </c:pt>
                  <c:pt idx="12">
                    <c:v>Year 2021</c:v>
                  </c:pt>
                  <c:pt idx="24">
                    <c:v>Year 2022</c:v>
                  </c:pt>
                  <c:pt idx="36">
                    <c:v>Year 2023</c:v>
                  </c:pt>
                </c:lvl>
              </c:multiLvlStrCache>
            </c:multiLvlStrRef>
          </c:cat>
          <c:val>
            <c:numRef>
              <c:f>'Time Series Forecasting'!$C$88:$C$135</c:f>
              <c:numCache>
                <c:formatCode>General</c:formatCode>
                <c:ptCount val="48"/>
                <c:pt idx="0">
                  <c:v>100.45763277986255</c:v>
                </c:pt>
                <c:pt idx="1">
                  <c:v>111.1747579602781</c:v>
                </c:pt>
                <c:pt idx="2">
                  <c:v>113.92628549077089</c:v>
                </c:pt>
                <c:pt idx="3">
                  <c:v>156.96972170692561</c:v>
                </c:pt>
                <c:pt idx="4">
                  <c:v>131.26802348616121</c:v>
                </c:pt>
                <c:pt idx="5">
                  <c:v>174.03134164899629</c:v>
                </c:pt>
                <c:pt idx="6">
                  <c:v>184.35623535980798</c:v>
                </c:pt>
                <c:pt idx="7">
                  <c:v>215.3203081656996</c:v>
                </c:pt>
                <c:pt idx="8">
                  <c:v>200.31596677784412</c:v>
                </c:pt>
                <c:pt idx="9">
                  <c:v>211.37941979697095</c:v>
                </c:pt>
                <c:pt idx="10">
                  <c:v>277.1756919869195</c:v>
                </c:pt>
                <c:pt idx="11">
                  <c:v>224.061272302145</c:v>
                </c:pt>
                <c:pt idx="12">
                  <c:v>229.58830320136701</c:v>
                </c:pt>
                <c:pt idx="13">
                  <c:v>240.25461600521078</c:v>
                </c:pt>
                <c:pt idx="14">
                  <c:v>234.53170144847135</c:v>
                </c:pt>
                <c:pt idx="15">
                  <c:v>309.67093860236633</c:v>
                </c:pt>
                <c:pt idx="16">
                  <c:v>249.39058349040073</c:v>
                </c:pt>
                <c:pt idx="17">
                  <c:v>319.71059087169687</c:v>
                </c:pt>
                <c:pt idx="18">
                  <c:v>328.61521069074843</c:v>
                </c:pt>
                <c:pt idx="19">
                  <c:v>373.49442149379632</c:v>
                </c:pt>
                <c:pt idx="20">
                  <c:v>338.97940054452795</c:v>
                </c:pt>
                <c:pt idx="21">
                  <c:v>349.72096340894728</c:v>
                </c:pt>
                <c:pt idx="22">
                  <c:v>449.19703451475283</c:v>
                </c:pt>
                <c:pt idx="23">
                  <c:v>356.28045717962772</c:v>
                </c:pt>
                <c:pt idx="24">
                  <c:v>358.71897362287143</c:v>
                </c:pt>
                <c:pt idx="25">
                  <c:v>369.33447405014346</c:v>
                </c:pt>
                <c:pt idx="26">
                  <c:v>355.13711740617185</c:v>
                </c:pt>
                <c:pt idx="27">
                  <c:v>462.372155497807</c:v>
                </c:pt>
                <c:pt idx="28">
                  <c:v>367.51314349464025</c:v>
                </c:pt>
                <c:pt idx="29">
                  <c:v>465.38984009439741</c:v>
                </c:pt>
                <c:pt idx="30">
                  <c:v>472.8741860216889</c:v>
                </c:pt>
                <c:pt idx="31">
                  <c:v>531.66853482189299</c:v>
                </c:pt>
                <c:pt idx="32">
                  <c:v>477.64283431121174</c:v>
                </c:pt>
                <c:pt idx="33">
                  <c:v>488.0625070209237</c:v>
                </c:pt>
                <c:pt idx="34">
                  <c:v>621.2183770425861</c:v>
                </c:pt>
                <c:pt idx="35">
                  <c:v>488.49964205711041</c:v>
                </c:pt>
                <c:pt idx="36">
                  <c:v>487.84964404437585</c:v>
                </c:pt>
                <c:pt idx="37">
                  <c:v>498.41433209507613</c:v>
                </c:pt>
                <c:pt idx="38">
                  <c:v>475.74253336387227</c:v>
                </c:pt>
                <c:pt idx="39">
                  <c:v>615.07337239324772</c:v>
                </c:pt>
                <c:pt idx="40">
                  <c:v>485.63570349887976</c:v>
                </c:pt>
                <c:pt idx="41">
                  <c:v>611.06908931709813</c:v>
                </c:pt>
                <c:pt idx="42">
                  <c:v>617.13316135262926</c:v>
                </c:pt>
                <c:pt idx="43">
                  <c:v>689.84264814998971</c:v>
                </c:pt>
                <c:pt idx="44">
                  <c:v>616.30626807789565</c:v>
                </c:pt>
                <c:pt idx="45">
                  <c:v>626.40405063289995</c:v>
                </c:pt>
                <c:pt idx="46">
                  <c:v>793.23971957041942</c:v>
                </c:pt>
                <c:pt idx="47">
                  <c:v>620.71882693459315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0-7E4F-A1A6-28079469CC3F}"/>
            </c:ext>
          </c:extLst>
        </c:ser>
        <c:ser>
          <c:idx val="1"/>
          <c:order val="1"/>
          <c:tx>
            <c:strRef>
              <c:f>'Time Series Forecasting'!$D$87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 Series Forecasting'!$A$88:$B$135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Year 2020</c:v>
                  </c:pt>
                  <c:pt idx="12">
                    <c:v>Year 2021</c:v>
                  </c:pt>
                  <c:pt idx="24">
                    <c:v>Year 2022</c:v>
                  </c:pt>
                  <c:pt idx="36">
                    <c:v>Year 2023</c:v>
                  </c:pt>
                </c:lvl>
              </c:multiLvlStrCache>
            </c:multiLvlStrRef>
          </c:cat>
          <c:val>
            <c:numRef>
              <c:f>'Time Series Forecasting'!$D$88:$D$135</c:f>
              <c:numCache>
                <c:formatCode>#,##0.00</c:formatCode>
                <c:ptCount val="48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0-7E4F-A1A6-28079469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37887"/>
        <c:axId val="865140143"/>
      </c:lineChart>
      <c:catAx>
        <c:axId val="8656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0143"/>
        <c:crosses val="autoZero"/>
        <c:auto val="1"/>
        <c:lblAlgn val="ctr"/>
        <c:lblOffset val="100"/>
        <c:noMultiLvlLbl val="0"/>
      </c:catAx>
      <c:valAx>
        <c:axId val="8651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52</xdr:row>
      <xdr:rowOff>25400</xdr:rowOff>
    </xdr:from>
    <xdr:to>
      <xdr:col>11</xdr:col>
      <xdr:colOff>520700</xdr:colOff>
      <xdr:row>72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41BC8-0063-F241-78A9-9D3A04E7D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0.41484</cdr:x>
      <cdr:y>0.10725</cdr:y>
    </cdr:from>
    <cdr:to>
      <cdr:x>0.60432</cdr:x>
      <cdr:y>0.2293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0AEBE2-FC53-6F27-C1BF-EAC002B63517}"/>
            </a:ext>
          </a:extLst>
        </cdr:cNvPr>
        <cdr:cNvSpPr txBox="1"/>
      </cdr:nvSpPr>
      <cdr:spPr>
        <a:xfrm xmlns:a="http://schemas.openxmlformats.org/drawingml/2006/main">
          <a:off x="2929267" y="427676"/>
          <a:ext cx="1337933" cy="48672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 = 11.659 x 97.188</a:t>
          </a:r>
        </a:p>
        <a:p xmlns:a="http://schemas.openxmlformats.org/drawingml/2006/main">
          <a:r>
            <a:rPr lang="en-US" sz="1100"/>
            <a:t>R2 = 0.6995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B498-0289-4030-A58C-EA1521793AC1}">
  <dimension ref="A1:S23"/>
  <sheetViews>
    <sheetView tabSelected="1" zoomScaleNormal="100" workbookViewId="0"/>
  </sheetViews>
  <sheetFormatPr baseColWidth="10" defaultColWidth="8.83203125" defaultRowHeight="15" x14ac:dyDescent="0.2"/>
  <cols>
    <col min="1" max="1" width="28.83203125" bestFit="1" customWidth="1"/>
    <col min="2" max="2" width="14.5" bestFit="1" customWidth="1"/>
    <col min="3" max="3" width="16.5" bestFit="1" customWidth="1"/>
    <col min="4" max="4" width="14.83203125" bestFit="1" customWidth="1"/>
    <col min="5" max="5" width="12" bestFit="1" customWidth="1"/>
    <col min="7" max="7" width="28.83203125" bestFit="1" customWidth="1"/>
    <col min="8" max="8" width="16.5" customWidth="1"/>
    <col min="9" max="9" width="16.5" bestFit="1" customWidth="1"/>
    <col min="10" max="10" width="14.83203125" bestFit="1" customWidth="1"/>
    <col min="12" max="12" width="28.83203125" bestFit="1" customWidth="1"/>
    <col min="13" max="13" width="14.6640625" bestFit="1" customWidth="1"/>
    <col min="14" max="14" width="16.5" bestFit="1" customWidth="1"/>
    <col min="15" max="15" width="15" bestFit="1" customWidth="1"/>
    <col min="16" max="16" width="10.33203125" bestFit="1" customWidth="1"/>
  </cols>
  <sheetData>
    <row r="1" spans="1:19" x14ac:dyDescent="0.2">
      <c r="A1" s="4" t="s">
        <v>15</v>
      </c>
      <c r="G1" s="4" t="s">
        <v>54</v>
      </c>
      <c r="H1" s="4"/>
      <c r="L1" s="4" t="s">
        <v>16</v>
      </c>
    </row>
    <row r="3" spans="1:19" x14ac:dyDescent="0.2">
      <c r="A3" s="8"/>
      <c r="B3" s="8" t="s">
        <v>6</v>
      </c>
      <c r="C3" s="8" t="s">
        <v>7</v>
      </c>
      <c r="D3" s="8" t="s">
        <v>8</v>
      </c>
      <c r="E3" s="8" t="s">
        <v>5</v>
      </c>
      <c r="G3" s="8"/>
      <c r="H3" s="8" t="s">
        <v>6</v>
      </c>
      <c r="I3" s="8" t="s">
        <v>7</v>
      </c>
      <c r="J3" s="8" t="s">
        <v>8</v>
      </c>
      <c r="K3" s="1"/>
      <c r="L3" s="8"/>
      <c r="M3" s="8" t="s">
        <v>6</v>
      </c>
      <c r="N3" s="8" t="s">
        <v>7</v>
      </c>
      <c r="O3" s="8" t="s">
        <v>8</v>
      </c>
      <c r="P3" s="8" t="s">
        <v>5</v>
      </c>
    </row>
    <row r="4" spans="1:19" x14ac:dyDescent="0.2">
      <c r="A4" s="2" t="s">
        <v>9</v>
      </c>
      <c r="B4" s="35">
        <v>11555</v>
      </c>
      <c r="C4" s="35">
        <v>10111</v>
      </c>
      <c r="D4" s="35">
        <v>5200</v>
      </c>
      <c r="E4" s="35">
        <f>SUM(B4:D4)</f>
        <v>26866</v>
      </c>
      <c r="G4" s="2" t="s">
        <v>9</v>
      </c>
      <c r="H4" s="11">
        <v>0.08</v>
      </c>
      <c r="I4" s="11">
        <v>0.04</v>
      </c>
      <c r="J4" s="11">
        <v>-2.3E-2</v>
      </c>
      <c r="K4" s="1"/>
      <c r="L4" s="2" t="s">
        <v>9</v>
      </c>
      <c r="M4" s="35">
        <f>B4*(1+0.08)</f>
        <v>12479.400000000001</v>
      </c>
      <c r="N4" s="35">
        <f>C4*(1+0.04)</f>
        <v>10515.44</v>
      </c>
      <c r="O4" s="35">
        <f>D4*(1-0.023)</f>
        <v>5080.3999999999996</v>
      </c>
      <c r="P4" s="35">
        <f>SUM(M4:O4)</f>
        <v>28075.240000000005</v>
      </c>
    </row>
    <row r="5" spans="1:19" x14ac:dyDescent="0.2">
      <c r="A5" s="1"/>
      <c r="B5" s="36"/>
      <c r="C5" s="36"/>
      <c r="D5" s="36"/>
      <c r="E5" s="36"/>
      <c r="G5" s="1"/>
      <c r="H5" s="12"/>
      <c r="I5" s="12"/>
      <c r="J5" s="12"/>
      <c r="K5" s="1"/>
      <c r="L5" s="1"/>
      <c r="M5" s="36"/>
      <c r="N5" s="36"/>
      <c r="O5" s="36"/>
      <c r="P5" s="36"/>
    </row>
    <row r="6" spans="1:19" x14ac:dyDescent="0.2">
      <c r="A6" s="3" t="s">
        <v>10</v>
      </c>
      <c r="B6" s="37">
        <v>9585</v>
      </c>
      <c r="C6" s="37">
        <v>6154</v>
      </c>
      <c r="D6" s="37">
        <v>3531</v>
      </c>
      <c r="E6" s="37">
        <f>SUM(B6:D6)</f>
        <v>19270</v>
      </c>
      <c r="G6" s="3" t="s">
        <v>10</v>
      </c>
      <c r="H6" s="13">
        <v>0.04</v>
      </c>
      <c r="I6" s="13">
        <v>0.06</v>
      </c>
      <c r="J6" s="13">
        <v>2.1000000000000001E-2</v>
      </c>
      <c r="K6" s="1"/>
      <c r="L6" s="3" t="s">
        <v>10</v>
      </c>
      <c r="M6" s="37">
        <f>B6*(1+0.04)</f>
        <v>9968.4</v>
      </c>
      <c r="N6" s="37">
        <f>C6*(1+0.06)</f>
        <v>6523.2400000000007</v>
      </c>
      <c r="O6" s="37">
        <f>D6*(1+0.021)</f>
        <v>3605.1509999999998</v>
      </c>
      <c r="P6" s="37">
        <f>SUM(M6:O6)</f>
        <v>20096.790999999997</v>
      </c>
    </row>
    <row r="7" spans="1:19" x14ac:dyDescent="0.2">
      <c r="A7" s="1"/>
      <c r="B7" s="36"/>
      <c r="C7" s="36"/>
      <c r="D7" s="36"/>
      <c r="E7" s="36"/>
      <c r="G7" s="1"/>
      <c r="H7" s="12"/>
      <c r="I7" s="12"/>
      <c r="J7" s="12"/>
      <c r="K7" s="1"/>
      <c r="L7" s="1"/>
      <c r="M7" s="36"/>
      <c r="N7" s="36"/>
      <c r="O7" s="36"/>
      <c r="P7" s="36"/>
    </row>
    <row r="8" spans="1:19" x14ac:dyDescent="0.2">
      <c r="A8" s="5" t="s">
        <v>11</v>
      </c>
      <c r="B8" s="38"/>
      <c r="C8" s="38"/>
      <c r="D8" s="38"/>
      <c r="E8" s="38"/>
      <c r="G8" s="5" t="s">
        <v>11</v>
      </c>
      <c r="H8" s="14"/>
      <c r="I8" s="14"/>
      <c r="J8" s="14"/>
      <c r="K8" s="1"/>
      <c r="L8" s="5" t="s">
        <v>11</v>
      </c>
      <c r="M8" s="38"/>
      <c r="N8" s="38"/>
      <c r="O8" s="38"/>
      <c r="P8" s="38"/>
    </row>
    <row r="9" spans="1:19" x14ac:dyDescent="0.2">
      <c r="A9" s="5" t="s">
        <v>14</v>
      </c>
      <c r="B9" s="38">
        <v>582</v>
      </c>
      <c r="C9" s="38">
        <v>485</v>
      </c>
      <c r="D9" s="38">
        <v>356</v>
      </c>
      <c r="E9" s="38">
        <f>SUM(B9:D9)</f>
        <v>1423</v>
      </c>
      <c r="G9" s="5" t="s">
        <v>14</v>
      </c>
      <c r="H9" s="14">
        <v>0.06</v>
      </c>
      <c r="I9" s="14">
        <v>0</v>
      </c>
      <c r="J9" s="14">
        <v>0.03</v>
      </c>
      <c r="K9" s="1"/>
      <c r="L9" s="5" t="s">
        <v>14</v>
      </c>
      <c r="M9" s="38">
        <f>B9*(1+0.06)</f>
        <v>616.92000000000007</v>
      </c>
      <c r="N9" s="38">
        <f>C9</f>
        <v>485</v>
      </c>
      <c r="O9" s="38">
        <f>D9*(1+0.03)</f>
        <v>366.68</v>
      </c>
      <c r="P9" s="38">
        <f>SUM(M9:O9)</f>
        <v>1468.6000000000001</v>
      </c>
    </row>
    <row r="10" spans="1:19" x14ac:dyDescent="0.2">
      <c r="A10" s="5" t="s">
        <v>13</v>
      </c>
      <c r="B10" s="38">
        <v>49</v>
      </c>
      <c r="C10" s="38">
        <v>35</v>
      </c>
      <c r="D10" s="38">
        <v>42</v>
      </c>
      <c r="E10" s="38">
        <f>SUM(B10:D10)</f>
        <v>126</v>
      </c>
      <c r="G10" s="5" t="s">
        <v>13</v>
      </c>
      <c r="H10" s="14">
        <v>-0.02</v>
      </c>
      <c r="I10" s="14">
        <v>1.4999999999999999E-2</v>
      </c>
      <c r="J10" s="14">
        <v>0.02</v>
      </c>
      <c r="K10" s="1"/>
      <c r="L10" s="5" t="s">
        <v>13</v>
      </c>
      <c r="M10" s="38">
        <f>B10*(1-0.02)</f>
        <v>48.019999999999996</v>
      </c>
      <c r="N10" s="38">
        <f>C10*(1+0.015)</f>
        <v>35.524999999999999</v>
      </c>
      <c r="O10" s="38">
        <f>D10*(1+0.02)</f>
        <v>42.84</v>
      </c>
      <c r="P10" s="38">
        <f>SUM(M10:O10)</f>
        <v>126.38499999999999</v>
      </c>
    </row>
    <row r="11" spans="1:19" x14ac:dyDescent="0.2">
      <c r="A11" s="5" t="s">
        <v>12</v>
      </c>
      <c r="B11" s="38">
        <v>269</v>
      </c>
      <c r="C11" s="38">
        <v>326</v>
      </c>
      <c r="D11" s="38">
        <v>184</v>
      </c>
      <c r="E11" s="38">
        <f>SUM(B11:D11)</f>
        <v>779</v>
      </c>
      <c r="G11" s="5" t="s">
        <v>12</v>
      </c>
      <c r="H11" s="14">
        <v>2.1000000000000001E-2</v>
      </c>
      <c r="I11" s="14">
        <v>3.5000000000000003E-2</v>
      </c>
      <c r="J11" s="14">
        <v>2.5000000000000001E-2</v>
      </c>
      <c r="K11" s="1"/>
      <c r="L11" s="5" t="s">
        <v>12</v>
      </c>
      <c r="M11" s="38">
        <f>B11*(1+0.021)</f>
        <v>274.649</v>
      </c>
      <c r="N11" s="38">
        <f>C11*(1+0.035)</f>
        <v>337.40999999999997</v>
      </c>
      <c r="O11" s="38">
        <f>D11*(1+0.025)</f>
        <v>188.6</v>
      </c>
      <c r="P11" s="38">
        <f>SUM(M11:O11)</f>
        <v>800.65899999999999</v>
      </c>
    </row>
    <row r="12" spans="1:19" x14ac:dyDescent="0.2">
      <c r="A12" s="7" t="s">
        <v>0</v>
      </c>
      <c r="B12" s="39">
        <f>SUM(B9:B11)</f>
        <v>900</v>
      </c>
      <c r="C12" s="39">
        <f>SUM(C9:C11)</f>
        <v>846</v>
      </c>
      <c r="D12" s="39">
        <f>SUM(D9:D11)</f>
        <v>582</v>
      </c>
      <c r="E12" s="39">
        <f>SUM(E9:E11)</f>
        <v>2328</v>
      </c>
      <c r="G12" s="1"/>
      <c r="H12" s="1"/>
      <c r="I12" s="1"/>
      <c r="J12" s="1"/>
      <c r="K12" s="1"/>
      <c r="L12" s="7" t="s">
        <v>0</v>
      </c>
      <c r="M12" s="39">
        <f>SUM(M9:M11)</f>
        <v>939.58900000000006</v>
      </c>
      <c r="N12" s="39">
        <f>SUM(N9:N11)</f>
        <v>857.93499999999995</v>
      </c>
      <c r="O12" s="39">
        <f>SUM(O9:O11)</f>
        <v>598.12</v>
      </c>
      <c r="P12" s="39">
        <f>SUM(P9:P11)</f>
        <v>2395.6440000000002</v>
      </c>
    </row>
    <row r="13" spans="1:19" x14ac:dyDescent="0.2">
      <c r="A13" s="33"/>
      <c r="B13" s="40"/>
      <c r="C13" s="40"/>
      <c r="D13" s="40"/>
      <c r="E13" s="40"/>
      <c r="L13" s="33"/>
      <c r="M13" s="40"/>
      <c r="N13" s="40"/>
      <c r="O13" s="40"/>
      <c r="P13" s="40"/>
    </row>
    <row r="14" spans="1:19" x14ac:dyDescent="0.2">
      <c r="A14" s="27"/>
      <c r="B14" s="41"/>
      <c r="C14" s="41"/>
      <c r="D14" s="41"/>
      <c r="E14" s="41"/>
      <c r="G14" s="1"/>
      <c r="H14" s="1"/>
      <c r="I14" s="1"/>
      <c r="J14" s="1"/>
      <c r="K14" s="1"/>
      <c r="L14" s="27"/>
      <c r="M14" s="41"/>
      <c r="N14" s="41"/>
      <c r="O14" s="41"/>
      <c r="P14" s="41"/>
      <c r="Q14" t="s">
        <v>56</v>
      </c>
    </row>
    <row r="15" spans="1:19" x14ac:dyDescent="0.2">
      <c r="A15" s="5" t="s">
        <v>1</v>
      </c>
      <c r="B15" s="38">
        <f>B4-B6-B12</f>
        <v>1070</v>
      </c>
      <c r="C15" s="38">
        <f t="shared" ref="C15:E15" si="0">C4-C6-C12</f>
        <v>3111</v>
      </c>
      <c r="D15" s="38">
        <f t="shared" si="0"/>
        <v>1087</v>
      </c>
      <c r="E15" s="38">
        <f t="shared" si="0"/>
        <v>5268</v>
      </c>
      <c r="F15" s="42">
        <f>E15/(E6+E12)</f>
        <v>0.24391147328456339</v>
      </c>
      <c r="G15" t="s">
        <v>55</v>
      </c>
      <c r="H15" s="1"/>
      <c r="I15" s="1"/>
      <c r="J15" s="1"/>
      <c r="K15" s="1"/>
      <c r="L15" s="5" t="s">
        <v>1</v>
      </c>
      <c r="M15" s="38">
        <f>M4-M6-M12</f>
        <v>1571.4110000000019</v>
      </c>
      <c r="N15" s="38">
        <f t="shared" ref="N15:P15" si="1">N4-N6-N12</f>
        <v>3134.2649999999999</v>
      </c>
      <c r="O15" s="38">
        <f t="shared" si="1"/>
        <v>877.12899999999979</v>
      </c>
      <c r="P15" s="38">
        <f t="shared" si="1"/>
        <v>5582.8050000000076</v>
      </c>
      <c r="Q15" s="45">
        <f t="shared" ref="Q15:Q17" si="2">(P15-E15)/P15</f>
        <v>5.6388320924697734E-2</v>
      </c>
      <c r="R15" s="42">
        <f>P15/(P6+P12)</f>
        <v>0.24820811975226373</v>
      </c>
      <c r="S15" t="s">
        <v>55</v>
      </c>
    </row>
    <row r="16" spans="1:19" x14ac:dyDescent="0.2">
      <c r="A16" s="5" t="s">
        <v>2</v>
      </c>
      <c r="B16" s="38">
        <f>B4-B6</f>
        <v>1970</v>
      </c>
      <c r="C16" s="38">
        <f t="shared" ref="C16:E16" si="3">C4-C6</f>
        <v>3957</v>
      </c>
      <c r="D16" s="38">
        <f t="shared" si="3"/>
        <v>1669</v>
      </c>
      <c r="E16" s="38">
        <f t="shared" si="3"/>
        <v>7596</v>
      </c>
      <c r="G16" s="1"/>
      <c r="H16" s="1"/>
      <c r="I16" s="1"/>
      <c r="J16" s="1"/>
      <c r="K16" s="1"/>
      <c r="L16" s="5" t="s">
        <v>2</v>
      </c>
      <c r="M16" s="38">
        <f>M4-M6</f>
        <v>2511.0000000000018</v>
      </c>
      <c r="N16" s="38">
        <f t="shared" ref="N16:P16" si="4">N4-N6</f>
        <v>3992.2</v>
      </c>
      <c r="O16" s="38">
        <f t="shared" si="4"/>
        <v>1475.2489999999998</v>
      </c>
      <c r="P16" s="38">
        <f t="shared" si="4"/>
        <v>7978.4490000000078</v>
      </c>
      <c r="Q16" s="45">
        <f t="shared" si="2"/>
        <v>4.7935256589345554E-2</v>
      </c>
    </row>
    <row r="17" spans="1:17" x14ac:dyDescent="0.2">
      <c r="A17" s="5" t="s">
        <v>3</v>
      </c>
      <c r="B17" s="42">
        <f t="shared" ref="B17:E17" si="5">((B4-B6)/B4)</f>
        <v>0.17048896581566422</v>
      </c>
      <c r="C17" s="42">
        <f t="shared" si="5"/>
        <v>0.39135594896647213</v>
      </c>
      <c r="D17" s="42">
        <f t="shared" si="5"/>
        <v>0.32096153846153846</v>
      </c>
      <c r="E17" s="42">
        <f t="shared" si="5"/>
        <v>0.28273654433112483</v>
      </c>
      <c r="G17" s="1"/>
      <c r="H17" s="9"/>
      <c r="I17" s="9"/>
      <c r="J17" s="9"/>
      <c r="K17" s="9"/>
      <c r="L17" s="5" t="s">
        <v>3</v>
      </c>
      <c r="M17" s="42">
        <f>(M4-M6)/M4</f>
        <v>0.20121159671138047</v>
      </c>
      <c r="N17" s="42">
        <f t="shared" ref="N17:P17" si="6">(N4-N6)/N4</f>
        <v>0.3796512556773658</v>
      </c>
      <c r="O17" s="42">
        <f t="shared" si="6"/>
        <v>0.29038048185182269</v>
      </c>
      <c r="P17" s="42">
        <f t="shared" si="6"/>
        <v>0.28418097227307787</v>
      </c>
      <c r="Q17" s="45">
        <f t="shared" si="2"/>
        <v>5.0827750021385952E-3</v>
      </c>
    </row>
    <row r="18" spans="1:17" x14ac:dyDescent="0.2">
      <c r="A18" s="5" t="s">
        <v>4</v>
      </c>
      <c r="B18" s="38">
        <f>B12/B17</f>
        <v>5278.9340101522839</v>
      </c>
      <c r="C18" s="38">
        <f t="shared" ref="C18:E18" si="7">C12/C17</f>
        <v>2161.7149355572406</v>
      </c>
      <c r="D18" s="38">
        <f t="shared" si="7"/>
        <v>1813.301378070701</v>
      </c>
      <c r="E18" s="38">
        <f t="shared" si="7"/>
        <v>8233.8135860979473</v>
      </c>
      <c r="G18" s="1"/>
      <c r="H18" s="10"/>
      <c r="I18" s="10"/>
      <c r="J18" s="10"/>
      <c r="K18" s="10"/>
      <c r="L18" s="5" t="s">
        <v>4</v>
      </c>
      <c r="M18" s="38">
        <f>M12/M17</f>
        <v>4669.6562989247286</v>
      </c>
      <c r="N18" s="38">
        <f t="shared" ref="N18:P18" si="8">N12/N17</f>
        <v>2259.7976094384053</v>
      </c>
      <c r="O18" s="38">
        <f t="shared" si="8"/>
        <v>2059.7803136961966</v>
      </c>
      <c r="P18" s="38">
        <f t="shared" si="8"/>
        <v>8429.9943829383319</v>
      </c>
      <c r="Q18" s="45">
        <f>(P18-E18)/P18</f>
        <v>2.3271758903830302E-2</v>
      </c>
    </row>
    <row r="21" spans="1:17" x14ac:dyDescent="0.2">
      <c r="G21" s="44"/>
    </row>
    <row r="23" spans="1:17" x14ac:dyDescent="0.2">
      <c r="J23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0DD8-DDA7-44D4-879C-1D5879B2D0B3}">
  <dimension ref="A1:X135"/>
  <sheetViews>
    <sheetView workbookViewId="0"/>
  </sheetViews>
  <sheetFormatPr baseColWidth="10" defaultColWidth="8.83203125" defaultRowHeight="15" x14ac:dyDescent="0.2"/>
  <cols>
    <col min="4" max="4" width="11.83203125" bestFit="1" customWidth="1"/>
    <col min="9" max="9" width="13.83203125" bestFit="1" customWidth="1"/>
  </cols>
  <sheetData>
    <row r="1" spans="1:24" x14ac:dyDescent="0.2">
      <c r="A1" s="34" t="s">
        <v>53</v>
      </c>
      <c r="B1" s="25"/>
      <c r="C1" s="25" t="s">
        <v>17</v>
      </c>
      <c r="D1" s="25"/>
      <c r="E1" s="25"/>
      <c r="F1" s="25"/>
      <c r="G1" s="25"/>
      <c r="H1" s="25"/>
      <c r="I1" s="25"/>
      <c r="J1" s="25"/>
      <c r="K1" s="25"/>
    </row>
    <row r="2" spans="1:24" ht="17" x14ac:dyDescent="0.25">
      <c r="A2" s="25"/>
      <c r="B2" s="25"/>
      <c r="C2" s="25"/>
      <c r="D2" s="26" t="s">
        <v>18</v>
      </c>
      <c r="E2" s="25"/>
      <c r="F2" s="25"/>
      <c r="G2" s="25" t="s">
        <v>19</v>
      </c>
      <c r="H2" s="25"/>
      <c r="I2" s="26" t="s">
        <v>20</v>
      </c>
      <c r="J2" s="26" t="s">
        <v>21</v>
      </c>
      <c r="K2" s="25"/>
      <c r="N2" s="34" t="s">
        <v>51</v>
      </c>
      <c r="O2" s="34"/>
      <c r="S2" s="34" t="s">
        <v>52</v>
      </c>
      <c r="T2" s="34"/>
      <c r="U2" s="34"/>
      <c r="V2" s="34"/>
    </row>
    <row r="3" spans="1:24" ht="17" x14ac:dyDescent="0.25">
      <c r="A3" s="26" t="s">
        <v>22</v>
      </c>
      <c r="B3" s="26"/>
      <c r="C3" s="26" t="s">
        <v>23</v>
      </c>
      <c r="D3" s="26" t="s">
        <v>24</v>
      </c>
      <c r="E3" s="26" t="s">
        <v>25</v>
      </c>
      <c r="F3" s="26" t="s">
        <v>26</v>
      </c>
      <c r="G3" s="26" t="s">
        <v>27</v>
      </c>
      <c r="H3" s="26" t="s">
        <v>28</v>
      </c>
      <c r="I3" s="26" t="s">
        <v>29</v>
      </c>
      <c r="J3" s="26" t="s">
        <v>30</v>
      </c>
      <c r="K3" s="26" t="s">
        <v>31</v>
      </c>
      <c r="N3" s="25" t="s">
        <v>46</v>
      </c>
      <c r="O3" s="25" t="s">
        <v>47</v>
      </c>
      <c r="P3" s="25" t="s">
        <v>48</v>
      </c>
      <c r="Q3" s="25" t="s">
        <v>49</v>
      </c>
      <c r="S3" s="25" t="s">
        <v>46</v>
      </c>
      <c r="T3" s="25" t="s">
        <v>47</v>
      </c>
      <c r="U3" s="25" t="s">
        <v>48</v>
      </c>
      <c r="V3" s="25" t="s">
        <v>49</v>
      </c>
      <c r="W3" s="25" t="s">
        <v>50</v>
      </c>
    </row>
    <row r="4" spans="1:24" x14ac:dyDescent="0.2">
      <c r="A4" s="30">
        <v>1</v>
      </c>
      <c r="B4" s="27" t="s">
        <v>47</v>
      </c>
      <c r="C4" s="28" t="s">
        <v>32</v>
      </c>
      <c r="D4" s="29">
        <v>266</v>
      </c>
      <c r="H4" s="6">
        <v>0.92291262256275353</v>
      </c>
      <c r="I4" s="19">
        <f>D4/H4</f>
        <v>288.21796722355839</v>
      </c>
      <c r="J4" s="19">
        <f>($B$83*A4)+$B$82</f>
        <v>108.84847636053642</v>
      </c>
      <c r="K4" s="19">
        <f>J4*H4</f>
        <v>100.45763277986255</v>
      </c>
      <c r="N4" s="25" t="s">
        <v>32</v>
      </c>
      <c r="O4" s="29">
        <v>266</v>
      </c>
      <c r="P4" s="29">
        <v>194.3</v>
      </c>
      <c r="Q4" s="29">
        <v>339.7</v>
      </c>
      <c r="S4" s="25" t="s">
        <v>32</v>
      </c>
      <c r="T4" s="33">
        <f>O4/$O$17</f>
        <v>1.3539766702014846</v>
      </c>
      <c r="U4" s="33">
        <f>P4/$P$17</f>
        <v>0.73936895512922152</v>
      </c>
      <c r="V4" s="33">
        <f>Q4/$Q$17</f>
        <v>0.70985267997074497</v>
      </c>
      <c r="W4" s="34">
        <f>AVERAGE(T4:V4)</f>
        <v>0.93439943510048362</v>
      </c>
    </row>
    <row r="5" spans="1:24" x14ac:dyDescent="0.2">
      <c r="A5" s="30">
        <v>2</v>
      </c>
      <c r="B5" s="27"/>
      <c r="C5" s="28" t="s">
        <v>33</v>
      </c>
      <c r="D5" s="29">
        <v>145.9</v>
      </c>
      <c r="H5" s="6">
        <v>0.92254946032122387</v>
      </c>
      <c r="I5" s="19">
        <f t="shared" ref="I5:I39" si="0">D5/H5</f>
        <v>158.14870234621227</v>
      </c>
      <c r="J5" s="19">
        <f t="shared" ref="J5:J51" si="1">($B$83*A5)+$B$82</f>
        <v>120.50818166601928</v>
      </c>
      <c r="K5" s="19">
        <f t="shared" ref="K5:K51" si="2">J5*H5</f>
        <v>111.1747579602781</v>
      </c>
      <c r="N5" s="25" t="s">
        <v>33</v>
      </c>
      <c r="O5" s="29">
        <v>145.9</v>
      </c>
      <c r="P5" s="29">
        <v>149.5</v>
      </c>
      <c r="Q5" s="29">
        <v>440.4</v>
      </c>
      <c r="S5" s="25" t="s">
        <v>33</v>
      </c>
      <c r="T5" s="33">
        <f t="shared" ref="T5:T15" si="3">O5/$O$17</f>
        <v>0.74265111346765644</v>
      </c>
      <c r="U5" s="33">
        <f t="shared" ref="U5:U15" si="4">P5/$P$17</f>
        <v>0.56889170762644681</v>
      </c>
      <c r="V5" s="33">
        <f t="shared" ref="V5:V15" si="5">Q5/$Q$17</f>
        <v>0.92028001253787484</v>
      </c>
      <c r="W5" s="34">
        <f t="shared" ref="W5:W15" si="6">AVERAGE(T5:V5)</f>
        <v>0.74394094454399262</v>
      </c>
      <c r="X5" s="43">
        <f>W5/12</f>
        <v>6.1995078711999385E-2</v>
      </c>
    </row>
    <row r="6" spans="1:24" x14ac:dyDescent="0.2">
      <c r="A6" s="30">
        <v>3</v>
      </c>
      <c r="B6" s="27"/>
      <c r="C6" s="28" t="s">
        <v>34</v>
      </c>
      <c r="D6" s="29">
        <v>183.1</v>
      </c>
      <c r="H6" s="6">
        <v>0.86198159099975269</v>
      </c>
      <c r="I6" s="19">
        <f t="shared" si="0"/>
        <v>212.41752945980551</v>
      </c>
      <c r="J6" s="19">
        <f t="shared" si="1"/>
        <v>132.16788697150213</v>
      </c>
      <c r="K6" s="19">
        <f t="shared" si="2"/>
        <v>113.92628549077089</v>
      </c>
      <c r="N6" s="25" t="s">
        <v>34</v>
      </c>
      <c r="O6" s="29">
        <v>183.1</v>
      </c>
      <c r="P6" s="29">
        <v>210.1</v>
      </c>
      <c r="Q6" s="29">
        <v>315.89999999999998</v>
      </c>
      <c r="S6" s="25" t="s">
        <v>34</v>
      </c>
      <c r="T6" s="33">
        <f t="shared" si="3"/>
        <v>0.93200424178154817</v>
      </c>
      <c r="U6" s="33">
        <f t="shared" si="4"/>
        <v>0.79949262723957504</v>
      </c>
      <c r="V6" s="33">
        <f t="shared" si="5"/>
        <v>0.66011910981088706</v>
      </c>
      <c r="W6" s="34">
        <f t="shared" si="6"/>
        <v>0.79720532627733676</v>
      </c>
    </row>
    <row r="7" spans="1:24" x14ac:dyDescent="0.2">
      <c r="A7" s="30">
        <v>4</v>
      </c>
      <c r="B7" s="27"/>
      <c r="C7" s="28" t="s">
        <v>35</v>
      </c>
      <c r="D7" s="29">
        <v>119.3</v>
      </c>
      <c r="H7" s="6">
        <v>1.0913741878166974</v>
      </c>
      <c r="I7" s="19">
        <f t="shared" si="0"/>
        <v>109.31172949825815</v>
      </c>
      <c r="J7" s="19">
        <f t="shared" si="1"/>
        <v>143.827592276985</v>
      </c>
      <c r="K7" s="19">
        <f t="shared" si="2"/>
        <v>156.96972170692561</v>
      </c>
      <c r="N7" s="25" t="s">
        <v>35</v>
      </c>
      <c r="O7" s="29">
        <v>119.3</v>
      </c>
      <c r="P7" s="29">
        <v>273.3</v>
      </c>
      <c r="Q7" s="29">
        <v>439.3</v>
      </c>
      <c r="S7" s="25" t="s">
        <v>35</v>
      </c>
      <c r="T7" s="33">
        <f t="shared" si="3"/>
        <v>0.60725344644750789</v>
      </c>
      <c r="U7" s="33">
        <f t="shared" si="4"/>
        <v>1.0399873156809893</v>
      </c>
      <c r="V7" s="33">
        <f t="shared" si="5"/>
        <v>0.91798140215233526</v>
      </c>
      <c r="W7" s="34">
        <f t="shared" si="6"/>
        <v>0.85507405476027742</v>
      </c>
    </row>
    <row r="8" spans="1:24" x14ac:dyDescent="0.2">
      <c r="A8" s="30">
        <v>5</v>
      </c>
      <c r="B8" s="27"/>
      <c r="C8" s="28" t="s">
        <v>36</v>
      </c>
      <c r="D8" s="29">
        <v>180.3</v>
      </c>
      <c r="H8" s="6">
        <v>0.84423631722416959</v>
      </c>
      <c r="I8" s="19">
        <f t="shared" si="0"/>
        <v>213.56579469694273</v>
      </c>
      <c r="J8" s="19">
        <f t="shared" si="1"/>
        <v>155.48729758246787</v>
      </c>
      <c r="K8" s="19">
        <f t="shared" si="2"/>
        <v>131.26802348616121</v>
      </c>
      <c r="N8" s="25" t="s">
        <v>36</v>
      </c>
      <c r="O8" s="29">
        <v>180.3</v>
      </c>
      <c r="P8" s="29">
        <v>191.4</v>
      </c>
      <c r="Q8" s="29">
        <v>401.3</v>
      </c>
      <c r="S8" s="25" t="s">
        <v>36</v>
      </c>
      <c r="T8" s="33">
        <f t="shared" si="3"/>
        <v>0.91775185577942742</v>
      </c>
      <c r="U8" s="33">
        <f t="shared" si="4"/>
        <v>0.7283335975899794</v>
      </c>
      <c r="V8" s="33">
        <f t="shared" si="5"/>
        <v>0.8385748615609655</v>
      </c>
      <c r="W8" s="34">
        <f t="shared" si="6"/>
        <v>0.82822010497679077</v>
      </c>
    </row>
    <row r="9" spans="1:24" x14ac:dyDescent="0.2">
      <c r="A9" s="30">
        <v>6</v>
      </c>
      <c r="B9" s="27"/>
      <c r="C9" s="28" t="s">
        <v>37</v>
      </c>
      <c r="D9" s="29">
        <v>168.5</v>
      </c>
      <c r="H9" s="6">
        <v>1.0411873299676249</v>
      </c>
      <c r="I9" s="19">
        <f t="shared" si="0"/>
        <v>161.83447027274084</v>
      </c>
      <c r="J9" s="19">
        <f t="shared" si="1"/>
        <v>167.14700288795072</v>
      </c>
      <c r="K9" s="19">
        <f t="shared" si="2"/>
        <v>174.03134164899629</v>
      </c>
      <c r="N9" s="25" t="s">
        <v>37</v>
      </c>
      <c r="O9" s="29">
        <v>168.5</v>
      </c>
      <c r="P9" s="29">
        <v>287</v>
      </c>
      <c r="Q9" s="29">
        <v>437.4</v>
      </c>
      <c r="S9" s="25" t="s">
        <v>37</v>
      </c>
      <c r="T9" s="33">
        <f t="shared" si="3"/>
        <v>0.85768822905620357</v>
      </c>
      <c r="U9" s="33">
        <f t="shared" si="4"/>
        <v>1.0921198668146503</v>
      </c>
      <c r="V9" s="33">
        <f t="shared" si="5"/>
        <v>0.91401107512276669</v>
      </c>
      <c r="W9" s="34">
        <f t="shared" si="6"/>
        <v>0.95460639033120687</v>
      </c>
    </row>
    <row r="10" spans="1:24" x14ac:dyDescent="0.2">
      <c r="A10" s="30">
        <v>7</v>
      </c>
      <c r="B10" s="27"/>
      <c r="C10" s="28" t="s">
        <v>38</v>
      </c>
      <c r="D10" s="29">
        <v>231.8</v>
      </c>
      <c r="E10" s="20">
        <f>AVERAGE(D4:D15)</f>
        <v>196.45833333333334</v>
      </c>
      <c r="F10" s="20">
        <f>AVERAGE(E10:E11)</f>
        <v>193.47083333333336</v>
      </c>
      <c r="G10" s="19">
        <f>D10/F10</f>
        <v>1.1981134107208236</v>
      </c>
      <c r="H10" s="6">
        <v>1.0310364595514556</v>
      </c>
      <c r="I10" s="19">
        <f t="shared" si="0"/>
        <v>224.82231142518742</v>
      </c>
      <c r="J10" s="19">
        <f t="shared" si="1"/>
        <v>178.80670819343356</v>
      </c>
      <c r="K10" s="19">
        <f t="shared" si="2"/>
        <v>184.35623535980798</v>
      </c>
      <c r="N10" s="25" t="s">
        <v>38</v>
      </c>
      <c r="O10" s="29">
        <v>231.8</v>
      </c>
      <c r="P10" s="29">
        <v>226</v>
      </c>
      <c r="Q10" s="29">
        <v>575.5</v>
      </c>
      <c r="S10" s="25" t="s">
        <v>38</v>
      </c>
      <c r="T10" s="33">
        <f t="shared" si="3"/>
        <v>1.1798939554612937</v>
      </c>
      <c r="U10" s="33">
        <f t="shared" si="4"/>
        <v>0.85999682892024731</v>
      </c>
      <c r="V10" s="33">
        <f t="shared" si="5"/>
        <v>1.2025911607982449</v>
      </c>
      <c r="W10" s="34">
        <f t="shared" si="6"/>
        <v>1.0808273150599286</v>
      </c>
    </row>
    <row r="11" spans="1:24" x14ac:dyDescent="0.2">
      <c r="A11" s="30">
        <v>8</v>
      </c>
      <c r="B11" s="27"/>
      <c r="C11" s="28" t="s">
        <v>39</v>
      </c>
      <c r="D11" s="29">
        <v>224.5</v>
      </c>
      <c r="E11" s="20">
        <f t="shared" ref="E11:E34" si="7">AVERAGE(D5:D16)</f>
        <v>190.48333333333335</v>
      </c>
      <c r="F11" s="20">
        <f t="shared" ref="F11:F33" si="8">AVERAGE(E11:E12)</f>
        <v>190.63333333333333</v>
      </c>
      <c r="G11" s="19">
        <f t="shared" ref="G11:G33" si="9">D11/F11</f>
        <v>1.1776534359153699</v>
      </c>
      <c r="H11" s="6">
        <v>1.1304896449206492</v>
      </c>
      <c r="I11" s="19">
        <f t="shared" si="0"/>
        <v>198.5865160363835</v>
      </c>
      <c r="J11" s="19">
        <f t="shared" si="1"/>
        <v>190.46641349891644</v>
      </c>
      <c r="K11" s="19">
        <f t="shared" si="2"/>
        <v>215.3203081656996</v>
      </c>
      <c r="N11" s="25" t="s">
        <v>39</v>
      </c>
      <c r="O11" s="29">
        <v>224.5</v>
      </c>
      <c r="P11" s="29">
        <v>303.60000000000002</v>
      </c>
      <c r="Q11" s="29">
        <v>407.6</v>
      </c>
      <c r="S11" s="25" t="s">
        <v>39</v>
      </c>
      <c r="T11" s="33">
        <f t="shared" si="3"/>
        <v>1.1427359490986213</v>
      </c>
      <c r="U11" s="33">
        <f t="shared" si="4"/>
        <v>1.1552877754875535</v>
      </c>
      <c r="V11" s="33">
        <f t="shared" si="5"/>
        <v>0.8517396301326926</v>
      </c>
      <c r="W11" s="34">
        <f t="shared" si="6"/>
        <v>1.0499211182396224</v>
      </c>
    </row>
    <row r="12" spans="1:24" x14ac:dyDescent="0.2">
      <c r="A12" s="30">
        <v>9</v>
      </c>
      <c r="B12" s="27"/>
      <c r="C12" s="28" t="s">
        <v>40</v>
      </c>
      <c r="D12" s="29">
        <v>192.8</v>
      </c>
      <c r="E12" s="20">
        <f t="shared" si="7"/>
        <v>190.78333333333333</v>
      </c>
      <c r="F12" s="20">
        <f t="shared" si="8"/>
        <v>191.90833333333333</v>
      </c>
      <c r="G12" s="19">
        <f t="shared" si="9"/>
        <v>1.0046463155152201</v>
      </c>
      <c r="H12" s="6">
        <v>0.99104444276047821</v>
      </c>
      <c r="I12" s="19">
        <f t="shared" si="0"/>
        <v>194.54223411310437</v>
      </c>
      <c r="J12" s="19">
        <f t="shared" si="1"/>
        <v>202.12611880439931</v>
      </c>
      <c r="K12" s="19">
        <f t="shared" si="2"/>
        <v>200.31596677784412</v>
      </c>
      <c r="N12" s="25" t="s">
        <v>40</v>
      </c>
      <c r="O12" s="29">
        <v>192.8</v>
      </c>
      <c r="P12" s="29">
        <v>289.89999999999998</v>
      </c>
      <c r="Q12" s="29">
        <v>682</v>
      </c>
      <c r="S12" s="25" t="s">
        <v>40</v>
      </c>
      <c r="T12" s="33">
        <f t="shared" si="3"/>
        <v>0.98137857900318137</v>
      </c>
      <c r="U12" s="33">
        <f t="shared" si="4"/>
        <v>1.1031552243538922</v>
      </c>
      <c r="V12" s="33">
        <f t="shared" si="5"/>
        <v>1.4251384390345838</v>
      </c>
      <c r="W12" s="34">
        <f t="shared" si="6"/>
        <v>1.1698907474638858</v>
      </c>
    </row>
    <row r="13" spans="1:24" x14ac:dyDescent="0.2">
      <c r="A13" s="30">
        <v>10</v>
      </c>
      <c r="B13" s="27"/>
      <c r="C13" s="28" t="s">
        <v>41</v>
      </c>
      <c r="D13" s="29">
        <v>122.9</v>
      </c>
      <c r="E13" s="20">
        <f t="shared" si="7"/>
        <v>193.03333333333333</v>
      </c>
      <c r="F13" s="20">
        <f t="shared" si="8"/>
        <v>199.45000000000002</v>
      </c>
      <c r="G13" s="19">
        <f t="shared" si="9"/>
        <v>0.61619453497117072</v>
      </c>
      <c r="H13" s="6">
        <v>0.98874385463615044</v>
      </c>
      <c r="I13" s="19">
        <f t="shared" si="0"/>
        <v>124.29912906535959</v>
      </c>
      <c r="J13" s="19">
        <f t="shared" si="1"/>
        <v>213.78582410988216</v>
      </c>
      <c r="K13" s="19">
        <f t="shared" si="2"/>
        <v>211.37941979697095</v>
      </c>
      <c r="N13" s="25" t="s">
        <v>41</v>
      </c>
      <c r="O13" s="29">
        <v>122.9</v>
      </c>
      <c r="P13" s="29">
        <v>421.6</v>
      </c>
      <c r="Q13" s="29">
        <v>475.3</v>
      </c>
      <c r="S13" s="25" t="s">
        <v>41</v>
      </c>
      <c r="T13" s="33">
        <f t="shared" si="3"/>
        <v>0.62557794273594913</v>
      </c>
      <c r="U13" s="33">
        <f t="shared" si="4"/>
        <v>1.6043126684636118</v>
      </c>
      <c r="V13" s="33">
        <f t="shared" si="5"/>
        <v>0.99320865113363299</v>
      </c>
      <c r="W13" s="34">
        <f t="shared" si="6"/>
        <v>1.0743664207777313</v>
      </c>
    </row>
    <row r="14" spans="1:24" x14ac:dyDescent="0.2">
      <c r="A14" s="30">
        <v>11</v>
      </c>
      <c r="B14" s="27"/>
      <c r="C14" s="28" t="s">
        <v>42</v>
      </c>
      <c r="D14" s="29">
        <v>336.5</v>
      </c>
      <c r="E14" s="20">
        <f t="shared" si="7"/>
        <v>205.8666666666667</v>
      </c>
      <c r="F14" s="20">
        <f t="shared" si="8"/>
        <v>206.32916666666668</v>
      </c>
      <c r="G14" s="19">
        <f t="shared" si="9"/>
        <v>1.6308891536581918</v>
      </c>
      <c r="H14" s="6">
        <v>1.229457477847103</v>
      </c>
      <c r="I14" s="19">
        <f t="shared" si="0"/>
        <v>273.69795707716833</v>
      </c>
      <c r="J14" s="19">
        <f t="shared" si="1"/>
        <v>225.445529415365</v>
      </c>
      <c r="K14" s="19">
        <f t="shared" si="2"/>
        <v>277.1756919869195</v>
      </c>
      <c r="N14" s="25" t="s">
        <v>42</v>
      </c>
      <c r="O14" s="29">
        <v>336.5</v>
      </c>
      <c r="P14" s="29">
        <v>264.5</v>
      </c>
      <c r="Q14" s="29">
        <v>581.29999999999995</v>
      </c>
      <c r="S14" s="25" t="s">
        <v>42</v>
      </c>
      <c r="T14" s="33">
        <f t="shared" si="3"/>
        <v>1.712831389183457</v>
      </c>
      <c r="U14" s="33">
        <f t="shared" si="4"/>
        <v>1.0065007134929442</v>
      </c>
      <c r="V14" s="33">
        <f t="shared" si="5"/>
        <v>1.2147111064674538</v>
      </c>
      <c r="W14" s="34">
        <f t="shared" si="6"/>
        <v>1.3113477363812851</v>
      </c>
      <c r="X14" s="43">
        <f>W14/12</f>
        <v>0.10927897803177376</v>
      </c>
    </row>
    <row r="15" spans="1:24" x14ac:dyDescent="0.2">
      <c r="A15" s="30">
        <v>12</v>
      </c>
      <c r="B15" s="27"/>
      <c r="C15" s="28" t="s">
        <v>43</v>
      </c>
      <c r="D15" s="29">
        <v>185.9</v>
      </c>
      <c r="E15" s="20">
        <f t="shared" si="7"/>
        <v>206.79166666666666</v>
      </c>
      <c r="F15" s="20">
        <f t="shared" si="8"/>
        <v>211.72916666666666</v>
      </c>
      <c r="G15" s="19">
        <f t="shared" si="9"/>
        <v>0.87800846206828698</v>
      </c>
      <c r="H15" s="6">
        <v>0.94498661139194173</v>
      </c>
      <c r="I15" s="19">
        <f t="shared" si="0"/>
        <v>196.72236385039778</v>
      </c>
      <c r="J15" s="19">
        <f t="shared" si="1"/>
        <v>237.10523472084787</v>
      </c>
      <c r="K15" s="19">
        <f t="shared" si="2"/>
        <v>224.061272302145</v>
      </c>
      <c r="N15" s="25" t="s">
        <v>43</v>
      </c>
      <c r="O15" s="29">
        <v>185.9</v>
      </c>
      <c r="P15" s="29">
        <v>342.3</v>
      </c>
      <c r="Q15" s="29">
        <v>646.9</v>
      </c>
      <c r="S15" s="25" t="s">
        <v>43</v>
      </c>
      <c r="T15" s="33">
        <f t="shared" si="3"/>
        <v>0.94625662778366915</v>
      </c>
      <c r="U15" s="33">
        <f t="shared" si="4"/>
        <v>1.3025527192008879</v>
      </c>
      <c r="V15" s="33">
        <f t="shared" si="5"/>
        <v>1.3517918712778185</v>
      </c>
      <c r="W15" s="34">
        <f t="shared" si="6"/>
        <v>1.2002004060874585</v>
      </c>
    </row>
    <row r="16" spans="1:24" x14ac:dyDescent="0.2">
      <c r="A16" s="30">
        <v>13</v>
      </c>
      <c r="B16" s="27" t="s">
        <v>48</v>
      </c>
      <c r="C16" s="28" t="s">
        <v>32</v>
      </c>
      <c r="D16" s="29">
        <v>194.3</v>
      </c>
      <c r="E16" s="20">
        <f t="shared" si="7"/>
        <v>216.66666666666666</v>
      </c>
      <c r="F16" s="20">
        <f t="shared" si="8"/>
        <v>216.42499999999998</v>
      </c>
      <c r="G16" s="19">
        <f t="shared" si="9"/>
        <v>0.89777059027376704</v>
      </c>
      <c r="H16" s="6">
        <v>0.92291262256275353</v>
      </c>
      <c r="I16" s="19">
        <f t="shared" si="0"/>
        <v>210.52913921630599</v>
      </c>
      <c r="J16" s="19">
        <f t="shared" si="1"/>
        <v>248.76494002633075</v>
      </c>
      <c r="K16" s="19">
        <f t="shared" si="2"/>
        <v>229.58830320136701</v>
      </c>
      <c r="N16" s="25" t="s">
        <v>44</v>
      </c>
      <c r="O16" s="32">
        <f>SUM(O4:O15)</f>
        <v>2357.5</v>
      </c>
      <c r="P16" s="32">
        <f t="shared" ref="P16:Q16" si="10">SUM(P4:P15)</f>
        <v>3153.5</v>
      </c>
      <c r="Q16" s="32">
        <f t="shared" si="10"/>
        <v>5742.5999999999995</v>
      </c>
      <c r="V16" s="25" t="s">
        <v>44</v>
      </c>
      <c r="W16" s="31">
        <f>SUM(W4:W15)</f>
        <v>12</v>
      </c>
    </row>
    <row r="17" spans="1:17" x14ac:dyDescent="0.2">
      <c r="A17" s="30">
        <v>14</v>
      </c>
      <c r="B17" s="27"/>
      <c r="C17" s="28" t="s">
        <v>33</v>
      </c>
      <c r="D17" s="29">
        <v>149.5</v>
      </c>
      <c r="E17" s="20">
        <f t="shared" si="7"/>
        <v>216.18333333333331</v>
      </c>
      <c r="F17" s="20">
        <f t="shared" si="8"/>
        <v>219.47916666666663</v>
      </c>
      <c r="G17" s="19">
        <f t="shared" si="9"/>
        <v>0.68115804461319418</v>
      </c>
      <c r="H17" s="6">
        <v>0.92254946032122387</v>
      </c>
      <c r="I17" s="19">
        <f t="shared" si="0"/>
        <v>162.05093215050539</v>
      </c>
      <c r="J17" s="19">
        <f t="shared" si="1"/>
        <v>260.42464533181362</v>
      </c>
      <c r="K17" s="19">
        <f t="shared" si="2"/>
        <v>240.25461600521078</v>
      </c>
      <c r="N17" s="25" t="s">
        <v>50</v>
      </c>
      <c r="O17" s="32">
        <f>AVERAGE(O4:O15)</f>
        <v>196.45833333333334</v>
      </c>
      <c r="P17" s="32">
        <f t="shared" ref="P17:Q17" si="11">AVERAGE(P4:P15)</f>
        <v>262.79166666666669</v>
      </c>
      <c r="Q17" s="32">
        <f t="shared" si="11"/>
        <v>478.54999999999995</v>
      </c>
    </row>
    <row r="18" spans="1:17" x14ac:dyDescent="0.2">
      <c r="A18" s="30">
        <v>15</v>
      </c>
      <c r="B18" s="27"/>
      <c r="C18" s="28" t="s">
        <v>34</v>
      </c>
      <c r="D18" s="29">
        <v>210.1</v>
      </c>
      <c r="E18" s="20">
        <f t="shared" si="7"/>
        <v>222.77499999999998</v>
      </c>
      <c r="F18" s="20">
        <f t="shared" si="8"/>
        <v>226.82083333333333</v>
      </c>
      <c r="G18" s="19">
        <f t="shared" si="9"/>
        <v>0.92628175689328951</v>
      </c>
      <c r="H18" s="6">
        <v>0.86198159099975269</v>
      </c>
      <c r="I18" s="19">
        <f t="shared" si="0"/>
        <v>243.7407042026496</v>
      </c>
      <c r="J18" s="19">
        <f t="shared" si="1"/>
        <v>272.08435063729644</v>
      </c>
      <c r="K18" s="19">
        <f t="shared" si="2"/>
        <v>234.53170144847135</v>
      </c>
    </row>
    <row r="19" spans="1:17" x14ac:dyDescent="0.2">
      <c r="A19" s="30">
        <v>16</v>
      </c>
      <c r="B19" s="27"/>
      <c r="C19" s="28" t="s">
        <v>35</v>
      </c>
      <c r="D19" s="29">
        <v>273.3</v>
      </c>
      <c r="E19" s="20">
        <f t="shared" si="7"/>
        <v>230.86666666666665</v>
      </c>
      <c r="F19" s="20">
        <f t="shared" si="8"/>
        <v>243.3125</v>
      </c>
      <c r="G19" s="19">
        <f t="shared" si="9"/>
        <v>1.1232468533264834</v>
      </c>
      <c r="H19" s="6">
        <v>1.0913741878166974</v>
      </c>
      <c r="I19" s="19">
        <f t="shared" si="0"/>
        <v>250.41823698134075</v>
      </c>
      <c r="J19" s="19">
        <f t="shared" si="1"/>
        <v>283.74405594277931</v>
      </c>
      <c r="K19" s="19">
        <f t="shared" si="2"/>
        <v>309.67093860236633</v>
      </c>
    </row>
    <row r="20" spans="1:17" x14ac:dyDescent="0.2">
      <c r="A20" s="30">
        <v>17</v>
      </c>
      <c r="B20" s="27"/>
      <c r="C20" s="28" t="s">
        <v>36</v>
      </c>
      <c r="D20" s="29">
        <v>191.4</v>
      </c>
      <c r="E20" s="20">
        <f t="shared" si="7"/>
        <v>255.75833333333333</v>
      </c>
      <c r="F20" s="20">
        <f t="shared" si="8"/>
        <v>252.75833333333333</v>
      </c>
      <c r="G20" s="19">
        <f t="shared" si="9"/>
        <v>0.75724506280702919</v>
      </c>
      <c r="H20" s="6">
        <v>0.84423631722416959</v>
      </c>
      <c r="I20" s="19">
        <f t="shared" si="0"/>
        <v>226.71377207429194</v>
      </c>
      <c r="J20" s="19">
        <f t="shared" si="1"/>
        <v>295.40376124826219</v>
      </c>
      <c r="K20" s="19">
        <f t="shared" si="2"/>
        <v>249.39058349040073</v>
      </c>
    </row>
    <row r="21" spans="1:17" x14ac:dyDescent="0.2">
      <c r="A21" s="30">
        <v>18</v>
      </c>
      <c r="B21" s="27"/>
      <c r="C21" s="28" t="s">
        <v>37</v>
      </c>
      <c r="D21" s="29">
        <v>287</v>
      </c>
      <c r="E21" s="20">
        <f t="shared" si="7"/>
        <v>249.75833333333335</v>
      </c>
      <c r="F21" s="20">
        <f t="shared" si="8"/>
        <v>256.27500000000003</v>
      </c>
      <c r="G21" s="19">
        <f t="shared" si="9"/>
        <v>1.1198907423665982</v>
      </c>
      <c r="H21" s="6">
        <v>1.0411873299676249</v>
      </c>
      <c r="I21" s="19">
        <f t="shared" si="0"/>
        <v>275.64684254170101</v>
      </c>
      <c r="J21" s="19">
        <f t="shared" si="1"/>
        <v>307.063466553745</v>
      </c>
      <c r="K21" s="19">
        <f t="shared" si="2"/>
        <v>319.71059087169687</v>
      </c>
    </row>
    <row r="22" spans="1:17" x14ac:dyDescent="0.2">
      <c r="A22" s="30">
        <v>19</v>
      </c>
      <c r="B22" s="27"/>
      <c r="C22" s="28" t="s">
        <v>38</v>
      </c>
      <c r="D22" s="29">
        <v>226</v>
      </c>
      <c r="E22" s="20">
        <f t="shared" si="7"/>
        <v>262.79166666666669</v>
      </c>
      <c r="F22" s="20">
        <f t="shared" si="8"/>
        <v>268.85000000000002</v>
      </c>
      <c r="G22" s="19">
        <f t="shared" si="9"/>
        <v>0.84061744467174992</v>
      </c>
      <c r="H22" s="6">
        <v>1.0310364595514556</v>
      </c>
      <c r="I22" s="19">
        <f t="shared" si="0"/>
        <v>219.19690415052784</v>
      </c>
      <c r="J22" s="19">
        <f t="shared" si="1"/>
        <v>318.72317185922788</v>
      </c>
      <c r="K22" s="19">
        <f t="shared" si="2"/>
        <v>328.61521069074843</v>
      </c>
    </row>
    <row r="23" spans="1:17" x14ac:dyDescent="0.2">
      <c r="A23" s="30">
        <v>20</v>
      </c>
      <c r="B23" s="27"/>
      <c r="C23" s="28" t="s">
        <v>39</v>
      </c>
      <c r="D23" s="29">
        <v>303.60000000000002</v>
      </c>
      <c r="E23" s="20">
        <f t="shared" si="7"/>
        <v>274.90833333333336</v>
      </c>
      <c r="F23" s="20">
        <f t="shared" si="8"/>
        <v>287.0291666666667</v>
      </c>
      <c r="G23" s="19">
        <f t="shared" si="9"/>
        <v>1.0577322281417394</v>
      </c>
      <c r="H23" s="6">
        <v>1.1304896449206492</v>
      </c>
      <c r="I23" s="19">
        <f t="shared" si="0"/>
        <v>268.55619718773289</v>
      </c>
      <c r="J23" s="19">
        <f t="shared" si="1"/>
        <v>330.38287716471075</v>
      </c>
      <c r="K23" s="19">
        <f t="shared" si="2"/>
        <v>373.49442149379632</v>
      </c>
    </row>
    <row r="24" spans="1:17" x14ac:dyDescent="0.2">
      <c r="A24" s="30">
        <v>21</v>
      </c>
      <c r="B24" s="27"/>
      <c r="C24" s="28" t="s">
        <v>40</v>
      </c>
      <c r="D24" s="29">
        <v>289.89999999999998</v>
      </c>
      <c r="E24" s="20">
        <f t="shared" si="7"/>
        <v>299.15000000000003</v>
      </c>
      <c r="F24" s="20">
        <f t="shared" si="8"/>
        <v>303.55833333333339</v>
      </c>
      <c r="G24" s="19">
        <f t="shared" si="9"/>
        <v>0.95500590221538939</v>
      </c>
      <c r="H24" s="6">
        <v>0.99104444276047821</v>
      </c>
      <c r="I24" s="19">
        <f t="shared" si="0"/>
        <v>292.51967670844891</v>
      </c>
      <c r="J24" s="19">
        <f t="shared" si="1"/>
        <v>342.04258247019362</v>
      </c>
      <c r="K24" s="19">
        <f t="shared" si="2"/>
        <v>338.97940054452795</v>
      </c>
    </row>
    <row r="25" spans="1:17" x14ac:dyDescent="0.2">
      <c r="A25" s="30">
        <v>22</v>
      </c>
      <c r="B25" s="27"/>
      <c r="C25" s="28" t="s">
        <v>41</v>
      </c>
      <c r="D25" s="29">
        <v>421.6</v>
      </c>
      <c r="E25" s="20">
        <f t="shared" si="7"/>
        <v>307.9666666666667</v>
      </c>
      <c r="F25" s="20">
        <f t="shared" si="8"/>
        <v>314.88333333333333</v>
      </c>
      <c r="G25" s="19">
        <f t="shared" si="9"/>
        <v>1.3389085904832478</v>
      </c>
      <c r="H25" s="6">
        <v>0.98874385463615044</v>
      </c>
      <c r="I25" s="19">
        <f t="shared" si="0"/>
        <v>426.39961606147767</v>
      </c>
      <c r="J25" s="19">
        <f t="shared" si="1"/>
        <v>353.70228777567644</v>
      </c>
      <c r="K25" s="19">
        <f t="shared" si="2"/>
        <v>349.72096340894728</v>
      </c>
    </row>
    <row r="26" spans="1:17" x14ac:dyDescent="0.2">
      <c r="A26" s="30">
        <v>23</v>
      </c>
      <c r="B26" s="27"/>
      <c r="C26" s="28" t="s">
        <v>42</v>
      </c>
      <c r="D26" s="29">
        <v>264.5</v>
      </c>
      <c r="E26" s="20">
        <f t="shared" si="7"/>
        <v>321.8</v>
      </c>
      <c r="F26" s="20">
        <f t="shared" si="8"/>
        <v>330.54583333333335</v>
      </c>
      <c r="G26" s="19">
        <f t="shared" si="9"/>
        <v>0.80019160227401642</v>
      </c>
      <c r="H26" s="6">
        <v>1.229457477847103</v>
      </c>
      <c r="I26" s="19">
        <f t="shared" si="0"/>
        <v>215.13554129839827</v>
      </c>
      <c r="J26" s="19">
        <f t="shared" si="1"/>
        <v>365.36199308115931</v>
      </c>
      <c r="K26" s="19">
        <f t="shared" si="2"/>
        <v>449.19703451475283</v>
      </c>
    </row>
    <row r="27" spans="1:17" x14ac:dyDescent="0.2">
      <c r="A27" s="30">
        <v>24</v>
      </c>
      <c r="B27" s="27"/>
      <c r="C27" s="28" t="s">
        <v>43</v>
      </c>
      <c r="D27" s="29">
        <v>342.3</v>
      </c>
      <c r="E27" s="20">
        <f t="shared" si="7"/>
        <v>339.29166666666669</v>
      </c>
      <c r="F27" s="20">
        <f t="shared" si="8"/>
        <v>345.55833333333339</v>
      </c>
      <c r="G27" s="19">
        <f t="shared" si="9"/>
        <v>0.99057081534714342</v>
      </c>
      <c r="H27" s="6">
        <v>0.94498661139194173</v>
      </c>
      <c r="I27" s="19">
        <f t="shared" si="0"/>
        <v>362.22735420113588</v>
      </c>
      <c r="J27" s="19">
        <f t="shared" si="1"/>
        <v>377.02169838664219</v>
      </c>
      <c r="K27" s="19">
        <f t="shared" si="2"/>
        <v>356.28045717962772</v>
      </c>
    </row>
    <row r="28" spans="1:17" x14ac:dyDescent="0.2">
      <c r="A28" s="30">
        <v>25</v>
      </c>
      <c r="B28" s="27" t="s">
        <v>49</v>
      </c>
      <c r="C28" s="28" t="s">
        <v>32</v>
      </c>
      <c r="D28" s="29">
        <v>339.7</v>
      </c>
      <c r="E28" s="20">
        <f t="shared" si="7"/>
        <v>351.82500000000005</v>
      </c>
      <c r="F28" s="20">
        <f t="shared" si="8"/>
        <v>366.38750000000005</v>
      </c>
      <c r="G28" s="19">
        <f t="shared" si="9"/>
        <v>0.9271604517075499</v>
      </c>
      <c r="H28" s="6">
        <v>0.92291262256275353</v>
      </c>
      <c r="I28" s="19">
        <f t="shared" si="0"/>
        <v>368.07384761595029</v>
      </c>
      <c r="J28" s="19">
        <f t="shared" si="1"/>
        <v>388.68140369212506</v>
      </c>
      <c r="K28" s="19">
        <f t="shared" si="2"/>
        <v>358.71897362287143</v>
      </c>
    </row>
    <row r="29" spans="1:17" x14ac:dyDescent="0.2">
      <c r="A29" s="30">
        <v>26</v>
      </c>
      <c r="B29" s="27"/>
      <c r="C29" s="28" t="s">
        <v>33</v>
      </c>
      <c r="D29" s="29">
        <v>440.4</v>
      </c>
      <c r="E29" s="20">
        <f t="shared" si="7"/>
        <v>380.95000000000005</v>
      </c>
      <c r="F29" s="20">
        <f t="shared" si="8"/>
        <v>385.28333333333342</v>
      </c>
      <c r="G29" s="19">
        <f t="shared" si="9"/>
        <v>1.1430548946662626</v>
      </c>
      <c r="H29" s="6">
        <v>0.92254946032122387</v>
      </c>
      <c r="I29" s="19">
        <f t="shared" si="0"/>
        <v>477.37277939185662</v>
      </c>
      <c r="J29" s="19">
        <f t="shared" si="1"/>
        <v>400.34110899760793</v>
      </c>
      <c r="K29" s="19">
        <f t="shared" si="2"/>
        <v>369.33447405014346</v>
      </c>
    </row>
    <row r="30" spans="1:17" x14ac:dyDescent="0.2">
      <c r="A30" s="30">
        <v>27</v>
      </c>
      <c r="B30" s="27"/>
      <c r="C30" s="28" t="s">
        <v>34</v>
      </c>
      <c r="D30" s="29">
        <v>315.89999999999998</v>
      </c>
      <c r="E30" s="20">
        <f t="shared" si="7"/>
        <v>389.61666666666679</v>
      </c>
      <c r="F30" s="20">
        <f t="shared" si="8"/>
        <v>405.95416666666677</v>
      </c>
      <c r="G30" s="19">
        <f t="shared" si="9"/>
        <v>0.77816666495601905</v>
      </c>
      <c r="H30" s="6">
        <v>0.86198159099975269</v>
      </c>
      <c r="I30" s="19">
        <f t="shared" si="0"/>
        <v>366.48114449127559</v>
      </c>
      <c r="J30" s="19">
        <f t="shared" si="1"/>
        <v>412.00081430309075</v>
      </c>
      <c r="K30" s="19">
        <f t="shared" si="2"/>
        <v>355.13711740617185</v>
      </c>
    </row>
    <row r="31" spans="1:17" x14ac:dyDescent="0.2">
      <c r="A31" s="30">
        <v>28</v>
      </c>
      <c r="B31" s="27"/>
      <c r="C31" s="28" t="s">
        <v>35</v>
      </c>
      <c r="D31" s="29">
        <v>439.3</v>
      </c>
      <c r="E31" s="20">
        <f t="shared" si="7"/>
        <v>422.29166666666674</v>
      </c>
      <c r="F31" s="20">
        <f t="shared" si="8"/>
        <v>424.5291666666667</v>
      </c>
      <c r="G31" s="19">
        <f t="shared" si="9"/>
        <v>1.034793447642977</v>
      </c>
      <c r="H31" s="6">
        <v>1.0913741878166974</v>
      </c>
      <c r="I31" s="19">
        <f t="shared" si="0"/>
        <v>402.52005673583238</v>
      </c>
      <c r="J31" s="19">
        <f t="shared" si="1"/>
        <v>423.66051960857362</v>
      </c>
      <c r="K31" s="19">
        <f t="shared" si="2"/>
        <v>462.372155497807</v>
      </c>
    </row>
    <row r="32" spans="1:17" x14ac:dyDescent="0.2">
      <c r="A32" s="30">
        <v>29</v>
      </c>
      <c r="B32" s="27"/>
      <c r="C32" s="28" t="s">
        <v>36</v>
      </c>
      <c r="D32" s="29">
        <v>401.3</v>
      </c>
      <c r="E32" s="20">
        <f t="shared" si="7"/>
        <v>426.76666666666671</v>
      </c>
      <c r="F32" s="20">
        <f t="shared" si="8"/>
        <v>439.9666666666667</v>
      </c>
      <c r="G32" s="19">
        <f t="shared" si="9"/>
        <v>0.91211455413288878</v>
      </c>
      <c r="H32" s="6">
        <v>0.84423631722416959</v>
      </c>
      <c r="I32" s="19">
        <f t="shared" si="0"/>
        <v>475.34083977749924</v>
      </c>
      <c r="J32" s="19">
        <f t="shared" si="1"/>
        <v>435.3202249140565</v>
      </c>
      <c r="K32" s="19">
        <f t="shared" si="2"/>
        <v>367.51314349464025</v>
      </c>
    </row>
    <row r="33" spans="1:11" x14ac:dyDescent="0.2">
      <c r="A33" s="30">
        <v>30</v>
      </c>
      <c r="B33" s="27"/>
      <c r="C33" s="28" t="s">
        <v>37</v>
      </c>
      <c r="D33" s="29">
        <v>437.4</v>
      </c>
      <c r="E33" s="20">
        <f t="shared" si="7"/>
        <v>453.16666666666669</v>
      </c>
      <c r="F33" s="20">
        <f t="shared" si="8"/>
        <v>465.85833333333335</v>
      </c>
      <c r="G33" s="19">
        <f t="shared" si="9"/>
        <v>0.93891204407634643</v>
      </c>
      <c r="H33" s="6">
        <v>1.0411873299676249</v>
      </c>
      <c r="I33" s="19">
        <f t="shared" si="0"/>
        <v>420.09731333707327</v>
      </c>
      <c r="J33" s="19">
        <f t="shared" si="1"/>
        <v>446.97993021953931</v>
      </c>
      <c r="K33" s="19">
        <f t="shared" si="2"/>
        <v>465.38984009439741</v>
      </c>
    </row>
    <row r="34" spans="1:11" x14ac:dyDescent="0.2">
      <c r="A34" s="30">
        <v>31</v>
      </c>
      <c r="B34" s="27"/>
      <c r="C34" s="28" t="s">
        <v>38</v>
      </c>
      <c r="D34" s="29">
        <v>575.5</v>
      </c>
      <c r="E34" s="20">
        <f t="shared" si="7"/>
        <v>478.54999999999995</v>
      </c>
      <c r="F34" s="15"/>
      <c r="H34" s="6">
        <v>1.0310364595514556</v>
      </c>
      <c r="I34" s="19">
        <f t="shared" si="0"/>
        <v>558.17618733906534</v>
      </c>
      <c r="J34" s="19">
        <f t="shared" si="1"/>
        <v>458.63963552502219</v>
      </c>
      <c r="K34" s="19">
        <f t="shared" si="2"/>
        <v>472.8741860216889</v>
      </c>
    </row>
    <row r="35" spans="1:11" x14ac:dyDescent="0.2">
      <c r="A35" s="30">
        <v>32</v>
      </c>
      <c r="B35" s="27"/>
      <c r="C35" s="28" t="s">
        <v>39</v>
      </c>
      <c r="D35" s="29">
        <v>407.6</v>
      </c>
      <c r="E35" s="15"/>
      <c r="H35" s="6">
        <v>1.1304896449206492</v>
      </c>
      <c r="I35" s="19">
        <f t="shared" si="0"/>
        <v>360.55173245625804</v>
      </c>
      <c r="J35" s="19">
        <f t="shared" si="1"/>
        <v>470.29934083050506</v>
      </c>
      <c r="K35" s="19">
        <f t="shared" si="2"/>
        <v>531.66853482189299</v>
      </c>
    </row>
    <row r="36" spans="1:11" x14ac:dyDescent="0.2">
      <c r="A36" s="30">
        <v>33</v>
      </c>
      <c r="B36" s="27"/>
      <c r="C36" s="28" t="s">
        <v>40</v>
      </c>
      <c r="D36" s="29">
        <v>682</v>
      </c>
      <c r="E36" s="15"/>
      <c r="H36" s="6">
        <v>0.99104444276047821</v>
      </c>
      <c r="I36" s="19">
        <f t="shared" si="0"/>
        <v>688.162882080587</v>
      </c>
      <c r="J36" s="19">
        <f t="shared" si="1"/>
        <v>481.95904613598793</v>
      </c>
      <c r="K36" s="19">
        <f t="shared" si="2"/>
        <v>477.64283431121174</v>
      </c>
    </row>
    <row r="37" spans="1:11" x14ac:dyDescent="0.2">
      <c r="A37" s="30">
        <v>34</v>
      </c>
      <c r="B37" s="27"/>
      <c r="C37" s="28" t="s">
        <v>41</v>
      </c>
      <c r="D37" s="29">
        <v>475.3</v>
      </c>
      <c r="E37" s="15"/>
      <c r="H37" s="6">
        <v>0.98874385463615044</v>
      </c>
      <c r="I37" s="19">
        <f t="shared" si="0"/>
        <v>480.71095235773322</v>
      </c>
      <c r="J37" s="19">
        <f t="shared" si="1"/>
        <v>493.61875144147081</v>
      </c>
      <c r="K37" s="19">
        <f t="shared" si="2"/>
        <v>488.0625070209237</v>
      </c>
    </row>
    <row r="38" spans="1:11" x14ac:dyDescent="0.2">
      <c r="A38" s="30">
        <v>35</v>
      </c>
      <c r="B38" s="27"/>
      <c r="C38" s="28" t="s">
        <v>42</v>
      </c>
      <c r="D38" s="29">
        <v>581.29999999999995</v>
      </c>
      <c r="E38" s="15"/>
      <c r="H38" s="6">
        <v>1.229457477847103</v>
      </c>
      <c r="I38" s="19">
        <f t="shared" si="0"/>
        <v>472.81017072498639</v>
      </c>
      <c r="J38" s="19">
        <f t="shared" si="1"/>
        <v>505.27845674695362</v>
      </c>
      <c r="K38" s="19">
        <f t="shared" si="2"/>
        <v>621.2183770425861</v>
      </c>
    </row>
    <row r="39" spans="1:11" x14ac:dyDescent="0.2">
      <c r="A39" s="30">
        <v>36</v>
      </c>
      <c r="B39" s="27"/>
      <c r="C39" s="28" t="s">
        <v>43</v>
      </c>
      <c r="D39" s="29">
        <v>646.9</v>
      </c>
      <c r="E39" s="15"/>
      <c r="H39" s="6">
        <v>0.94498661139194173</v>
      </c>
      <c r="I39" s="19">
        <f t="shared" si="0"/>
        <v>684.55996328575748</v>
      </c>
      <c r="J39" s="19">
        <f t="shared" si="1"/>
        <v>516.9381620524365</v>
      </c>
      <c r="K39" s="19">
        <f t="shared" si="2"/>
        <v>488.49964205711041</v>
      </c>
    </row>
    <row r="40" spans="1:11" x14ac:dyDescent="0.2">
      <c r="A40" s="5">
        <v>37</v>
      </c>
      <c r="B40" s="5" t="s">
        <v>81</v>
      </c>
      <c r="C40" s="16" t="s">
        <v>32</v>
      </c>
      <c r="D40" s="17"/>
      <c r="E40" s="20"/>
      <c r="F40" s="18"/>
      <c r="G40" s="18"/>
      <c r="H40" s="6">
        <v>0.92291262256275353</v>
      </c>
      <c r="I40" s="24"/>
      <c r="J40" s="19">
        <f t="shared" si="1"/>
        <v>528.59786735791931</v>
      </c>
      <c r="K40" s="19">
        <f t="shared" si="2"/>
        <v>487.84964404437585</v>
      </c>
    </row>
    <row r="41" spans="1:11" x14ac:dyDescent="0.2">
      <c r="A41" s="5">
        <v>38</v>
      </c>
      <c r="B41" s="5"/>
      <c r="C41" s="16" t="s">
        <v>33</v>
      </c>
      <c r="D41" s="17"/>
      <c r="E41" s="20"/>
      <c r="F41" s="18"/>
      <c r="G41" s="18"/>
      <c r="H41" s="6">
        <v>0.92254946032122387</v>
      </c>
      <c r="I41" s="24"/>
      <c r="J41" s="19">
        <f t="shared" si="1"/>
        <v>540.25757266340224</v>
      </c>
      <c r="K41" s="19">
        <f t="shared" si="2"/>
        <v>498.41433209507613</v>
      </c>
    </row>
    <row r="42" spans="1:11" x14ac:dyDescent="0.2">
      <c r="A42" s="5">
        <v>39</v>
      </c>
      <c r="B42" s="5"/>
      <c r="C42" s="16" t="s">
        <v>34</v>
      </c>
      <c r="D42" s="17"/>
      <c r="E42" s="20"/>
      <c r="F42" s="18"/>
      <c r="G42" s="18"/>
      <c r="H42" s="6">
        <v>0.86198159099975269</v>
      </c>
      <c r="I42" s="24"/>
      <c r="J42" s="19">
        <f t="shared" si="1"/>
        <v>551.91727796888506</v>
      </c>
      <c r="K42" s="19">
        <f t="shared" si="2"/>
        <v>475.74253336387227</v>
      </c>
    </row>
    <row r="43" spans="1:11" x14ac:dyDescent="0.2">
      <c r="A43" s="5">
        <v>40</v>
      </c>
      <c r="B43" s="5"/>
      <c r="C43" s="16" t="s">
        <v>35</v>
      </c>
      <c r="D43" s="17"/>
      <c r="E43" s="20"/>
      <c r="F43" s="18"/>
      <c r="G43" s="18"/>
      <c r="H43" s="6">
        <v>1.0913741878166974</v>
      </c>
      <c r="I43" s="24"/>
      <c r="J43" s="19">
        <f t="shared" si="1"/>
        <v>563.57698327436788</v>
      </c>
      <c r="K43" s="19">
        <f t="shared" si="2"/>
        <v>615.07337239324772</v>
      </c>
    </row>
    <row r="44" spans="1:11" x14ac:dyDescent="0.2">
      <c r="A44" s="5">
        <v>41</v>
      </c>
      <c r="B44" s="5"/>
      <c r="C44" s="16" t="s">
        <v>36</v>
      </c>
      <c r="D44" s="17"/>
      <c r="E44" s="20"/>
      <c r="F44" s="18"/>
      <c r="G44" s="18"/>
      <c r="H44" s="6">
        <v>0.84423631722416959</v>
      </c>
      <c r="I44" s="24"/>
      <c r="J44" s="19">
        <f t="shared" si="1"/>
        <v>575.23668857985081</v>
      </c>
      <c r="K44" s="19">
        <f t="shared" si="2"/>
        <v>485.63570349887976</v>
      </c>
    </row>
    <row r="45" spans="1:11" x14ac:dyDescent="0.2">
      <c r="A45" s="5">
        <v>42</v>
      </c>
      <c r="B45" s="5"/>
      <c r="C45" s="16" t="s">
        <v>37</v>
      </c>
      <c r="D45" s="17"/>
      <c r="E45" s="20"/>
      <c r="F45" s="18"/>
      <c r="G45" s="18"/>
      <c r="H45" s="6">
        <v>1.0411873299676249</v>
      </c>
      <c r="I45" s="24"/>
      <c r="J45" s="19">
        <f t="shared" si="1"/>
        <v>586.89639388533374</v>
      </c>
      <c r="K45" s="19">
        <f t="shared" si="2"/>
        <v>611.06908931709813</v>
      </c>
    </row>
    <row r="46" spans="1:11" x14ac:dyDescent="0.2">
      <c r="A46" s="5">
        <v>43</v>
      </c>
      <c r="B46" s="5"/>
      <c r="C46" s="16" t="s">
        <v>38</v>
      </c>
      <c r="D46" s="17"/>
      <c r="E46" s="20"/>
      <c r="F46" s="18"/>
      <c r="G46" s="18"/>
      <c r="H46" s="6">
        <v>1.0310364595514556</v>
      </c>
      <c r="I46" s="24"/>
      <c r="J46" s="19">
        <f t="shared" si="1"/>
        <v>598.55609919081644</v>
      </c>
      <c r="K46" s="19">
        <f t="shared" si="2"/>
        <v>617.13316135262926</v>
      </c>
    </row>
    <row r="47" spans="1:11" x14ac:dyDescent="0.2">
      <c r="A47" s="5">
        <v>44</v>
      </c>
      <c r="B47" s="5"/>
      <c r="C47" s="16" t="s">
        <v>39</v>
      </c>
      <c r="D47" s="17"/>
      <c r="E47" s="20"/>
      <c r="F47" s="18"/>
      <c r="G47" s="18"/>
      <c r="H47" s="6">
        <v>1.1304896449206492</v>
      </c>
      <c r="I47" s="24"/>
      <c r="J47" s="19">
        <f t="shared" si="1"/>
        <v>610.21580449629937</v>
      </c>
      <c r="K47" s="19">
        <f t="shared" si="2"/>
        <v>689.84264814998971</v>
      </c>
    </row>
    <row r="48" spans="1:11" x14ac:dyDescent="0.2">
      <c r="A48" s="5">
        <v>45</v>
      </c>
      <c r="B48" s="5"/>
      <c r="C48" s="16" t="s">
        <v>40</v>
      </c>
      <c r="D48" s="17"/>
      <c r="E48" s="20"/>
      <c r="F48" s="18"/>
      <c r="G48" s="18"/>
      <c r="H48" s="6">
        <v>0.99104444276047821</v>
      </c>
      <c r="I48" s="24"/>
      <c r="J48" s="19">
        <f t="shared" si="1"/>
        <v>621.8755098017823</v>
      </c>
      <c r="K48" s="19">
        <f t="shared" si="2"/>
        <v>616.30626807789565</v>
      </c>
    </row>
    <row r="49" spans="1:15" x14ac:dyDescent="0.2">
      <c r="A49" s="5">
        <v>46</v>
      </c>
      <c r="B49" s="5"/>
      <c r="C49" s="16" t="s">
        <v>41</v>
      </c>
      <c r="D49" s="17"/>
      <c r="E49" s="20"/>
      <c r="F49" s="18"/>
      <c r="G49" s="18"/>
      <c r="H49" s="6">
        <v>0.98874385463615044</v>
      </c>
      <c r="I49" s="24"/>
      <c r="J49" s="19">
        <f t="shared" si="1"/>
        <v>633.535215107265</v>
      </c>
      <c r="K49" s="19">
        <f t="shared" si="2"/>
        <v>626.40405063289995</v>
      </c>
    </row>
    <row r="50" spans="1:15" x14ac:dyDescent="0.2">
      <c r="A50" s="5">
        <v>47</v>
      </c>
      <c r="B50" s="5"/>
      <c r="C50" s="16" t="s">
        <v>42</v>
      </c>
      <c r="D50" s="17"/>
      <c r="E50" s="20"/>
      <c r="F50" s="18"/>
      <c r="G50" s="18"/>
      <c r="H50" s="6">
        <v>1.229457477847103</v>
      </c>
      <c r="I50" s="24"/>
      <c r="J50" s="19">
        <f t="shared" si="1"/>
        <v>645.19492041274793</v>
      </c>
      <c r="K50" s="19">
        <f t="shared" si="2"/>
        <v>793.23971957041942</v>
      </c>
    </row>
    <row r="51" spans="1:15" x14ac:dyDescent="0.2">
      <c r="A51" s="5">
        <v>48</v>
      </c>
      <c r="B51" s="5"/>
      <c r="C51" s="16" t="s">
        <v>43</v>
      </c>
      <c r="D51" s="17"/>
      <c r="E51" s="20"/>
      <c r="F51" s="18"/>
      <c r="G51" s="18"/>
      <c r="H51" s="6">
        <v>0.94498661139194173</v>
      </c>
      <c r="I51" s="24"/>
      <c r="J51" s="19">
        <f t="shared" si="1"/>
        <v>656.85462571823086</v>
      </c>
      <c r="K51" s="19">
        <f t="shared" si="2"/>
        <v>620.71882693459315</v>
      </c>
    </row>
    <row r="52" spans="1:15" ht="17" x14ac:dyDescent="0.25">
      <c r="M52" s="21" t="s">
        <v>23</v>
      </c>
      <c r="N52" s="21" t="s">
        <v>28</v>
      </c>
      <c r="O52" s="21" t="s">
        <v>45</v>
      </c>
    </row>
    <row r="53" spans="1:15" x14ac:dyDescent="0.2">
      <c r="M53" s="16" t="s">
        <v>32</v>
      </c>
      <c r="N53" s="6">
        <f t="shared" ref="N53:N58" si="12">AVERAGE(G16,G28)</f>
        <v>0.91246552099065847</v>
      </c>
      <c r="O53" s="6">
        <f>N53*12/$N$65</f>
        <v>0.92291262256275353</v>
      </c>
    </row>
    <row r="54" spans="1:15" x14ac:dyDescent="0.2">
      <c r="M54" s="16" t="s">
        <v>33</v>
      </c>
      <c r="N54" s="6">
        <f t="shared" si="12"/>
        <v>0.91210646963972841</v>
      </c>
      <c r="O54" s="6">
        <f t="shared" ref="O54:O64" si="13">N54*12/$N$65</f>
        <v>0.92254946032122387</v>
      </c>
    </row>
    <row r="55" spans="1:15" x14ac:dyDescent="0.2">
      <c r="M55" s="16" t="s">
        <v>34</v>
      </c>
      <c r="N55" s="6">
        <f t="shared" si="12"/>
        <v>0.85222421092465428</v>
      </c>
      <c r="O55" s="6">
        <f t="shared" si="13"/>
        <v>0.86198159099975269</v>
      </c>
    </row>
    <row r="56" spans="1:15" x14ac:dyDescent="0.2">
      <c r="M56" s="16" t="s">
        <v>35</v>
      </c>
      <c r="N56" s="6">
        <f t="shared" si="12"/>
        <v>1.0790201504847303</v>
      </c>
      <c r="O56" s="6">
        <f t="shared" si="13"/>
        <v>1.0913741878166974</v>
      </c>
    </row>
    <row r="57" spans="1:15" x14ac:dyDescent="0.2">
      <c r="M57" s="16" t="s">
        <v>36</v>
      </c>
      <c r="N57" s="6">
        <f t="shared" si="12"/>
        <v>0.83467980846995893</v>
      </c>
      <c r="O57" s="6">
        <f t="shared" si="13"/>
        <v>0.84423631722416959</v>
      </c>
    </row>
    <row r="58" spans="1:15" x14ac:dyDescent="0.2">
      <c r="M58" s="16" t="s">
        <v>37</v>
      </c>
      <c r="N58" s="6">
        <f t="shared" si="12"/>
        <v>1.0294013932214723</v>
      </c>
      <c r="O58" s="6">
        <f t="shared" si="13"/>
        <v>1.0411873299676249</v>
      </c>
    </row>
    <row r="59" spans="1:15" x14ac:dyDescent="0.2">
      <c r="M59" s="16" t="s">
        <v>38</v>
      </c>
      <c r="N59" s="6">
        <f t="shared" ref="N59:N64" si="14">AVERAGE(G10,G22)</f>
        <v>1.0193654276962867</v>
      </c>
      <c r="O59" s="6">
        <f t="shared" si="13"/>
        <v>1.0310364595514556</v>
      </c>
    </row>
    <row r="60" spans="1:15" x14ac:dyDescent="0.2">
      <c r="M60" s="16" t="s">
        <v>39</v>
      </c>
      <c r="N60" s="6">
        <f t="shared" si="14"/>
        <v>1.1176928320285546</v>
      </c>
      <c r="O60" s="6">
        <f t="shared" si="13"/>
        <v>1.1304896449206492</v>
      </c>
    </row>
    <row r="61" spans="1:15" x14ac:dyDescent="0.2">
      <c r="M61" s="16" t="s">
        <v>40</v>
      </c>
      <c r="N61" s="6">
        <f t="shared" si="14"/>
        <v>0.97982610886530475</v>
      </c>
      <c r="O61" s="6">
        <f t="shared" si="13"/>
        <v>0.99104444276047821</v>
      </c>
    </row>
    <row r="62" spans="1:15" x14ac:dyDescent="0.2">
      <c r="M62" s="16" t="s">
        <v>41</v>
      </c>
      <c r="N62" s="6">
        <f t="shared" si="14"/>
        <v>0.97755156272720933</v>
      </c>
      <c r="O62" s="6">
        <f t="shared" si="13"/>
        <v>0.98874385463615044</v>
      </c>
    </row>
    <row r="63" spans="1:15" x14ac:dyDescent="0.2">
      <c r="M63" s="16" t="s">
        <v>42</v>
      </c>
      <c r="N63" s="6">
        <f t="shared" si="14"/>
        <v>1.215540377966104</v>
      </c>
      <c r="O63" s="6">
        <f t="shared" si="13"/>
        <v>1.229457477847103</v>
      </c>
    </row>
    <row r="64" spans="1:15" x14ac:dyDescent="0.2">
      <c r="M64" s="16" t="s">
        <v>43</v>
      </c>
      <c r="N64" s="6">
        <f t="shared" si="14"/>
        <v>0.9342896387077152</v>
      </c>
      <c r="O64" s="6">
        <f t="shared" si="13"/>
        <v>0.94498661139194173</v>
      </c>
    </row>
    <row r="65" spans="1:15" x14ac:dyDescent="0.2">
      <c r="M65" s="22" t="s">
        <v>44</v>
      </c>
      <c r="N65" s="23">
        <f>SUM(N53:N64)</f>
        <v>11.864163501722377</v>
      </c>
      <c r="O65" s="23">
        <f>SUM(O53:O64)</f>
        <v>11.999999999999998</v>
      </c>
    </row>
    <row r="66" spans="1:15" x14ac:dyDescent="0.2">
      <c r="A66" t="s">
        <v>57</v>
      </c>
    </row>
    <row r="67" spans="1:15" ht="16" thickBot="1" x14ac:dyDescent="0.25"/>
    <row r="68" spans="1:15" x14ac:dyDescent="0.2">
      <c r="A68" s="48" t="s">
        <v>58</v>
      </c>
      <c r="B68" s="48"/>
    </row>
    <row r="69" spans="1:15" x14ac:dyDescent="0.2">
      <c r="A69" t="s">
        <v>59</v>
      </c>
      <c r="B69">
        <v>0.83639466530715334</v>
      </c>
    </row>
    <row r="70" spans="1:15" x14ac:dyDescent="0.2">
      <c r="A70" t="s">
        <v>60</v>
      </c>
      <c r="B70">
        <v>0.69955603615426498</v>
      </c>
    </row>
    <row r="71" spans="1:15" x14ac:dyDescent="0.2">
      <c r="A71" t="s">
        <v>61</v>
      </c>
      <c r="B71">
        <v>0.69071944898233162</v>
      </c>
    </row>
    <row r="72" spans="1:15" x14ac:dyDescent="0.2">
      <c r="A72" t="s">
        <v>62</v>
      </c>
      <c r="B72">
        <v>81.679696321143354</v>
      </c>
    </row>
    <row r="73" spans="1:15" ht="16" thickBot="1" x14ac:dyDescent="0.25">
      <c r="A73" s="46" t="s">
        <v>63</v>
      </c>
      <c r="B73" s="46">
        <v>36</v>
      </c>
    </row>
    <row r="75" spans="1:15" ht="16" thickBot="1" x14ac:dyDescent="0.25">
      <c r="A75" t="s">
        <v>64</v>
      </c>
    </row>
    <row r="76" spans="1:15" x14ac:dyDescent="0.2">
      <c r="A76" s="47"/>
      <c r="B76" s="47" t="s">
        <v>68</v>
      </c>
      <c r="C76" s="47" t="s">
        <v>69</v>
      </c>
      <c r="D76" s="47" t="s">
        <v>70</v>
      </c>
      <c r="E76" s="47" t="s">
        <v>71</v>
      </c>
      <c r="F76" s="47" t="s">
        <v>72</v>
      </c>
    </row>
    <row r="77" spans="1:15" x14ac:dyDescent="0.2">
      <c r="A77" t="s">
        <v>65</v>
      </c>
      <c r="B77">
        <v>1</v>
      </c>
      <c r="C77">
        <v>528160.80754458939</v>
      </c>
      <c r="D77">
        <v>528160.80754458939</v>
      </c>
      <c r="E77">
        <v>79.165861496413783</v>
      </c>
      <c r="F77">
        <v>2.1258482547420454E-10</v>
      </c>
    </row>
    <row r="78" spans="1:15" x14ac:dyDescent="0.2">
      <c r="A78" t="s">
        <v>66</v>
      </c>
      <c r="B78">
        <v>34</v>
      </c>
      <c r="C78">
        <v>226833.47489788278</v>
      </c>
      <c r="D78">
        <v>6671.5727911141994</v>
      </c>
    </row>
    <row r="79" spans="1:15" ht="16" thickBot="1" x14ac:dyDescent="0.25">
      <c r="A79" s="46" t="s">
        <v>5</v>
      </c>
      <c r="B79" s="46">
        <v>35</v>
      </c>
      <c r="C79" s="46">
        <v>754994.28244247218</v>
      </c>
      <c r="D79" s="46"/>
      <c r="E79" s="46"/>
      <c r="F79" s="46"/>
    </row>
    <row r="80" spans="1:15" ht="16" thickBot="1" x14ac:dyDescent="0.25"/>
    <row r="81" spans="1:9" x14ac:dyDescent="0.2">
      <c r="A81" s="47"/>
      <c r="B81" s="47" t="s">
        <v>73</v>
      </c>
      <c r="C81" s="47" t="s">
        <v>62</v>
      </c>
      <c r="D81" s="47" t="s">
        <v>74</v>
      </c>
      <c r="E81" s="47" t="s">
        <v>75</v>
      </c>
      <c r="F81" s="47" t="s">
        <v>76</v>
      </c>
      <c r="G81" s="47" t="s">
        <v>77</v>
      </c>
      <c r="H81" s="47" t="s">
        <v>78</v>
      </c>
      <c r="I81" s="47" t="s">
        <v>79</v>
      </c>
    </row>
    <row r="82" spans="1:9" x14ac:dyDescent="0.2">
      <c r="A82" t="s">
        <v>67</v>
      </c>
      <c r="B82">
        <v>97.188771055053564</v>
      </c>
      <c r="C82">
        <v>27.803871311793195</v>
      </c>
      <c r="D82">
        <v>3.4955121883991138</v>
      </c>
      <c r="E82">
        <v>1.3373135581113465E-3</v>
      </c>
      <c r="F82">
        <v>40.684506243885394</v>
      </c>
      <c r="G82">
        <v>153.69303586622175</v>
      </c>
      <c r="H82">
        <v>40.684506243885394</v>
      </c>
      <c r="I82">
        <v>153.69303586622175</v>
      </c>
    </row>
    <row r="83" spans="1:9" ht="16" thickBot="1" x14ac:dyDescent="0.25">
      <c r="A83" s="46" t="s">
        <v>80</v>
      </c>
      <c r="B83" s="46">
        <v>11.659705305482859</v>
      </c>
      <c r="C83" s="46">
        <v>1.3104444107619937</v>
      </c>
      <c r="D83" s="46">
        <v>8.8975199632489606</v>
      </c>
      <c r="E83" s="46">
        <v>2.1258482547420454E-10</v>
      </c>
      <c r="F83" s="46">
        <v>8.9965618469457045</v>
      </c>
      <c r="G83" s="46">
        <v>14.322848764020014</v>
      </c>
      <c r="H83" s="46">
        <v>8.9965618469457045</v>
      </c>
      <c r="I83" s="46">
        <v>14.322848764020014</v>
      </c>
    </row>
    <row r="87" spans="1:9" x14ac:dyDescent="0.2">
      <c r="A87" s="26"/>
      <c r="B87" s="26" t="s">
        <v>23</v>
      </c>
      <c r="C87" t="s">
        <v>82</v>
      </c>
      <c r="D87" s="26" t="s">
        <v>24</v>
      </c>
    </row>
    <row r="88" spans="1:9" x14ac:dyDescent="0.2">
      <c r="A88" s="27" t="s">
        <v>47</v>
      </c>
      <c r="B88" s="28" t="s">
        <v>32</v>
      </c>
      <c r="C88">
        <v>100.45763277986255</v>
      </c>
      <c r="D88" s="29">
        <v>266</v>
      </c>
    </row>
    <row r="89" spans="1:9" x14ac:dyDescent="0.2">
      <c r="A89" s="27"/>
      <c r="B89" s="28" t="s">
        <v>33</v>
      </c>
      <c r="C89">
        <v>111.1747579602781</v>
      </c>
      <c r="D89" s="29">
        <v>145.9</v>
      </c>
    </row>
    <row r="90" spans="1:9" x14ac:dyDescent="0.2">
      <c r="A90" s="27"/>
      <c r="B90" s="28" t="s">
        <v>34</v>
      </c>
      <c r="C90">
        <v>113.92628549077089</v>
      </c>
      <c r="D90" s="29">
        <v>183.1</v>
      </c>
    </row>
    <row r="91" spans="1:9" x14ac:dyDescent="0.2">
      <c r="A91" s="27"/>
      <c r="B91" s="28" t="s">
        <v>35</v>
      </c>
      <c r="C91">
        <v>156.96972170692561</v>
      </c>
      <c r="D91" s="29">
        <v>119.3</v>
      </c>
    </row>
    <row r="92" spans="1:9" x14ac:dyDescent="0.2">
      <c r="A92" s="27"/>
      <c r="B92" s="28" t="s">
        <v>36</v>
      </c>
      <c r="C92">
        <v>131.26802348616121</v>
      </c>
      <c r="D92" s="29">
        <v>180.3</v>
      </c>
    </row>
    <row r="93" spans="1:9" x14ac:dyDescent="0.2">
      <c r="A93" s="27"/>
      <c r="B93" s="28" t="s">
        <v>37</v>
      </c>
      <c r="C93">
        <v>174.03134164899629</v>
      </c>
      <c r="D93" s="29">
        <v>168.5</v>
      </c>
    </row>
    <row r="94" spans="1:9" x14ac:dyDescent="0.2">
      <c r="A94" s="27"/>
      <c r="B94" s="28" t="s">
        <v>38</v>
      </c>
      <c r="C94">
        <v>184.35623535980798</v>
      </c>
      <c r="D94" s="29">
        <v>231.8</v>
      </c>
    </row>
    <row r="95" spans="1:9" x14ac:dyDescent="0.2">
      <c r="A95" s="27"/>
      <c r="B95" s="28" t="s">
        <v>39</v>
      </c>
      <c r="C95">
        <v>215.3203081656996</v>
      </c>
      <c r="D95" s="29">
        <v>224.5</v>
      </c>
    </row>
    <row r="96" spans="1:9" x14ac:dyDescent="0.2">
      <c r="A96" s="27"/>
      <c r="B96" s="28" t="s">
        <v>40</v>
      </c>
      <c r="C96">
        <v>200.31596677784412</v>
      </c>
      <c r="D96" s="29">
        <v>192.8</v>
      </c>
    </row>
    <row r="97" spans="1:4" x14ac:dyDescent="0.2">
      <c r="A97" s="27"/>
      <c r="B97" s="28" t="s">
        <v>41</v>
      </c>
      <c r="C97">
        <v>211.37941979697095</v>
      </c>
      <c r="D97" s="29">
        <v>122.9</v>
      </c>
    </row>
    <row r="98" spans="1:4" x14ac:dyDescent="0.2">
      <c r="A98" s="27"/>
      <c r="B98" s="28" t="s">
        <v>42</v>
      </c>
      <c r="C98">
        <v>277.1756919869195</v>
      </c>
      <c r="D98" s="29">
        <v>336.5</v>
      </c>
    </row>
    <row r="99" spans="1:4" x14ac:dyDescent="0.2">
      <c r="A99" s="27"/>
      <c r="B99" s="28" t="s">
        <v>43</v>
      </c>
      <c r="C99">
        <v>224.061272302145</v>
      </c>
      <c r="D99" s="29">
        <v>185.9</v>
      </c>
    </row>
    <row r="100" spans="1:4" x14ac:dyDescent="0.2">
      <c r="A100" s="27" t="s">
        <v>48</v>
      </c>
      <c r="B100" s="28" t="s">
        <v>32</v>
      </c>
      <c r="C100">
        <v>229.58830320136701</v>
      </c>
      <c r="D100" s="29">
        <v>194.3</v>
      </c>
    </row>
    <row r="101" spans="1:4" x14ac:dyDescent="0.2">
      <c r="A101" s="27"/>
      <c r="B101" s="28" t="s">
        <v>33</v>
      </c>
      <c r="C101">
        <v>240.25461600521078</v>
      </c>
      <c r="D101" s="29">
        <v>149.5</v>
      </c>
    </row>
    <row r="102" spans="1:4" x14ac:dyDescent="0.2">
      <c r="A102" s="27"/>
      <c r="B102" s="28" t="s">
        <v>34</v>
      </c>
      <c r="C102">
        <v>234.53170144847135</v>
      </c>
      <c r="D102" s="29">
        <v>210.1</v>
      </c>
    </row>
    <row r="103" spans="1:4" x14ac:dyDescent="0.2">
      <c r="A103" s="27"/>
      <c r="B103" s="28" t="s">
        <v>35</v>
      </c>
      <c r="C103">
        <v>309.67093860236633</v>
      </c>
      <c r="D103" s="29">
        <v>273.3</v>
      </c>
    </row>
    <row r="104" spans="1:4" x14ac:dyDescent="0.2">
      <c r="A104" s="27"/>
      <c r="B104" s="28" t="s">
        <v>36</v>
      </c>
      <c r="C104">
        <v>249.39058349040073</v>
      </c>
      <c r="D104" s="29">
        <v>191.4</v>
      </c>
    </row>
    <row r="105" spans="1:4" x14ac:dyDescent="0.2">
      <c r="A105" s="27"/>
      <c r="B105" s="28" t="s">
        <v>37</v>
      </c>
      <c r="C105">
        <v>319.71059087169687</v>
      </c>
      <c r="D105" s="29">
        <v>287</v>
      </c>
    </row>
    <row r="106" spans="1:4" x14ac:dyDescent="0.2">
      <c r="A106" s="27"/>
      <c r="B106" s="28" t="s">
        <v>38</v>
      </c>
      <c r="C106">
        <v>328.61521069074843</v>
      </c>
      <c r="D106" s="29">
        <v>226</v>
      </c>
    </row>
    <row r="107" spans="1:4" x14ac:dyDescent="0.2">
      <c r="A107" s="27"/>
      <c r="B107" s="28" t="s">
        <v>39</v>
      </c>
      <c r="C107">
        <v>373.49442149379632</v>
      </c>
      <c r="D107" s="29">
        <v>303.60000000000002</v>
      </c>
    </row>
    <row r="108" spans="1:4" x14ac:dyDescent="0.2">
      <c r="A108" s="27"/>
      <c r="B108" s="28" t="s">
        <v>40</v>
      </c>
      <c r="C108">
        <v>338.97940054452795</v>
      </c>
      <c r="D108" s="29">
        <v>289.89999999999998</v>
      </c>
    </row>
    <row r="109" spans="1:4" x14ac:dyDescent="0.2">
      <c r="A109" s="27"/>
      <c r="B109" s="28" t="s">
        <v>41</v>
      </c>
      <c r="C109">
        <v>349.72096340894728</v>
      </c>
      <c r="D109" s="29">
        <v>421.6</v>
      </c>
    </row>
    <row r="110" spans="1:4" x14ac:dyDescent="0.2">
      <c r="A110" s="27"/>
      <c r="B110" s="28" t="s">
        <v>42</v>
      </c>
      <c r="C110">
        <v>449.19703451475283</v>
      </c>
      <c r="D110" s="29">
        <v>264.5</v>
      </c>
    </row>
    <row r="111" spans="1:4" x14ac:dyDescent="0.2">
      <c r="A111" s="27"/>
      <c r="B111" s="28" t="s">
        <v>43</v>
      </c>
      <c r="C111">
        <v>356.28045717962772</v>
      </c>
      <c r="D111" s="29">
        <v>342.3</v>
      </c>
    </row>
    <row r="112" spans="1:4" x14ac:dyDescent="0.2">
      <c r="A112" s="27" t="s">
        <v>49</v>
      </c>
      <c r="B112" s="28" t="s">
        <v>32</v>
      </c>
      <c r="C112">
        <v>358.71897362287143</v>
      </c>
      <c r="D112" s="29">
        <v>339.7</v>
      </c>
    </row>
    <row r="113" spans="1:4" x14ac:dyDescent="0.2">
      <c r="A113" s="27"/>
      <c r="B113" s="28" t="s">
        <v>33</v>
      </c>
      <c r="C113">
        <v>369.33447405014346</v>
      </c>
      <c r="D113" s="29">
        <v>440.4</v>
      </c>
    </row>
    <row r="114" spans="1:4" x14ac:dyDescent="0.2">
      <c r="A114" s="27"/>
      <c r="B114" s="28" t="s">
        <v>34</v>
      </c>
      <c r="C114">
        <v>355.13711740617185</v>
      </c>
      <c r="D114" s="29">
        <v>315.89999999999998</v>
      </c>
    </row>
    <row r="115" spans="1:4" x14ac:dyDescent="0.2">
      <c r="A115" s="27"/>
      <c r="B115" s="28" t="s">
        <v>35</v>
      </c>
      <c r="C115">
        <v>462.372155497807</v>
      </c>
      <c r="D115" s="29">
        <v>439.3</v>
      </c>
    </row>
    <row r="116" spans="1:4" x14ac:dyDescent="0.2">
      <c r="A116" s="27"/>
      <c r="B116" s="28" t="s">
        <v>36</v>
      </c>
      <c r="C116">
        <v>367.51314349464025</v>
      </c>
      <c r="D116" s="29">
        <v>401.3</v>
      </c>
    </row>
    <row r="117" spans="1:4" x14ac:dyDescent="0.2">
      <c r="A117" s="27"/>
      <c r="B117" s="28" t="s">
        <v>37</v>
      </c>
      <c r="C117">
        <v>465.38984009439741</v>
      </c>
      <c r="D117" s="29">
        <v>437.4</v>
      </c>
    </row>
    <row r="118" spans="1:4" x14ac:dyDescent="0.2">
      <c r="A118" s="27"/>
      <c r="B118" s="28" t="s">
        <v>38</v>
      </c>
      <c r="C118">
        <v>472.8741860216889</v>
      </c>
      <c r="D118" s="29">
        <v>575.5</v>
      </c>
    </row>
    <row r="119" spans="1:4" x14ac:dyDescent="0.2">
      <c r="A119" s="27"/>
      <c r="B119" s="28" t="s">
        <v>39</v>
      </c>
      <c r="C119">
        <v>531.66853482189299</v>
      </c>
      <c r="D119" s="29">
        <v>407.6</v>
      </c>
    </row>
    <row r="120" spans="1:4" x14ac:dyDescent="0.2">
      <c r="A120" s="27"/>
      <c r="B120" s="28" t="s">
        <v>40</v>
      </c>
      <c r="C120">
        <v>477.64283431121174</v>
      </c>
      <c r="D120" s="29">
        <v>682</v>
      </c>
    </row>
    <row r="121" spans="1:4" x14ac:dyDescent="0.2">
      <c r="A121" s="27"/>
      <c r="B121" s="28" t="s">
        <v>41</v>
      </c>
      <c r="C121">
        <v>488.0625070209237</v>
      </c>
      <c r="D121" s="29">
        <v>475.3</v>
      </c>
    </row>
    <row r="122" spans="1:4" x14ac:dyDescent="0.2">
      <c r="A122" s="27"/>
      <c r="B122" s="28" t="s">
        <v>42</v>
      </c>
      <c r="C122">
        <v>621.2183770425861</v>
      </c>
      <c r="D122" s="29">
        <v>581.29999999999995</v>
      </c>
    </row>
    <row r="123" spans="1:4" x14ac:dyDescent="0.2">
      <c r="A123" s="27"/>
      <c r="B123" s="28" t="s">
        <v>43</v>
      </c>
      <c r="C123">
        <v>488.49964205711041</v>
      </c>
      <c r="D123" s="29">
        <v>646.9</v>
      </c>
    </row>
    <row r="124" spans="1:4" x14ac:dyDescent="0.2">
      <c r="A124" s="5" t="s">
        <v>81</v>
      </c>
      <c r="B124" s="16" t="s">
        <v>32</v>
      </c>
      <c r="C124">
        <v>487.84964404437585</v>
      </c>
    </row>
    <row r="125" spans="1:4" x14ac:dyDescent="0.2">
      <c r="A125" s="5"/>
      <c r="B125" s="16" t="s">
        <v>33</v>
      </c>
      <c r="C125">
        <v>498.41433209507613</v>
      </c>
    </row>
    <row r="126" spans="1:4" x14ac:dyDescent="0.2">
      <c r="A126" s="5"/>
      <c r="B126" s="16" t="s">
        <v>34</v>
      </c>
      <c r="C126">
        <v>475.74253336387227</v>
      </c>
    </row>
    <row r="127" spans="1:4" x14ac:dyDescent="0.2">
      <c r="A127" s="5"/>
      <c r="B127" s="16" t="s">
        <v>35</v>
      </c>
      <c r="C127">
        <v>615.07337239324772</v>
      </c>
    </row>
    <row r="128" spans="1:4" x14ac:dyDescent="0.2">
      <c r="A128" s="5"/>
      <c r="B128" s="16" t="s">
        <v>36</v>
      </c>
      <c r="C128">
        <v>485.63570349887976</v>
      </c>
    </row>
    <row r="129" spans="1:3" x14ac:dyDescent="0.2">
      <c r="A129" s="5"/>
      <c r="B129" s="16" t="s">
        <v>37</v>
      </c>
      <c r="C129">
        <v>611.06908931709813</v>
      </c>
    </row>
    <row r="130" spans="1:3" x14ac:dyDescent="0.2">
      <c r="A130" s="5"/>
      <c r="B130" s="16" t="s">
        <v>38</v>
      </c>
      <c r="C130">
        <v>617.13316135262926</v>
      </c>
    </row>
    <row r="131" spans="1:3" x14ac:dyDescent="0.2">
      <c r="A131" s="5"/>
      <c r="B131" s="16" t="s">
        <v>39</v>
      </c>
      <c r="C131">
        <v>689.84264814998971</v>
      </c>
    </row>
    <row r="132" spans="1:3" x14ac:dyDescent="0.2">
      <c r="A132" s="5"/>
      <c r="B132" s="16" t="s">
        <v>40</v>
      </c>
      <c r="C132">
        <v>616.30626807789565</v>
      </c>
    </row>
    <row r="133" spans="1:3" x14ac:dyDescent="0.2">
      <c r="A133" s="5"/>
      <c r="B133" s="16" t="s">
        <v>41</v>
      </c>
      <c r="C133">
        <v>626.40405063289995</v>
      </c>
    </row>
    <row r="134" spans="1:3" x14ac:dyDescent="0.2">
      <c r="A134" s="5"/>
      <c r="B134" s="16" t="s">
        <v>42</v>
      </c>
      <c r="C134">
        <v>793.23971957041942</v>
      </c>
    </row>
    <row r="135" spans="1:3" x14ac:dyDescent="0.2">
      <c r="A135" s="5"/>
      <c r="B135" s="16" t="s">
        <v>43</v>
      </c>
      <c r="C135">
        <v>620.71882693459315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Math</vt:lpstr>
      <vt:lpstr>Time Series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2024-10-17T16:58:57Z</dcterms:modified>
</cp:coreProperties>
</file>